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theme/themeOverride1.xml" ContentType="application/vnd.openxmlformats-officedocument.themeOverride+xml"/>
  <Override PartName="/xl/comments2.xml" ContentType="application/vnd.openxmlformats-officedocument.spreadsheetml.comments+xml"/>
  <Override PartName="/xl/drawings/drawing2.xml" ContentType="application/vnd.openxmlformats-officedocument.drawing+xml"/>
  <Override PartName="/xl/charts/chart4.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harts/chart5.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harts/chart6.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codeName="ThisWorkbook" defaultThemeVersion="166925"/>
  <mc:AlternateContent xmlns:mc="http://schemas.openxmlformats.org/markup-compatibility/2006">
    <mc:Choice Requires="x15">
      <x15ac:absPath xmlns:x15ac="http://schemas.microsoft.com/office/spreadsheetml/2010/11/ac" url="C:\Users\aleach\Documents\data_projects\royalties\"/>
    </mc:Choice>
  </mc:AlternateContent>
  <xr:revisionPtr revIDLastSave="0" documentId="8_{8D96EA96-C8C9-4DD0-9AA2-7D35FD7986C4}" xr6:coauthVersionLast="47" xr6:coauthVersionMax="47" xr10:uidLastSave="{00000000-0000-0000-0000-000000000000}"/>
  <bookViews>
    <workbookView xWindow="-103" yWindow="-103" windowWidth="33120" windowHeight="18000" tabRatio="740" firstSheet="2" activeTab="12" xr2:uid="{00000000-000D-0000-FFFF-FFFF00000000}"/>
  </bookViews>
  <sheets>
    <sheet name="Major Assumptions" sheetId="17" r:id="rId1"/>
    <sheet name="NAV" sheetId="2" r:id="rId2"/>
    <sheet name="Price Deck" sheetId="3" r:id="rId3"/>
    <sheet name="Production Costs " sheetId="13" r:id="rId4"/>
    <sheet name="Realized Pricing" sheetId="4" r:id="rId5"/>
    <sheet name="Capital Cost Calculation" sheetId="8" r:id="rId6"/>
    <sheet name="Oil Royalties" sheetId="21" r:id="rId7"/>
    <sheet name="Natural Gas Royalties" sheetId="15" r:id="rId8"/>
    <sheet name="Ethane Royalties" sheetId="14" r:id="rId9"/>
    <sheet name="Propane Royalties" sheetId="23" r:id="rId10"/>
    <sheet name="Butane Royalties" sheetId="22" r:id="rId11"/>
    <sheet name="Liquids Type Curve" sheetId="10" r:id="rId12"/>
    <sheet name="Gas Type Curve" sheetId="9" r:id="rId13"/>
    <sheet name="EUR" sheetId="11" r:id="rId14"/>
    <sheet name="IP" sheetId="16" r:id="rId15"/>
    <sheet name="CF" sheetId="25" r:id="rId16"/>
  </sheets>
  <externalReferences>
    <externalReference r:id="rId17"/>
  </externalReferences>
  <definedNames>
    <definedName name="solver_adj" localSheetId="12" hidden="1">'Gas Type Curve'!$B$4:$B$5</definedName>
    <definedName name="solver_adj" localSheetId="11" hidden="1">'Liquids Type Curve'!$B$4:$B$5</definedName>
    <definedName name="solver_cvg" localSheetId="12" hidden="1">0.0001</definedName>
    <definedName name="solver_cvg" localSheetId="11" hidden="1">0.0001</definedName>
    <definedName name="solver_cvg" localSheetId="1" hidden="1">0.0001</definedName>
    <definedName name="solver_drv" localSheetId="12" hidden="1">1</definedName>
    <definedName name="solver_drv" localSheetId="11" hidden="1">1</definedName>
    <definedName name="solver_drv" localSheetId="1" hidden="1">1</definedName>
    <definedName name="solver_eng" localSheetId="12" hidden="1">1</definedName>
    <definedName name="solver_eng" localSheetId="11" hidden="1">1</definedName>
    <definedName name="solver_eng" localSheetId="1" hidden="1">1</definedName>
    <definedName name="solver_est" localSheetId="1" hidden="1">1</definedName>
    <definedName name="solver_itr" localSheetId="12" hidden="1">2147483647</definedName>
    <definedName name="solver_itr" localSheetId="11" hidden="1">2147483647</definedName>
    <definedName name="solver_itr" localSheetId="1" hidden="1">2147483647</definedName>
    <definedName name="solver_lhs1" localSheetId="1" hidden="1">NAV!$AC$3</definedName>
    <definedName name="solver_lin" localSheetId="12" hidden="1">2</definedName>
    <definedName name="solver_lin" localSheetId="11" hidden="1">2</definedName>
    <definedName name="solver_mip" localSheetId="12" hidden="1">2147483647</definedName>
    <definedName name="solver_mip" localSheetId="11" hidden="1">2147483647</definedName>
    <definedName name="solver_mip" localSheetId="1" hidden="1">2147483647</definedName>
    <definedName name="solver_mni" localSheetId="12" hidden="1">30</definedName>
    <definedName name="solver_mni" localSheetId="11" hidden="1">30</definedName>
    <definedName name="solver_mni" localSheetId="1" hidden="1">30</definedName>
    <definedName name="solver_mrt" localSheetId="12" hidden="1">0.075</definedName>
    <definedName name="solver_mrt" localSheetId="11" hidden="1">0.075</definedName>
    <definedName name="solver_mrt" localSheetId="1" hidden="1">0.075</definedName>
    <definedName name="solver_msl" localSheetId="12" hidden="1">2</definedName>
    <definedName name="solver_msl" localSheetId="11" hidden="1">2</definedName>
    <definedName name="solver_msl" localSheetId="1" hidden="1">2</definedName>
    <definedName name="solver_neg" localSheetId="12" hidden="1">2</definedName>
    <definedName name="solver_neg" localSheetId="11" hidden="1">2</definedName>
    <definedName name="solver_neg" localSheetId="1" hidden="1">1</definedName>
    <definedName name="solver_nod" localSheetId="12" hidden="1">2147483647</definedName>
    <definedName name="solver_nod" localSheetId="11" hidden="1">2147483647</definedName>
    <definedName name="solver_nod" localSheetId="1" hidden="1">2147483647</definedName>
    <definedName name="solver_num" localSheetId="12" hidden="1">0</definedName>
    <definedName name="solver_num" localSheetId="11" hidden="1">0</definedName>
    <definedName name="solver_num" localSheetId="1" hidden="1">1</definedName>
    <definedName name="solver_nwt" localSheetId="1" hidden="1">1</definedName>
    <definedName name="solver_opt" localSheetId="12" hidden="1">'Gas Type Curve'!$B$7</definedName>
    <definedName name="solver_opt" localSheetId="11" hidden="1">'Liquids Type Curve'!$B$7</definedName>
    <definedName name="solver_opt" localSheetId="1" hidden="1">NAV!$BH$45</definedName>
    <definedName name="solver_pre" localSheetId="12" hidden="1">0.000001</definedName>
    <definedName name="solver_pre" localSheetId="11" hidden="1">0.000001</definedName>
    <definedName name="solver_pre" localSheetId="1" hidden="1">0.000001</definedName>
    <definedName name="solver_rbv" localSheetId="12" hidden="1">1</definedName>
    <definedName name="solver_rbv" localSheetId="11" hidden="1">1</definedName>
    <definedName name="solver_rbv" localSheetId="1" hidden="1">1</definedName>
    <definedName name="solver_rel1" localSheetId="1" hidden="1">3</definedName>
    <definedName name="solver_rhs1" localSheetId="1" hidden="1">0</definedName>
    <definedName name="solver_rlx" localSheetId="12" hidden="1">2</definedName>
    <definedName name="solver_rlx" localSheetId="11" hidden="1">1</definedName>
    <definedName name="solver_rlx" localSheetId="1" hidden="1">2</definedName>
    <definedName name="solver_rsd" localSheetId="12" hidden="1">0</definedName>
    <definedName name="solver_rsd" localSheetId="11" hidden="1">0</definedName>
    <definedName name="solver_rsd" localSheetId="1" hidden="1">0</definedName>
    <definedName name="solver_scl" localSheetId="12" hidden="1">1</definedName>
    <definedName name="solver_scl" localSheetId="11" hidden="1">2</definedName>
    <definedName name="solver_scl" localSheetId="1" hidden="1">1</definedName>
    <definedName name="solver_sho" localSheetId="12" hidden="1">2</definedName>
    <definedName name="solver_sho" localSheetId="11" hidden="1">2</definedName>
    <definedName name="solver_sho" localSheetId="1" hidden="1">2</definedName>
    <definedName name="solver_ssz" localSheetId="12" hidden="1">100</definedName>
    <definedName name="solver_ssz" localSheetId="11" hidden="1">100</definedName>
    <definedName name="solver_ssz" localSheetId="1" hidden="1">100</definedName>
    <definedName name="solver_tim" localSheetId="12" hidden="1">2147483647</definedName>
    <definedName name="solver_tim" localSheetId="11" hidden="1">2147483647</definedName>
    <definedName name="solver_tim" localSheetId="1" hidden="1">2147483647</definedName>
    <definedName name="solver_tol" localSheetId="12" hidden="1">0.01</definedName>
    <definedName name="solver_tol" localSheetId="11" hidden="1">0.01</definedName>
    <definedName name="solver_tol" localSheetId="1" hidden="1">0.01</definedName>
    <definedName name="solver_typ" localSheetId="12" hidden="1">2</definedName>
    <definedName name="solver_typ" localSheetId="11" hidden="1">2</definedName>
    <definedName name="solver_typ" localSheetId="1" hidden="1">3</definedName>
    <definedName name="solver_val" localSheetId="12" hidden="1">0</definedName>
    <definedName name="solver_val" localSheetId="11" hidden="1">0</definedName>
    <definedName name="solver_val" localSheetId="1" hidden="1">0</definedName>
    <definedName name="solver_ver" localSheetId="12" hidden="1">2</definedName>
    <definedName name="solver_ver" localSheetId="11" hidden="1">2</definedName>
    <definedName name="solver_ver" localSheetId="1" hidden="1">3</definedName>
  </definedNames>
  <calcPr calcId="191029" iterate="1" iterateDelta="9.9999961093999445E-6"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A40" i="9" l="1"/>
  <c r="A41" i="9"/>
  <c r="A42" i="9"/>
  <c r="B42" i="9"/>
  <c r="C42" i="9"/>
  <c r="U58" i="2"/>
  <c r="U37" i="2"/>
  <c r="T31" i="2"/>
  <c r="B57" i="2"/>
  <c r="C58" i="2"/>
  <c r="X58" i="2"/>
  <c r="A30" i="10"/>
  <c r="A31" i="10"/>
  <c r="A32" i="10"/>
  <c r="A33" i="10"/>
  <c r="A34" i="10"/>
  <c r="A35" i="10"/>
  <c r="B35" i="10"/>
  <c r="C35" i="10"/>
  <c r="M58" i="2"/>
  <c r="M42" i="2"/>
  <c r="P58" i="2"/>
  <c r="L31" i="2"/>
  <c r="E113" i="3"/>
  <c r="E114" i="3"/>
  <c r="E115" i="3"/>
  <c r="E116" i="3"/>
  <c r="E117" i="3"/>
  <c r="E118" i="3"/>
  <c r="E119" i="3"/>
  <c r="E120" i="3"/>
  <c r="E121" i="3"/>
  <c r="E122" i="3"/>
  <c r="E123" i="3"/>
  <c r="E124" i="3"/>
  <c r="B125" i="3"/>
  <c r="E125" i="3"/>
  <c r="B126" i="3"/>
  <c r="E126" i="3"/>
  <c r="B127" i="3"/>
  <c r="E127" i="3"/>
  <c r="B128" i="3"/>
  <c r="E128" i="3"/>
  <c r="B129" i="3"/>
  <c r="E129" i="3"/>
  <c r="B130" i="3"/>
  <c r="E130" i="3"/>
  <c r="B131" i="3"/>
  <c r="E131" i="3"/>
  <c r="B132" i="3"/>
  <c r="E132" i="3"/>
  <c r="B133" i="3"/>
  <c r="E133" i="3"/>
  <c r="B134" i="3"/>
  <c r="E134" i="3"/>
  <c r="B135" i="3"/>
  <c r="E135" i="3"/>
  <c r="B136" i="3"/>
  <c r="E136" i="3"/>
  <c r="B137" i="3"/>
  <c r="E137" i="3"/>
  <c r="B138" i="3"/>
  <c r="E138" i="3"/>
  <c r="B139" i="3"/>
  <c r="E139" i="3"/>
  <c r="B140" i="3"/>
  <c r="E140" i="3"/>
  <c r="B141" i="3"/>
  <c r="E141" i="3"/>
  <c r="B142" i="3"/>
  <c r="E142" i="3"/>
  <c r="B143" i="3"/>
  <c r="E143" i="3"/>
  <c r="B144" i="3"/>
  <c r="E144" i="3"/>
  <c r="B145" i="3"/>
  <c r="E145" i="3"/>
  <c r="B146" i="3"/>
  <c r="E146" i="3"/>
  <c r="B147" i="3"/>
  <c r="E147" i="3"/>
  <c r="B148" i="3"/>
  <c r="E148" i="3"/>
  <c r="B149" i="3"/>
  <c r="E149" i="3"/>
  <c r="B150" i="3"/>
  <c r="E150" i="3"/>
  <c r="B151" i="3"/>
  <c r="E151" i="3"/>
  <c r="B152" i="3"/>
  <c r="E152" i="3"/>
  <c r="B153" i="3"/>
  <c r="E153" i="3"/>
  <c r="B154" i="3"/>
  <c r="E154" i="3"/>
  <c r="B155" i="3"/>
  <c r="E155" i="3"/>
  <c r="B156" i="3"/>
  <c r="E156" i="3"/>
  <c r="B157" i="3"/>
  <c r="E157" i="3"/>
  <c r="B158" i="3"/>
  <c r="E158" i="3"/>
  <c r="B159" i="3"/>
  <c r="E159" i="3"/>
  <c r="B160" i="3"/>
  <c r="E160" i="3"/>
  <c r="B161" i="3"/>
  <c r="E161" i="3"/>
  <c r="B162" i="3"/>
  <c r="E162" i="3"/>
  <c r="B163" i="3"/>
  <c r="E163" i="3"/>
  <c r="B164" i="3"/>
  <c r="E164" i="3"/>
  <c r="B165" i="3"/>
  <c r="E165" i="3"/>
  <c r="B166" i="3"/>
  <c r="E166" i="3"/>
  <c r="B167" i="3"/>
  <c r="E167" i="3"/>
  <c r="B168" i="3"/>
  <c r="E168" i="3"/>
  <c r="B169" i="3"/>
  <c r="E169" i="3"/>
  <c r="B170" i="3"/>
  <c r="E170" i="3"/>
  <c r="B171" i="3"/>
  <c r="E171" i="3"/>
  <c r="B172" i="3"/>
  <c r="E172" i="3"/>
  <c r="B173" i="3"/>
  <c r="E173" i="3"/>
  <c r="B174" i="3"/>
  <c r="E174" i="3"/>
  <c r="B175" i="3"/>
  <c r="E175" i="3"/>
  <c r="B176" i="3"/>
  <c r="E176" i="3"/>
  <c r="B177" i="3"/>
  <c r="E177" i="3"/>
  <c r="B178" i="3"/>
  <c r="E178" i="3"/>
  <c r="B179" i="3"/>
  <c r="E179" i="3"/>
  <c r="B180" i="3"/>
  <c r="E180" i="3"/>
  <c r="B181" i="3"/>
  <c r="E181" i="3"/>
  <c r="B182" i="3"/>
  <c r="E182" i="3"/>
  <c r="B183" i="3"/>
  <c r="E183" i="3"/>
  <c r="B184" i="3"/>
  <c r="E184" i="3"/>
  <c r="B185" i="3"/>
  <c r="E185" i="3"/>
  <c r="B186" i="3"/>
  <c r="E186" i="3"/>
  <c r="B187" i="3"/>
  <c r="E187" i="3"/>
  <c r="B188" i="3"/>
  <c r="E188" i="3"/>
  <c r="B189" i="3"/>
  <c r="E189" i="3"/>
  <c r="B190" i="3"/>
  <c r="E190" i="3"/>
  <c r="B191" i="3"/>
  <c r="E191" i="3"/>
  <c r="B192" i="3"/>
  <c r="E192" i="3"/>
  <c r="B193" i="3"/>
  <c r="E193" i="3"/>
  <c r="B194" i="3"/>
  <c r="E194" i="3"/>
  <c r="B195" i="3"/>
  <c r="E195" i="3"/>
  <c r="B196" i="3"/>
  <c r="E196" i="3"/>
  <c r="B197" i="3"/>
  <c r="E197" i="3"/>
  <c r="B198" i="3"/>
  <c r="E198" i="3"/>
  <c r="B199" i="3"/>
  <c r="E199" i="3"/>
  <c r="B200" i="3"/>
  <c r="E200" i="3"/>
  <c r="B201" i="3"/>
  <c r="E201" i="3"/>
  <c r="B202" i="3"/>
  <c r="E202" i="3"/>
  <c r="B203" i="3"/>
  <c r="E203" i="3"/>
  <c r="B204" i="3"/>
  <c r="E204" i="3"/>
  <c r="B205" i="3"/>
  <c r="E205" i="3"/>
  <c r="B206" i="3"/>
  <c r="E206" i="3"/>
  <c r="B207" i="3"/>
  <c r="E207" i="3"/>
  <c r="B208" i="3"/>
  <c r="E208" i="3"/>
  <c r="B209" i="3"/>
  <c r="E209" i="3"/>
  <c r="B210" i="3"/>
  <c r="E210" i="3"/>
  <c r="B211" i="3"/>
  <c r="E211" i="3"/>
  <c r="B212" i="3"/>
  <c r="E212" i="3"/>
  <c r="B213" i="3"/>
  <c r="E213" i="3"/>
  <c r="B214" i="3"/>
  <c r="E214" i="3"/>
  <c r="B215" i="3"/>
  <c r="E215" i="3"/>
  <c r="B216" i="3"/>
  <c r="E216" i="3"/>
  <c r="B217" i="3"/>
  <c r="E217" i="3"/>
  <c r="B218" i="3"/>
  <c r="E218" i="3"/>
  <c r="B219" i="3"/>
  <c r="E219" i="3"/>
  <c r="B220" i="3"/>
  <c r="E220" i="3"/>
  <c r="B221" i="3"/>
  <c r="E221" i="3"/>
  <c r="B222" i="3"/>
  <c r="E222" i="3"/>
  <c r="B223" i="3"/>
  <c r="E223" i="3"/>
  <c r="B224" i="3"/>
  <c r="E224" i="3"/>
  <c r="B225" i="3"/>
  <c r="E225" i="3"/>
  <c r="B226" i="3"/>
  <c r="E226" i="3"/>
  <c r="B227" i="3"/>
  <c r="E227" i="3"/>
  <c r="B228" i="3"/>
  <c r="E228" i="3"/>
  <c r="B229" i="3"/>
  <c r="E229" i="3"/>
  <c r="B230" i="3"/>
  <c r="E230" i="3"/>
  <c r="B231" i="3"/>
  <c r="E231" i="3"/>
  <c r="B232" i="3"/>
  <c r="E232" i="3"/>
  <c r="B233" i="3"/>
  <c r="E233" i="3"/>
  <c r="B234" i="3"/>
  <c r="E234" i="3"/>
  <c r="B235" i="3"/>
  <c r="E235" i="3"/>
  <c r="B236" i="3"/>
  <c r="E236" i="3"/>
  <c r="B237" i="3"/>
  <c r="E237" i="3"/>
  <c r="B238" i="3"/>
  <c r="E238" i="3"/>
  <c r="B239" i="3"/>
  <c r="E239" i="3"/>
  <c r="B240" i="3"/>
  <c r="E240" i="3"/>
  <c r="B241" i="3"/>
  <c r="E241" i="3"/>
  <c r="B242" i="3"/>
  <c r="E242" i="3"/>
  <c r="B243" i="3"/>
  <c r="E243" i="3"/>
  <c r="B244" i="3"/>
  <c r="E244" i="3"/>
  <c r="B245" i="3"/>
  <c r="E245" i="3"/>
  <c r="B246" i="3"/>
  <c r="E246" i="3"/>
  <c r="B247" i="3"/>
  <c r="E247" i="3"/>
  <c r="B248" i="3"/>
  <c r="E248" i="3"/>
  <c r="B249" i="3"/>
  <c r="E249" i="3"/>
  <c r="B250" i="3"/>
  <c r="E250" i="3"/>
  <c r="B251" i="3"/>
  <c r="E251" i="3"/>
  <c r="B252" i="3"/>
  <c r="E252" i="3"/>
  <c r="B253" i="3"/>
  <c r="E253" i="3"/>
  <c r="B254" i="3"/>
  <c r="E254" i="3"/>
  <c r="B255" i="3"/>
  <c r="E255" i="3"/>
  <c r="B256" i="3"/>
  <c r="E256" i="3"/>
  <c r="B257" i="3"/>
  <c r="E257" i="3"/>
  <c r="B258" i="3"/>
  <c r="E258" i="3"/>
  <c r="B259" i="3"/>
  <c r="E259" i="3"/>
  <c r="B260" i="3"/>
  <c r="E260" i="3"/>
  <c r="B261" i="3"/>
  <c r="E261" i="3"/>
  <c r="B262" i="3"/>
  <c r="E262" i="3"/>
  <c r="B263" i="3"/>
  <c r="E263" i="3"/>
  <c r="B264" i="3"/>
  <c r="E264" i="3"/>
  <c r="B265" i="3"/>
  <c r="E265" i="3"/>
  <c r="B266" i="3"/>
  <c r="E266" i="3"/>
  <c r="B267" i="3"/>
  <c r="E267" i="3"/>
  <c r="B268" i="3"/>
  <c r="E268" i="3"/>
  <c r="B269" i="3"/>
  <c r="E269" i="3"/>
  <c r="B270" i="3"/>
  <c r="E270" i="3"/>
  <c r="B271" i="3"/>
  <c r="E271" i="3"/>
  <c r="B272" i="3"/>
  <c r="E272" i="3"/>
  <c r="B273" i="3"/>
  <c r="E273" i="3"/>
  <c r="B274" i="3"/>
  <c r="E274" i="3"/>
  <c r="B275" i="3"/>
  <c r="E275" i="3"/>
  <c r="B276" i="3"/>
  <c r="E276" i="3"/>
  <c r="B277" i="3"/>
  <c r="E277" i="3"/>
  <c r="B278" i="3"/>
  <c r="E278" i="3"/>
  <c r="B279" i="3"/>
  <c r="E279" i="3"/>
  <c r="B280" i="3"/>
  <c r="E280" i="3"/>
  <c r="B281" i="3"/>
  <c r="E281" i="3"/>
  <c r="B282" i="3"/>
  <c r="E282" i="3"/>
  <c r="B283" i="3"/>
  <c r="E283" i="3"/>
  <c r="B284" i="3"/>
  <c r="E284" i="3"/>
  <c r="B285" i="3"/>
  <c r="E285" i="3"/>
  <c r="B286" i="3"/>
  <c r="E286" i="3"/>
  <c r="B287" i="3"/>
  <c r="E287" i="3"/>
  <c r="B288" i="3"/>
  <c r="E288" i="3"/>
  <c r="B289" i="3"/>
  <c r="E289" i="3"/>
  <c r="B290" i="3"/>
  <c r="E290" i="3"/>
  <c r="B291" i="3"/>
  <c r="E291" i="3"/>
  <c r="B292" i="3"/>
  <c r="E292" i="3"/>
  <c r="B293" i="3"/>
  <c r="E293" i="3"/>
  <c r="B294" i="3"/>
  <c r="E294" i="3"/>
  <c r="B295" i="3"/>
  <c r="E295" i="3"/>
  <c r="B296" i="3"/>
  <c r="E296" i="3"/>
  <c r="B297" i="3"/>
  <c r="E297" i="3"/>
  <c r="B298" i="3"/>
  <c r="E298" i="3"/>
  <c r="B299" i="3"/>
  <c r="E299" i="3"/>
  <c r="B300" i="3"/>
  <c r="E300" i="3"/>
  <c r="B301" i="3"/>
  <c r="E301" i="3"/>
  <c r="B302" i="3"/>
  <c r="E302" i="3"/>
  <c r="B303" i="3"/>
  <c r="E303" i="3"/>
  <c r="B304" i="3"/>
  <c r="E304" i="3"/>
  <c r="B305" i="3"/>
  <c r="E305" i="3"/>
  <c r="B306" i="3"/>
  <c r="E306" i="3"/>
  <c r="B307" i="3"/>
  <c r="E307" i="3"/>
  <c r="B308" i="3"/>
  <c r="E308" i="3"/>
  <c r="B309" i="3"/>
  <c r="E309" i="3"/>
  <c r="B310" i="3"/>
  <c r="E310" i="3"/>
  <c r="B311" i="3"/>
  <c r="E311" i="3"/>
  <c r="B312" i="3"/>
  <c r="E312" i="3"/>
  <c r="B313" i="3"/>
  <c r="E313" i="3"/>
  <c r="B314" i="3"/>
  <c r="E314" i="3"/>
  <c r="B315" i="3"/>
  <c r="E315" i="3"/>
  <c r="B316" i="3"/>
  <c r="E316" i="3"/>
  <c r="B317" i="3"/>
  <c r="E317" i="3"/>
  <c r="B318" i="3"/>
  <c r="E318" i="3"/>
  <c r="B319" i="3"/>
  <c r="E319" i="3"/>
  <c r="B320" i="3"/>
  <c r="E320" i="3"/>
  <c r="B321" i="3"/>
  <c r="E321" i="3"/>
  <c r="B322" i="3"/>
  <c r="E322" i="3"/>
  <c r="B323" i="3"/>
  <c r="E323" i="3"/>
  <c r="B324" i="3"/>
  <c r="E324" i="3"/>
  <c r="B325" i="3"/>
  <c r="E325" i="3"/>
  <c r="B326" i="3"/>
  <c r="E326" i="3"/>
  <c r="B327" i="3"/>
  <c r="E327" i="3"/>
  <c r="B328" i="3"/>
  <c r="E328" i="3"/>
  <c r="J159" i="3"/>
  <c r="J160" i="3"/>
  <c r="J161" i="3"/>
  <c r="J162" i="3"/>
  <c r="J163" i="3"/>
  <c r="J164" i="3"/>
  <c r="J165" i="3"/>
  <c r="J166" i="3"/>
  <c r="J167" i="3"/>
  <c r="J168" i="3"/>
  <c r="J169" i="3"/>
  <c r="J170" i="3"/>
  <c r="J171" i="3"/>
  <c r="J172" i="3"/>
  <c r="J173" i="3"/>
  <c r="J174" i="3"/>
  <c r="J175" i="3"/>
  <c r="J176" i="3"/>
  <c r="J177" i="3"/>
  <c r="J178" i="3"/>
  <c r="J179" i="3"/>
  <c r="J180" i="3"/>
  <c r="J181" i="3"/>
  <c r="J182" i="3"/>
  <c r="J183" i="3"/>
  <c r="J184" i="3"/>
  <c r="J185" i="3"/>
  <c r="J186" i="3"/>
  <c r="J187" i="3"/>
  <c r="J188" i="3"/>
  <c r="J189" i="3"/>
  <c r="J190" i="3"/>
  <c r="J191" i="3"/>
  <c r="J192" i="3"/>
  <c r="J193" i="3"/>
  <c r="J194" i="3"/>
  <c r="J195" i="3"/>
  <c r="J196" i="3"/>
  <c r="J197" i="3"/>
  <c r="J198" i="3"/>
  <c r="J199" i="3"/>
  <c r="J200" i="3"/>
  <c r="J201" i="3"/>
  <c r="J202" i="3"/>
  <c r="J203" i="3"/>
  <c r="J204" i="3"/>
  <c r="J205" i="3"/>
  <c r="J206" i="3"/>
  <c r="J207" i="3"/>
  <c r="J208" i="3"/>
  <c r="J209" i="3"/>
  <c r="J210" i="3"/>
  <c r="J211" i="3"/>
  <c r="J212" i="3"/>
  <c r="J213" i="3"/>
  <c r="J214" i="3"/>
  <c r="J215" i="3"/>
  <c r="J216" i="3"/>
  <c r="J217" i="3"/>
  <c r="J218" i="3"/>
  <c r="J219" i="3"/>
  <c r="J220" i="3"/>
  <c r="J221" i="3"/>
  <c r="J222" i="3"/>
  <c r="J223" i="3"/>
  <c r="J224" i="3"/>
  <c r="J225" i="3"/>
  <c r="J226" i="3"/>
  <c r="J227" i="3"/>
  <c r="J228" i="3"/>
  <c r="J229" i="3"/>
  <c r="J230" i="3"/>
  <c r="J231" i="3"/>
  <c r="J232" i="3"/>
  <c r="J233" i="3"/>
  <c r="J234" i="3"/>
  <c r="J235" i="3"/>
  <c r="J236" i="3"/>
  <c r="J237" i="3"/>
  <c r="J238" i="3"/>
  <c r="J239" i="3"/>
  <c r="J240" i="3"/>
  <c r="J241" i="3"/>
  <c r="J242" i="3"/>
  <c r="J243" i="3"/>
  <c r="J244" i="3"/>
  <c r="J245" i="3"/>
  <c r="J246" i="3"/>
  <c r="J247" i="3"/>
  <c r="J248" i="3"/>
  <c r="J249" i="3"/>
  <c r="J250" i="3"/>
  <c r="J251" i="3"/>
  <c r="J252" i="3"/>
  <c r="J253" i="3"/>
  <c r="J254" i="3"/>
  <c r="J255" i="3"/>
  <c r="J256" i="3"/>
  <c r="J257" i="3"/>
  <c r="J258" i="3"/>
  <c r="J259" i="3"/>
  <c r="J260" i="3"/>
  <c r="J261" i="3"/>
  <c r="J262" i="3"/>
  <c r="J263" i="3"/>
  <c r="J264" i="3"/>
  <c r="J265" i="3"/>
  <c r="J266" i="3"/>
  <c r="J267" i="3"/>
  <c r="J268" i="3"/>
  <c r="J269" i="3"/>
  <c r="J270" i="3"/>
  <c r="J271" i="3"/>
  <c r="J272" i="3"/>
  <c r="J273" i="3"/>
  <c r="J274" i="3"/>
  <c r="J275" i="3"/>
  <c r="J276" i="3"/>
  <c r="J277" i="3"/>
  <c r="J278" i="3"/>
  <c r="J279" i="3"/>
  <c r="J280" i="3"/>
  <c r="J281" i="3"/>
  <c r="J282" i="3"/>
  <c r="J283" i="3"/>
  <c r="J284" i="3"/>
  <c r="J285" i="3"/>
  <c r="J286" i="3"/>
  <c r="J287" i="3"/>
  <c r="J288" i="3"/>
  <c r="J289" i="3"/>
  <c r="J290" i="3"/>
  <c r="J291" i="3"/>
  <c r="J292" i="3"/>
  <c r="J293" i="3"/>
  <c r="J294" i="3"/>
  <c r="J295" i="3"/>
  <c r="J296" i="3"/>
  <c r="J297" i="3"/>
  <c r="J298" i="3"/>
  <c r="J299" i="3"/>
  <c r="J300" i="3"/>
  <c r="J301" i="3"/>
  <c r="J302" i="3"/>
  <c r="J303" i="3"/>
  <c r="J304" i="3"/>
  <c r="J305" i="3"/>
  <c r="J306" i="3"/>
  <c r="J307" i="3"/>
  <c r="J308" i="3"/>
  <c r="J309" i="3"/>
  <c r="J310" i="3"/>
  <c r="J311" i="3"/>
  <c r="J312" i="3"/>
  <c r="J313" i="3"/>
  <c r="J314" i="3"/>
  <c r="J315" i="3"/>
  <c r="J316" i="3"/>
  <c r="J317" i="3"/>
  <c r="J318" i="3"/>
  <c r="J319" i="3"/>
  <c r="J320" i="3"/>
  <c r="J321" i="3"/>
  <c r="J322" i="3"/>
  <c r="J323" i="3"/>
  <c r="J324" i="3"/>
  <c r="J325" i="3"/>
  <c r="J326" i="3"/>
  <c r="J327" i="3"/>
  <c r="J328" i="3"/>
  <c r="J329" i="3"/>
  <c r="J330" i="3"/>
  <c r="J331" i="3"/>
  <c r="J332" i="3"/>
  <c r="J333" i="3"/>
  <c r="J334" i="3"/>
  <c r="J335" i="3"/>
  <c r="J336" i="3"/>
  <c r="J337" i="3"/>
  <c r="J338" i="3"/>
  <c r="J339" i="3"/>
  <c r="J340" i="3"/>
  <c r="J341" i="3"/>
  <c r="J342" i="3"/>
  <c r="J343" i="3"/>
  <c r="B329" i="3"/>
  <c r="E329" i="3"/>
  <c r="B330" i="3"/>
  <c r="E330" i="3"/>
  <c r="B331" i="3"/>
  <c r="E331" i="3"/>
  <c r="B332" i="3"/>
  <c r="E332" i="3"/>
  <c r="B333" i="3"/>
  <c r="E333" i="3"/>
  <c r="B334" i="3"/>
  <c r="E334" i="3"/>
  <c r="B335" i="3"/>
  <c r="E335" i="3"/>
  <c r="B336" i="3"/>
  <c r="E336" i="3"/>
  <c r="B337" i="3"/>
  <c r="E337" i="3"/>
  <c r="B338" i="3"/>
  <c r="E338" i="3"/>
  <c r="B339" i="3"/>
  <c r="E339" i="3"/>
  <c r="B340" i="3"/>
  <c r="E340" i="3"/>
  <c r="B341" i="3"/>
  <c r="E341" i="3"/>
  <c r="B342" i="3"/>
  <c r="E342" i="3"/>
  <c r="B343" i="3"/>
  <c r="E343" i="3"/>
  <c r="B12" i="21"/>
  <c r="C12" i="21"/>
  <c r="D12" i="21"/>
  <c r="E12" i="21"/>
  <c r="F12" i="21"/>
  <c r="B13" i="21"/>
  <c r="C13" i="21"/>
  <c r="D13" i="21"/>
  <c r="E13" i="21"/>
  <c r="F13" i="21"/>
  <c r="B14" i="21"/>
  <c r="C14" i="21"/>
  <c r="D14" i="21"/>
  <c r="E14" i="21"/>
  <c r="F14" i="21"/>
  <c r="B15" i="21"/>
  <c r="C15" i="21"/>
  <c r="D15" i="21"/>
  <c r="E15" i="21"/>
  <c r="F15" i="21"/>
  <c r="B16" i="21"/>
  <c r="C16" i="21"/>
  <c r="D16" i="21"/>
  <c r="E16" i="21"/>
  <c r="F16" i="21"/>
  <c r="B17" i="21"/>
  <c r="C17" i="21"/>
  <c r="D17" i="21"/>
  <c r="E17" i="21"/>
  <c r="F17" i="21"/>
  <c r="B18" i="21"/>
  <c r="C18" i="21"/>
  <c r="D18" i="21"/>
  <c r="E18" i="21"/>
  <c r="F18" i="21"/>
  <c r="B19" i="21"/>
  <c r="C19" i="21"/>
  <c r="D19" i="21"/>
  <c r="E19" i="21"/>
  <c r="F19" i="21"/>
  <c r="B20" i="21"/>
  <c r="C20" i="21"/>
  <c r="D20" i="21"/>
  <c r="E20" i="21"/>
  <c r="F20" i="21"/>
  <c r="B21" i="21"/>
  <c r="C21" i="21"/>
  <c r="D21" i="21"/>
  <c r="E21" i="21"/>
  <c r="F21" i="21"/>
  <c r="B22" i="21"/>
  <c r="C22" i="21"/>
  <c r="D22" i="21"/>
  <c r="E22" i="21"/>
  <c r="F22" i="21"/>
  <c r="B23" i="21"/>
  <c r="C23" i="21"/>
  <c r="D23" i="21"/>
  <c r="E23" i="21"/>
  <c r="F23" i="21"/>
  <c r="B24" i="21"/>
  <c r="C24" i="21"/>
  <c r="D24" i="21"/>
  <c r="E24" i="21"/>
  <c r="F24" i="21"/>
  <c r="B25" i="21"/>
  <c r="C25" i="21"/>
  <c r="D25" i="21"/>
  <c r="E25" i="21"/>
  <c r="F25" i="21"/>
  <c r="B26" i="21"/>
  <c r="C26" i="21"/>
  <c r="D26" i="21"/>
  <c r="E26" i="21"/>
  <c r="F26" i="21"/>
  <c r="B27" i="21"/>
  <c r="C27" i="21"/>
  <c r="D27" i="21"/>
  <c r="E27" i="21"/>
  <c r="F27" i="21"/>
  <c r="B28" i="21"/>
  <c r="C28" i="21"/>
  <c r="D28" i="21"/>
  <c r="E28" i="21"/>
  <c r="F28" i="21"/>
  <c r="B29" i="21"/>
  <c r="C29" i="21"/>
  <c r="D29" i="21"/>
  <c r="E29" i="21"/>
  <c r="F29" i="21"/>
  <c r="B30" i="21"/>
  <c r="C30" i="21"/>
  <c r="D30" i="21"/>
  <c r="E30" i="21"/>
  <c r="F30" i="21"/>
  <c r="B31" i="21"/>
  <c r="C31" i="21"/>
  <c r="D31" i="21"/>
  <c r="E31" i="21"/>
  <c r="F31" i="21"/>
  <c r="B32" i="21"/>
  <c r="C32" i="21"/>
  <c r="D32" i="21"/>
  <c r="E32" i="21"/>
  <c r="F32" i="21"/>
  <c r="B33" i="21"/>
  <c r="C33" i="21"/>
  <c r="D33" i="21"/>
  <c r="E33" i="21"/>
  <c r="F33" i="21"/>
  <c r="B34" i="21"/>
  <c r="C34" i="21"/>
  <c r="D34" i="21"/>
  <c r="E34" i="21"/>
  <c r="F34" i="21"/>
  <c r="B35" i="21"/>
  <c r="C35" i="21"/>
  <c r="D35" i="21"/>
  <c r="E35" i="21"/>
  <c r="F35" i="21"/>
  <c r="B36" i="21"/>
  <c r="C36" i="21"/>
  <c r="D36" i="21"/>
  <c r="E36" i="21"/>
  <c r="F36" i="21"/>
  <c r="B37" i="21"/>
  <c r="C37" i="21"/>
  <c r="D37" i="21"/>
  <c r="E37" i="21"/>
  <c r="F37" i="21"/>
  <c r="B38" i="21"/>
  <c r="C38" i="21"/>
  <c r="D38" i="21"/>
  <c r="E38" i="21"/>
  <c r="F38" i="21"/>
  <c r="B39" i="21"/>
  <c r="C39" i="21"/>
  <c r="D39" i="21"/>
  <c r="E39" i="21"/>
  <c r="F39" i="21"/>
  <c r="B40" i="21"/>
  <c r="C40" i="21"/>
  <c r="D40" i="21"/>
  <c r="E40" i="21"/>
  <c r="F40" i="21"/>
  <c r="B41" i="21"/>
  <c r="C41" i="21"/>
  <c r="D41" i="21"/>
  <c r="E41" i="21"/>
  <c r="F41" i="21"/>
  <c r="B42" i="21"/>
  <c r="C42" i="21"/>
  <c r="D42" i="21"/>
  <c r="E42" i="21"/>
  <c r="F42" i="21"/>
  <c r="B43" i="21"/>
  <c r="C43" i="21"/>
  <c r="D43" i="21"/>
  <c r="E43" i="21"/>
  <c r="F43" i="21"/>
  <c r="B44" i="21"/>
  <c r="C44" i="21"/>
  <c r="D44" i="21"/>
  <c r="E44" i="21"/>
  <c r="F44" i="21"/>
  <c r="B45" i="21"/>
  <c r="C45" i="21"/>
  <c r="D45" i="21"/>
  <c r="E45" i="21"/>
  <c r="F45" i="21"/>
  <c r="B46" i="21"/>
  <c r="C46" i="21"/>
  <c r="D46" i="21"/>
  <c r="E46" i="21"/>
  <c r="F46" i="21"/>
  <c r="B47" i="21"/>
  <c r="C47" i="21"/>
  <c r="D47" i="21"/>
  <c r="E47" i="21"/>
  <c r="F47" i="21"/>
  <c r="B48" i="21"/>
  <c r="C48" i="21"/>
  <c r="D48" i="21"/>
  <c r="E48" i="21"/>
  <c r="F48" i="21"/>
  <c r="B49" i="21"/>
  <c r="C49" i="21"/>
  <c r="D49" i="21"/>
  <c r="E49" i="21"/>
  <c r="F49" i="21"/>
  <c r="B50" i="21"/>
  <c r="C50" i="21"/>
  <c r="D50" i="21"/>
  <c r="E50" i="21"/>
  <c r="F50" i="21"/>
  <c r="B51" i="21"/>
  <c r="C51" i="21"/>
  <c r="D51" i="21"/>
  <c r="E51" i="21"/>
  <c r="F51" i="21"/>
  <c r="B52" i="21"/>
  <c r="C52" i="21"/>
  <c r="D52" i="21"/>
  <c r="E52" i="21"/>
  <c r="F52" i="21"/>
  <c r="B53" i="21"/>
  <c r="C53" i="21"/>
  <c r="D53" i="21"/>
  <c r="E53" i="21"/>
  <c r="F53" i="21"/>
  <c r="B54" i="21"/>
  <c r="C54" i="21"/>
  <c r="D54" i="21"/>
  <c r="E54" i="21"/>
  <c r="F54" i="21"/>
  <c r="B55" i="21"/>
  <c r="C55" i="21"/>
  <c r="D55" i="21"/>
  <c r="E55" i="21"/>
  <c r="F55" i="21"/>
  <c r="B56" i="21"/>
  <c r="C56" i="21"/>
  <c r="D56" i="21"/>
  <c r="E56" i="21"/>
  <c r="F56" i="21"/>
  <c r="B57" i="21"/>
  <c r="C57" i="21"/>
  <c r="D57" i="21"/>
  <c r="E57" i="21"/>
  <c r="F57" i="21"/>
  <c r="B58" i="21"/>
  <c r="C58" i="21"/>
  <c r="D58" i="21"/>
  <c r="E58" i="21"/>
  <c r="F58" i="21"/>
  <c r="B59" i="21"/>
  <c r="C59" i="21"/>
  <c r="D59" i="21"/>
  <c r="E59" i="21"/>
  <c r="F59" i="21"/>
  <c r="B60" i="21"/>
  <c r="C60" i="21"/>
  <c r="D60" i="21"/>
  <c r="E60" i="21"/>
  <c r="F60" i="21"/>
  <c r="B61" i="21"/>
  <c r="C61" i="21"/>
  <c r="D61" i="21"/>
  <c r="E61" i="21"/>
  <c r="F61" i="21"/>
  <c r="B62" i="21"/>
  <c r="C62" i="21"/>
  <c r="D62" i="21"/>
  <c r="E62" i="21"/>
  <c r="F62" i="21"/>
  <c r="B63" i="21"/>
  <c r="C63" i="21"/>
  <c r="D63" i="21"/>
  <c r="E63" i="21"/>
  <c r="F63" i="21"/>
  <c r="B64" i="21"/>
  <c r="C64" i="21"/>
  <c r="D64" i="21"/>
  <c r="E64" i="21"/>
  <c r="F64" i="21"/>
  <c r="B65" i="21"/>
  <c r="C65" i="21"/>
  <c r="D65" i="21"/>
  <c r="E65" i="21"/>
  <c r="F65" i="21"/>
  <c r="B66" i="21"/>
  <c r="C66" i="21"/>
  <c r="D66" i="21"/>
  <c r="E66" i="21"/>
  <c r="F66" i="21"/>
  <c r="B67" i="21"/>
  <c r="C67" i="21"/>
  <c r="D67" i="21"/>
  <c r="E67" i="21"/>
  <c r="F67" i="21"/>
  <c r="B68" i="21"/>
  <c r="C68" i="21"/>
  <c r="D68" i="21"/>
  <c r="E68" i="21"/>
  <c r="F68" i="21"/>
  <c r="B69" i="21"/>
  <c r="C69" i="21"/>
  <c r="D69" i="21"/>
  <c r="E69" i="21"/>
  <c r="F69" i="21"/>
  <c r="B70" i="21"/>
  <c r="C70" i="21"/>
  <c r="D70" i="21"/>
  <c r="E70" i="21"/>
  <c r="F70" i="21"/>
  <c r="B71" i="21"/>
  <c r="C71" i="21"/>
  <c r="D71" i="21"/>
  <c r="E71" i="21"/>
  <c r="F71" i="21"/>
  <c r="B72" i="21"/>
  <c r="C72" i="21"/>
  <c r="D72" i="21"/>
  <c r="E72" i="21"/>
  <c r="F72" i="21"/>
  <c r="B73" i="21"/>
  <c r="C73" i="21"/>
  <c r="D73" i="21"/>
  <c r="E73" i="21"/>
  <c r="F73" i="21"/>
  <c r="B74" i="21"/>
  <c r="C74" i="21"/>
  <c r="D74" i="21"/>
  <c r="E74" i="21"/>
  <c r="F74" i="21"/>
  <c r="B75" i="21"/>
  <c r="C75" i="21"/>
  <c r="D75" i="21"/>
  <c r="E75" i="21"/>
  <c r="F75" i="21"/>
  <c r="B76" i="21"/>
  <c r="C76" i="21"/>
  <c r="D76" i="21"/>
  <c r="E76" i="21"/>
  <c r="F76" i="21"/>
  <c r="B77" i="21"/>
  <c r="C77" i="21"/>
  <c r="D77" i="21"/>
  <c r="E77" i="21"/>
  <c r="F77" i="21"/>
  <c r="B78" i="21"/>
  <c r="C78" i="21"/>
  <c r="D78" i="21"/>
  <c r="E78" i="21"/>
  <c r="F78" i="21"/>
  <c r="B79" i="21"/>
  <c r="C79" i="21"/>
  <c r="D79" i="21"/>
  <c r="E79" i="21"/>
  <c r="F79" i="21"/>
  <c r="B80" i="21"/>
  <c r="C80" i="21"/>
  <c r="D80" i="21"/>
  <c r="E80" i="21"/>
  <c r="F80" i="21"/>
  <c r="B81" i="21"/>
  <c r="C81" i="21"/>
  <c r="D81" i="21"/>
  <c r="E81" i="21"/>
  <c r="F81" i="21"/>
  <c r="B82" i="21"/>
  <c r="C82" i="21"/>
  <c r="D82" i="21"/>
  <c r="E82" i="21"/>
  <c r="F82" i="21"/>
  <c r="B83" i="21"/>
  <c r="C83" i="21"/>
  <c r="D83" i="21"/>
  <c r="E83" i="21"/>
  <c r="F83" i="21"/>
  <c r="B84" i="21"/>
  <c r="C84" i="21"/>
  <c r="D84" i="21"/>
  <c r="E84" i="21"/>
  <c r="F84" i="21"/>
  <c r="B85" i="21"/>
  <c r="C85" i="21"/>
  <c r="D85" i="21"/>
  <c r="E85" i="21"/>
  <c r="F85" i="21"/>
  <c r="B86" i="21"/>
  <c r="C86" i="21"/>
  <c r="D86" i="21"/>
  <c r="E86" i="21"/>
  <c r="F86" i="21"/>
  <c r="B87" i="21"/>
  <c r="C87" i="21"/>
  <c r="D87" i="21"/>
  <c r="E87" i="21"/>
  <c r="F87" i="21"/>
  <c r="B88" i="21"/>
  <c r="C88" i="21"/>
  <c r="D88" i="21"/>
  <c r="E88" i="21"/>
  <c r="F88" i="21"/>
  <c r="B89" i="21"/>
  <c r="C89" i="21"/>
  <c r="D89" i="21"/>
  <c r="E89" i="21"/>
  <c r="F89" i="21"/>
  <c r="B90" i="21"/>
  <c r="C90" i="21"/>
  <c r="D90" i="21"/>
  <c r="E90" i="21"/>
  <c r="F90" i="21"/>
  <c r="B91" i="21"/>
  <c r="C91" i="21"/>
  <c r="D91" i="21"/>
  <c r="E91" i="21"/>
  <c r="F91" i="21"/>
  <c r="B92" i="21"/>
  <c r="C92" i="21"/>
  <c r="D92" i="21"/>
  <c r="E92" i="21"/>
  <c r="F92" i="21"/>
  <c r="B93" i="21"/>
  <c r="C93" i="21"/>
  <c r="D93" i="21"/>
  <c r="E93" i="21"/>
  <c r="F93" i="21"/>
  <c r="B94" i="21"/>
  <c r="C94" i="21"/>
  <c r="D94" i="21"/>
  <c r="E94" i="21"/>
  <c r="F94" i="21"/>
  <c r="B95" i="21"/>
  <c r="C95" i="21"/>
  <c r="D95" i="21"/>
  <c r="E95" i="21"/>
  <c r="F95" i="21"/>
  <c r="B96" i="21"/>
  <c r="C96" i="21"/>
  <c r="D96" i="21"/>
  <c r="E96" i="21"/>
  <c r="F96" i="21"/>
  <c r="B97" i="21"/>
  <c r="C97" i="21"/>
  <c r="D97" i="21"/>
  <c r="E97" i="21"/>
  <c r="F97" i="21"/>
  <c r="B98" i="21"/>
  <c r="C98" i="21"/>
  <c r="D98" i="21"/>
  <c r="E98" i="21"/>
  <c r="F98" i="21"/>
  <c r="B99" i="21"/>
  <c r="C99" i="21"/>
  <c r="D99" i="21"/>
  <c r="E99" i="21"/>
  <c r="F99" i="21"/>
  <c r="B100" i="21"/>
  <c r="C100" i="21"/>
  <c r="D100" i="21"/>
  <c r="E100" i="21"/>
  <c r="F100" i="21"/>
  <c r="B101" i="21"/>
  <c r="C101" i="21"/>
  <c r="D101" i="21"/>
  <c r="E101" i="21"/>
  <c r="F101" i="21"/>
  <c r="B102" i="21"/>
  <c r="C102" i="21"/>
  <c r="D102" i="21"/>
  <c r="E102" i="21"/>
  <c r="F102" i="21"/>
  <c r="B103" i="21"/>
  <c r="C103" i="21"/>
  <c r="D103" i="21"/>
  <c r="E103" i="21"/>
  <c r="F103" i="21"/>
  <c r="B104" i="21"/>
  <c r="C104" i="21"/>
  <c r="D104" i="21"/>
  <c r="E104" i="21"/>
  <c r="F104" i="21"/>
  <c r="B105" i="21"/>
  <c r="C105" i="21"/>
  <c r="D105" i="21"/>
  <c r="E105" i="21"/>
  <c r="F105" i="21"/>
  <c r="B106" i="21"/>
  <c r="C106" i="21"/>
  <c r="D106" i="21"/>
  <c r="E106" i="21"/>
  <c r="F106" i="21"/>
  <c r="B107" i="21"/>
  <c r="C107" i="21"/>
  <c r="D107" i="21"/>
  <c r="E107" i="21"/>
  <c r="F107" i="21"/>
  <c r="B108" i="21"/>
  <c r="C108" i="21"/>
  <c r="D108" i="21"/>
  <c r="E108" i="21"/>
  <c r="F108" i="21"/>
  <c r="B109" i="21"/>
  <c r="C109" i="21"/>
  <c r="D109" i="21"/>
  <c r="E109" i="21"/>
  <c r="F109" i="21"/>
  <c r="B110" i="21"/>
  <c r="C110" i="21"/>
  <c r="D110" i="21"/>
  <c r="E110" i="21"/>
  <c r="F110" i="21"/>
  <c r="B111" i="21"/>
  <c r="C111" i="21"/>
  <c r="D111" i="21"/>
  <c r="E111" i="21"/>
  <c r="F111" i="21"/>
  <c r="B112" i="21"/>
  <c r="C112" i="21"/>
  <c r="D112" i="21"/>
  <c r="E112" i="21"/>
  <c r="F112" i="21"/>
  <c r="B113" i="21"/>
  <c r="C113" i="21"/>
  <c r="D113" i="21"/>
  <c r="E113" i="21"/>
  <c r="F113" i="21"/>
  <c r="B114" i="21"/>
  <c r="C114" i="21"/>
  <c r="D114" i="21"/>
  <c r="E114" i="21"/>
  <c r="F114" i="21"/>
  <c r="B115" i="21"/>
  <c r="C115" i="21"/>
  <c r="D115" i="21"/>
  <c r="E115" i="21"/>
  <c r="F115" i="21"/>
  <c r="B116" i="21"/>
  <c r="C116" i="21"/>
  <c r="D116" i="21"/>
  <c r="E116" i="21"/>
  <c r="F116" i="21"/>
  <c r="B117" i="21"/>
  <c r="C117" i="21"/>
  <c r="D117" i="21"/>
  <c r="E117" i="21"/>
  <c r="F117" i="21"/>
  <c r="B118" i="21"/>
  <c r="C118" i="21"/>
  <c r="D118" i="21"/>
  <c r="E118" i="21"/>
  <c r="F118" i="21"/>
  <c r="B119" i="21"/>
  <c r="C119" i="21"/>
  <c r="D119" i="21"/>
  <c r="E119" i="21"/>
  <c r="F119" i="21"/>
  <c r="B120" i="21"/>
  <c r="C120" i="21"/>
  <c r="D120" i="21"/>
  <c r="E120" i="21"/>
  <c r="F120" i="21"/>
  <c r="B121" i="21"/>
  <c r="C121" i="21"/>
  <c r="D121" i="21"/>
  <c r="E121" i="21"/>
  <c r="F121" i="21"/>
  <c r="B122" i="21"/>
  <c r="C122" i="21"/>
  <c r="D122" i="21"/>
  <c r="E122" i="21"/>
  <c r="F122" i="21"/>
  <c r="B123" i="21"/>
  <c r="C123" i="21"/>
  <c r="D123" i="21"/>
  <c r="E123" i="21"/>
  <c r="F123" i="21"/>
  <c r="B124" i="21"/>
  <c r="C124" i="21"/>
  <c r="D124" i="21"/>
  <c r="E124" i="21"/>
  <c r="F124" i="21"/>
  <c r="B125" i="21"/>
  <c r="C125" i="21"/>
  <c r="D125" i="21"/>
  <c r="E125" i="21"/>
  <c r="F125" i="21"/>
  <c r="B126" i="21"/>
  <c r="C126" i="21"/>
  <c r="D126" i="21"/>
  <c r="E126" i="21"/>
  <c r="F126" i="21"/>
  <c r="B127" i="21"/>
  <c r="C127" i="21"/>
  <c r="D127" i="21"/>
  <c r="E127" i="21"/>
  <c r="F127" i="21"/>
  <c r="B128" i="21"/>
  <c r="C128" i="21"/>
  <c r="D128" i="21"/>
  <c r="E128" i="21"/>
  <c r="F128" i="21"/>
  <c r="B129" i="21"/>
  <c r="C129" i="21"/>
  <c r="D129" i="21"/>
  <c r="E129" i="21"/>
  <c r="F129" i="21"/>
  <c r="B130" i="21"/>
  <c r="C130" i="21"/>
  <c r="D130" i="21"/>
  <c r="E130" i="21"/>
  <c r="F130" i="21"/>
  <c r="B131" i="21"/>
  <c r="C131" i="21"/>
  <c r="D131" i="21"/>
  <c r="E131" i="21"/>
  <c r="F131" i="21"/>
  <c r="B132" i="21"/>
  <c r="C132" i="21"/>
  <c r="D132" i="21"/>
  <c r="E132" i="21"/>
  <c r="F132" i="21"/>
  <c r="B133" i="21"/>
  <c r="C133" i="21"/>
  <c r="D133" i="21"/>
  <c r="E133" i="21"/>
  <c r="F133" i="21"/>
  <c r="B134" i="21"/>
  <c r="C134" i="21"/>
  <c r="D134" i="21"/>
  <c r="E134" i="21"/>
  <c r="F134" i="21"/>
  <c r="B135" i="21"/>
  <c r="C135" i="21"/>
  <c r="D135" i="21"/>
  <c r="E135" i="21"/>
  <c r="F135" i="21"/>
  <c r="B136" i="21"/>
  <c r="C136" i="21"/>
  <c r="D136" i="21"/>
  <c r="E136" i="21"/>
  <c r="F136" i="21"/>
  <c r="B137" i="21"/>
  <c r="C137" i="21"/>
  <c r="D137" i="21"/>
  <c r="E137" i="21"/>
  <c r="F137" i="21"/>
  <c r="B138" i="21"/>
  <c r="C138" i="21"/>
  <c r="D138" i="21"/>
  <c r="E138" i="21"/>
  <c r="F138" i="21"/>
  <c r="B139" i="21"/>
  <c r="C139" i="21"/>
  <c r="D139" i="21"/>
  <c r="E139" i="21"/>
  <c r="F139" i="21"/>
  <c r="B140" i="21"/>
  <c r="C140" i="21"/>
  <c r="D140" i="21"/>
  <c r="E140" i="21"/>
  <c r="F140" i="21"/>
  <c r="B141" i="21"/>
  <c r="C141" i="21"/>
  <c r="D141" i="21"/>
  <c r="E141" i="21"/>
  <c r="F141" i="21"/>
  <c r="B142" i="21"/>
  <c r="C142" i="21"/>
  <c r="D142" i="21"/>
  <c r="E142" i="21"/>
  <c r="F142" i="21"/>
  <c r="B143" i="21"/>
  <c r="C143" i="21"/>
  <c r="D143" i="21"/>
  <c r="E143" i="21"/>
  <c r="F143" i="21"/>
  <c r="B144" i="21"/>
  <c r="C144" i="21"/>
  <c r="D144" i="21"/>
  <c r="E144" i="21"/>
  <c r="F144" i="21"/>
  <c r="B145" i="21"/>
  <c r="C145" i="21"/>
  <c r="D145" i="21"/>
  <c r="E145" i="21"/>
  <c r="F145" i="21"/>
  <c r="B146" i="21"/>
  <c r="C146" i="21"/>
  <c r="D146" i="21"/>
  <c r="E146" i="21"/>
  <c r="F146" i="21"/>
  <c r="B147" i="21"/>
  <c r="C147" i="21"/>
  <c r="D147" i="21"/>
  <c r="E147" i="21"/>
  <c r="F147" i="21"/>
  <c r="B148" i="21"/>
  <c r="C148" i="21"/>
  <c r="D148" i="21"/>
  <c r="E148" i="21"/>
  <c r="F148" i="21"/>
  <c r="B149" i="21"/>
  <c r="C149" i="21"/>
  <c r="D149" i="21"/>
  <c r="E149" i="21"/>
  <c r="F149" i="21"/>
  <c r="B150" i="21"/>
  <c r="C150" i="21"/>
  <c r="D150" i="21"/>
  <c r="E150" i="21"/>
  <c r="F150" i="21"/>
  <c r="B151" i="21"/>
  <c r="C151" i="21"/>
  <c r="D151" i="21"/>
  <c r="E151" i="21"/>
  <c r="F151" i="21"/>
  <c r="B152" i="21"/>
  <c r="C152" i="21"/>
  <c r="D152" i="21"/>
  <c r="E152" i="21"/>
  <c r="F152" i="21"/>
  <c r="B153" i="21"/>
  <c r="C153" i="21"/>
  <c r="D153" i="21"/>
  <c r="E153" i="21"/>
  <c r="F153" i="21"/>
  <c r="B154" i="21"/>
  <c r="C154" i="21"/>
  <c r="D154" i="21"/>
  <c r="E154" i="21"/>
  <c r="F154" i="21"/>
  <c r="B155" i="21"/>
  <c r="C155" i="21"/>
  <c r="D155" i="21"/>
  <c r="E155" i="21"/>
  <c r="F155" i="21"/>
  <c r="B156" i="21"/>
  <c r="C156" i="21"/>
  <c r="D156" i="21"/>
  <c r="E156" i="21"/>
  <c r="F156" i="21"/>
  <c r="B157" i="21"/>
  <c r="C157" i="21"/>
  <c r="D157" i="21"/>
  <c r="E157" i="21"/>
  <c r="F157" i="21"/>
  <c r="B158" i="21"/>
  <c r="C158" i="21"/>
  <c r="D158" i="21"/>
  <c r="E158" i="21"/>
  <c r="F158" i="21"/>
  <c r="B159" i="21"/>
  <c r="C159" i="21"/>
  <c r="D159" i="21"/>
  <c r="E159" i="21"/>
  <c r="F159" i="21"/>
  <c r="B160" i="21"/>
  <c r="C160" i="21"/>
  <c r="D160" i="21"/>
  <c r="E160" i="21"/>
  <c r="F160" i="21"/>
  <c r="B161" i="21"/>
  <c r="C161" i="21"/>
  <c r="D161" i="21"/>
  <c r="E161" i="21"/>
  <c r="F161" i="21"/>
  <c r="B162" i="21"/>
  <c r="C162" i="21"/>
  <c r="D162" i="21"/>
  <c r="E162" i="21"/>
  <c r="F162" i="21"/>
  <c r="B163" i="21"/>
  <c r="C163" i="21"/>
  <c r="D163" i="21"/>
  <c r="E163" i="21"/>
  <c r="F163" i="21"/>
  <c r="B164" i="21"/>
  <c r="C164" i="21"/>
  <c r="D164" i="21"/>
  <c r="E164" i="21"/>
  <c r="F164" i="21"/>
  <c r="B165" i="21"/>
  <c r="C165" i="21"/>
  <c r="D165" i="21"/>
  <c r="E165" i="21"/>
  <c r="F165" i="21"/>
  <c r="B166" i="21"/>
  <c r="C166" i="21"/>
  <c r="D166" i="21"/>
  <c r="E166" i="21"/>
  <c r="F166" i="21"/>
  <c r="B167" i="21"/>
  <c r="C167" i="21"/>
  <c r="D167" i="21"/>
  <c r="E167" i="21"/>
  <c r="F167" i="21"/>
  <c r="B168" i="21"/>
  <c r="C168" i="21"/>
  <c r="D168" i="21"/>
  <c r="E168" i="21"/>
  <c r="F168" i="21"/>
  <c r="B169" i="21"/>
  <c r="C169" i="21"/>
  <c r="D169" i="21"/>
  <c r="E169" i="21"/>
  <c r="F169" i="21"/>
  <c r="B170" i="21"/>
  <c r="C170" i="21"/>
  <c r="D170" i="21"/>
  <c r="E170" i="21"/>
  <c r="F170" i="21"/>
  <c r="B171" i="21"/>
  <c r="C171" i="21"/>
  <c r="D171" i="21"/>
  <c r="E171" i="21"/>
  <c r="F171" i="21"/>
  <c r="B172" i="21"/>
  <c r="C172" i="21"/>
  <c r="D172" i="21"/>
  <c r="E172" i="21"/>
  <c r="F172" i="21"/>
  <c r="B173" i="21"/>
  <c r="C173" i="21"/>
  <c r="D173" i="21"/>
  <c r="E173" i="21"/>
  <c r="F173" i="21"/>
  <c r="B174" i="21"/>
  <c r="C174" i="21"/>
  <c r="D174" i="21"/>
  <c r="E174" i="21"/>
  <c r="F174" i="21"/>
  <c r="B175" i="21"/>
  <c r="C175" i="21"/>
  <c r="D175" i="21"/>
  <c r="E175" i="21"/>
  <c r="F175" i="21"/>
  <c r="B176" i="21"/>
  <c r="C176" i="21"/>
  <c r="D176" i="21"/>
  <c r="E176" i="21"/>
  <c r="F176" i="21"/>
  <c r="B177" i="21"/>
  <c r="C177" i="21"/>
  <c r="D177" i="21"/>
  <c r="E177" i="21"/>
  <c r="F177" i="21"/>
  <c r="B178" i="21"/>
  <c r="C178" i="21"/>
  <c r="D178" i="21"/>
  <c r="E178" i="21"/>
  <c r="F178" i="21"/>
  <c r="B179" i="21"/>
  <c r="C179" i="21"/>
  <c r="D179" i="21"/>
  <c r="E179" i="21"/>
  <c r="F179" i="21"/>
  <c r="B180" i="21"/>
  <c r="C180" i="21"/>
  <c r="D180" i="21"/>
  <c r="E180" i="21"/>
  <c r="F180" i="21"/>
  <c r="B181" i="21"/>
  <c r="C181" i="21"/>
  <c r="D181" i="21"/>
  <c r="E181" i="21"/>
  <c r="F181" i="21"/>
  <c r="B182" i="21"/>
  <c r="C182" i="21"/>
  <c r="D182" i="21"/>
  <c r="E182" i="21"/>
  <c r="F182" i="21"/>
  <c r="B183" i="21"/>
  <c r="C183" i="21"/>
  <c r="D183" i="21"/>
  <c r="E183" i="21"/>
  <c r="F183" i="21"/>
  <c r="B184" i="21"/>
  <c r="C184" i="21"/>
  <c r="D184" i="21"/>
  <c r="E184" i="21"/>
  <c r="F184" i="21"/>
  <c r="B185" i="21"/>
  <c r="C185" i="21"/>
  <c r="D185" i="21"/>
  <c r="E185" i="21"/>
  <c r="F185" i="21"/>
  <c r="B186" i="21"/>
  <c r="C186" i="21"/>
  <c r="D186" i="21"/>
  <c r="E186" i="21"/>
  <c r="F186" i="21"/>
  <c r="B187" i="21"/>
  <c r="C187" i="21"/>
  <c r="D187" i="21"/>
  <c r="E187" i="21"/>
  <c r="F187" i="21"/>
  <c r="B188" i="21"/>
  <c r="C188" i="21"/>
  <c r="D188" i="21"/>
  <c r="E188" i="21"/>
  <c r="F188" i="21"/>
  <c r="B189" i="21"/>
  <c r="C189" i="21"/>
  <c r="D189" i="21"/>
  <c r="E189" i="21"/>
  <c r="F189" i="21"/>
  <c r="B190" i="21"/>
  <c r="C190" i="21"/>
  <c r="D190" i="21"/>
  <c r="E190" i="21"/>
  <c r="F190" i="21"/>
  <c r="B191" i="21"/>
  <c r="C191" i="21"/>
  <c r="D191" i="21"/>
  <c r="E191" i="21"/>
  <c r="F191" i="21"/>
  <c r="B192" i="21"/>
  <c r="C192" i="21"/>
  <c r="D192" i="21"/>
  <c r="E192" i="21"/>
  <c r="F192" i="21"/>
  <c r="B193" i="21"/>
  <c r="C193" i="21"/>
  <c r="D193" i="21"/>
  <c r="E193" i="21"/>
  <c r="F193" i="21"/>
  <c r="B194" i="21"/>
  <c r="C194" i="21"/>
  <c r="D194" i="21"/>
  <c r="E194" i="21"/>
  <c r="F194" i="21"/>
  <c r="B195" i="21"/>
  <c r="C195" i="21"/>
  <c r="D195" i="21"/>
  <c r="E195" i="21"/>
  <c r="F195" i="21"/>
  <c r="B196" i="21"/>
  <c r="C196" i="21"/>
  <c r="D196" i="21"/>
  <c r="E196" i="21"/>
  <c r="F196" i="21"/>
  <c r="B197" i="21"/>
  <c r="C197" i="21"/>
  <c r="D197" i="21"/>
  <c r="E197" i="21"/>
  <c r="F197" i="21"/>
  <c r="B198" i="21"/>
  <c r="C198" i="21"/>
  <c r="D198" i="21"/>
  <c r="E198" i="21"/>
  <c r="F198" i="21"/>
  <c r="B199" i="21"/>
  <c r="C199" i="21"/>
  <c r="D199" i="21"/>
  <c r="E199" i="21"/>
  <c r="F199" i="21"/>
  <c r="B200" i="21"/>
  <c r="C200" i="21"/>
  <c r="D200" i="21"/>
  <c r="E200" i="21"/>
  <c r="F200" i="21"/>
  <c r="B201" i="21"/>
  <c r="C201" i="21"/>
  <c r="D201" i="21"/>
  <c r="E201" i="21"/>
  <c r="F201" i="21"/>
  <c r="B202" i="21"/>
  <c r="C202" i="21"/>
  <c r="D202" i="21"/>
  <c r="E202" i="21"/>
  <c r="F202" i="21"/>
  <c r="B203" i="21"/>
  <c r="C203" i="21"/>
  <c r="D203" i="21"/>
  <c r="E203" i="21"/>
  <c r="F203" i="21"/>
  <c r="B204" i="21"/>
  <c r="C204" i="21"/>
  <c r="D204" i="21"/>
  <c r="E204" i="21"/>
  <c r="F204" i="21"/>
  <c r="B205" i="21"/>
  <c r="C205" i="21"/>
  <c r="D205" i="21"/>
  <c r="E205" i="21"/>
  <c r="F205" i="21"/>
  <c r="B206" i="21"/>
  <c r="C206" i="21"/>
  <c r="D206" i="21"/>
  <c r="E206" i="21"/>
  <c r="F206" i="21"/>
  <c r="B207" i="21"/>
  <c r="C207" i="21"/>
  <c r="D207" i="21"/>
  <c r="E207" i="21"/>
  <c r="F207" i="21"/>
  <c r="B208" i="21"/>
  <c r="C208" i="21"/>
  <c r="D208" i="21"/>
  <c r="E208" i="21"/>
  <c r="F208" i="21"/>
  <c r="B209" i="21"/>
  <c r="C209" i="21"/>
  <c r="D209" i="21"/>
  <c r="E209" i="21"/>
  <c r="F209" i="21"/>
  <c r="B210" i="21"/>
  <c r="C210" i="21"/>
  <c r="D210" i="21"/>
  <c r="E210" i="21"/>
  <c r="F210" i="21"/>
  <c r="B211" i="21"/>
  <c r="C211" i="21"/>
  <c r="D211" i="21"/>
  <c r="E211" i="21"/>
  <c r="F211" i="21"/>
  <c r="B212" i="21"/>
  <c r="C212" i="21"/>
  <c r="D212" i="21"/>
  <c r="E212" i="21"/>
  <c r="F212" i="21"/>
  <c r="B213" i="21"/>
  <c r="C213" i="21"/>
  <c r="D213" i="21"/>
  <c r="E213" i="21"/>
  <c r="F213" i="21"/>
  <c r="B214" i="21"/>
  <c r="C214" i="21"/>
  <c r="D214" i="21"/>
  <c r="E214" i="21"/>
  <c r="F214" i="21"/>
  <c r="B215" i="21"/>
  <c r="C215" i="21"/>
  <c r="D215" i="21"/>
  <c r="E215" i="21"/>
  <c r="F215" i="21"/>
  <c r="B216" i="21"/>
  <c r="C216" i="21"/>
  <c r="D216" i="21"/>
  <c r="E216" i="21"/>
  <c r="F216" i="21"/>
  <c r="B217" i="21"/>
  <c r="C217" i="21"/>
  <c r="D217" i="21"/>
  <c r="E217" i="21"/>
  <c r="F217" i="21"/>
  <c r="B218" i="21"/>
  <c r="C218" i="21"/>
  <c r="D218" i="21"/>
  <c r="E218" i="21"/>
  <c r="F218" i="21"/>
  <c r="B219" i="21"/>
  <c r="C219" i="21"/>
  <c r="D219" i="21"/>
  <c r="E219" i="21"/>
  <c r="F219" i="21"/>
  <c r="B220" i="21"/>
  <c r="C220" i="21"/>
  <c r="D220" i="21"/>
  <c r="E220" i="21"/>
  <c r="F220" i="21"/>
  <c r="B221" i="21"/>
  <c r="C221" i="21"/>
  <c r="D221" i="21"/>
  <c r="E221" i="21"/>
  <c r="F221" i="21"/>
  <c r="B222" i="21"/>
  <c r="C222" i="21"/>
  <c r="D222" i="21"/>
  <c r="E222" i="21"/>
  <c r="F222" i="21"/>
  <c r="B223" i="21"/>
  <c r="C223" i="21"/>
  <c r="D223" i="21"/>
  <c r="E223" i="21"/>
  <c r="F223" i="21"/>
  <c r="B224" i="21"/>
  <c r="C224" i="21"/>
  <c r="D224" i="21"/>
  <c r="E224" i="21"/>
  <c r="F224" i="21"/>
  <c r="B225" i="21"/>
  <c r="C225" i="21"/>
  <c r="D225" i="21"/>
  <c r="E225" i="21"/>
  <c r="F225" i="21"/>
  <c r="B226" i="21"/>
  <c r="C226" i="21"/>
  <c r="D226" i="21"/>
  <c r="E226" i="21"/>
  <c r="F226" i="21"/>
  <c r="B227" i="21"/>
  <c r="C227" i="21"/>
  <c r="D227" i="21"/>
  <c r="E227" i="21"/>
  <c r="F227" i="21"/>
  <c r="B228" i="21"/>
  <c r="C228" i="21"/>
  <c r="D228" i="21"/>
  <c r="E228" i="21"/>
  <c r="F228" i="21"/>
  <c r="B229" i="21"/>
  <c r="C229" i="21"/>
  <c r="D229" i="21"/>
  <c r="E229" i="21"/>
  <c r="F229" i="21"/>
  <c r="B230" i="21"/>
  <c r="C230" i="21"/>
  <c r="D230" i="21"/>
  <c r="E230" i="21"/>
  <c r="F230" i="21"/>
  <c r="B231" i="21"/>
  <c r="C231" i="21"/>
  <c r="D231" i="21"/>
  <c r="E231" i="21"/>
  <c r="F231" i="21"/>
  <c r="B232" i="21"/>
  <c r="C232" i="21"/>
  <c r="D232" i="21"/>
  <c r="E232" i="21"/>
  <c r="F232" i="21"/>
  <c r="B233" i="21"/>
  <c r="C233" i="21"/>
  <c r="D233" i="21"/>
  <c r="E233" i="21"/>
  <c r="F233" i="21"/>
  <c r="B234" i="21"/>
  <c r="C234" i="21"/>
  <c r="D234" i="21"/>
  <c r="E234" i="21"/>
  <c r="F234" i="21"/>
  <c r="B235" i="21"/>
  <c r="C235" i="21"/>
  <c r="D235" i="21"/>
  <c r="E235" i="21"/>
  <c r="F235" i="21"/>
  <c r="B236" i="21"/>
  <c r="C236" i="21"/>
  <c r="D236" i="21"/>
  <c r="E236" i="21"/>
  <c r="F236" i="21"/>
  <c r="B237" i="21"/>
  <c r="C237" i="21"/>
  <c r="D237" i="21"/>
  <c r="E237" i="21"/>
  <c r="F237" i="21"/>
  <c r="B238" i="21"/>
  <c r="C238" i="21"/>
  <c r="D238" i="21"/>
  <c r="E238" i="21"/>
  <c r="F238" i="21"/>
  <c r="B239" i="21"/>
  <c r="C239" i="21"/>
  <c r="D239" i="21"/>
  <c r="E239" i="21"/>
  <c r="F239" i="21"/>
  <c r="B240" i="21"/>
  <c r="C240" i="21"/>
  <c r="D240" i="21"/>
  <c r="E240" i="21"/>
  <c r="F240" i="21"/>
  <c r="B241" i="21"/>
  <c r="C241" i="21"/>
  <c r="D241" i="21"/>
  <c r="E241" i="21"/>
  <c r="F241" i="21"/>
  <c r="B242" i="21"/>
  <c r="C242" i="21"/>
  <c r="D242" i="21"/>
  <c r="E242" i="21"/>
  <c r="F242" i="21"/>
  <c r="B243" i="21"/>
  <c r="C243" i="21"/>
  <c r="D243" i="21"/>
  <c r="E243" i="21"/>
  <c r="F243" i="21"/>
  <c r="B244" i="21"/>
  <c r="C244" i="21"/>
  <c r="D244" i="21"/>
  <c r="E244" i="21"/>
  <c r="F244" i="21"/>
  <c r="B245" i="21"/>
  <c r="C245" i="21"/>
  <c r="D245" i="21"/>
  <c r="E245" i="21"/>
  <c r="F245" i="21"/>
  <c r="B246" i="21"/>
  <c r="C246" i="21"/>
  <c r="D246" i="21"/>
  <c r="E246" i="21"/>
  <c r="F246" i="21"/>
  <c r="B247" i="21"/>
  <c r="C247" i="21"/>
  <c r="D247" i="21"/>
  <c r="E247" i="21"/>
  <c r="F247" i="21"/>
  <c r="B248" i="21"/>
  <c r="C248" i="21"/>
  <c r="D248" i="21"/>
  <c r="E248" i="21"/>
  <c r="F248" i="21"/>
  <c r="B249" i="21"/>
  <c r="C249" i="21"/>
  <c r="D249" i="21"/>
  <c r="E249" i="21"/>
  <c r="F249" i="21"/>
  <c r="B250" i="21"/>
  <c r="C250" i="21"/>
  <c r="D250" i="21"/>
  <c r="E250" i="21"/>
  <c r="F250" i="21"/>
  <c r="C11" i="21"/>
  <c r="D11" i="21"/>
  <c r="E11" i="21"/>
  <c r="F11" i="21"/>
  <c r="B11" i="21"/>
  <c r="C9" i="21"/>
  <c r="D9" i="21"/>
  <c r="E9" i="21"/>
  <c r="F9" i="21"/>
  <c r="B9" i="21"/>
  <c r="A12" i="21"/>
  <c r="A13" i="21"/>
  <c r="A14" i="21"/>
  <c r="A15" i="21"/>
  <c r="A16" i="21"/>
  <c r="A17" i="21"/>
  <c r="A18" i="21"/>
  <c r="A19" i="21"/>
  <c r="A20" i="21"/>
  <c r="A21" i="21"/>
  <c r="A22" i="21"/>
  <c r="A23" i="21"/>
  <c r="A24" i="21"/>
  <c r="A25" i="21"/>
  <c r="A26" i="21"/>
  <c r="A27" i="21"/>
  <c r="A28" i="21"/>
  <c r="A29" i="21"/>
  <c r="A30" i="21"/>
  <c r="A31" i="21"/>
  <c r="A32" i="21"/>
  <c r="A33" i="21"/>
  <c r="A34" i="21"/>
  <c r="A35" i="21"/>
  <c r="A36" i="21"/>
  <c r="A37" i="21"/>
  <c r="A38" i="21"/>
  <c r="A39" i="21"/>
  <c r="A40" i="21"/>
  <c r="A41" i="21"/>
  <c r="A42" i="21"/>
  <c r="A43" i="21"/>
  <c r="A44" i="21"/>
  <c r="A45" i="21"/>
  <c r="A46" i="21"/>
  <c r="A47" i="21"/>
  <c r="A48" i="21"/>
  <c r="A49" i="21"/>
  <c r="A50" i="21"/>
  <c r="A51" i="21"/>
  <c r="A52" i="21"/>
  <c r="A53" i="21"/>
  <c r="A54" i="21"/>
  <c r="A55" i="21"/>
  <c r="A56" i="21"/>
  <c r="A57" i="21"/>
  <c r="A58" i="21"/>
  <c r="A59" i="21"/>
  <c r="A60" i="21"/>
  <c r="A61" i="21"/>
  <c r="A62" i="21"/>
  <c r="A63" i="21"/>
  <c r="A64" i="21"/>
  <c r="A65" i="21"/>
  <c r="A66" i="21"/>
  <c r="A67" i="21"/>
  <c r="A68" i="21"/>
  <c r="A69" i="21"/>
  <c r="A70" i="21"/>
  <c r="A71" i="21"/>
  <c r="A72" i="21"/>
  <c r="A73" i="21"/>
  <c r="A74" i="21"/>
  <c r="A75" i="21"/>
  <c r="A76" i="21"/>
  <c r="A77" i="21"/>
  <c r="A78" i="21"/>
  <c r="A79" i="21"/>
  <c r="A80" i="21"/>
  <c r="A81" i="21"/>
  <c r="A82" i="21"/>
  <c r="A83" i="21"/>
  <c r="A84" i="21"/>
  <c r="A85" i="21"/>
  <c r="A86" i="21"/>
  <c r="A87" i="21"/>
  <c r="A88" i="21"/>
  <c r="A89" i="21"/>
  <c r="A90" i="21"/>
  <c r="A91" i="21"/>
  <c r="A92" i="21"/>
  <c r="A93" i="21"/>
  <c r="A94" i="21"/>
  <c r="A95" i="21"/>
  <c r="A96" i="21"/>
  <c r="A97" i="21"/>
  <c r="A98" i="21"/>
  <c r="A99" i="21"/>
  <c r="A100" i="21"/>
  <c r="A101" i="21"/>
  <c r="A102" i="21"/>
  <c r="A103" i="21"/>
  <c r="A104" i="21"/>
  <c r="A105" i="21"/>
  <c r="A106" i="21"/>
  <c r="A107" i="21"/>
  <c r="A108" i="21"/>
  <c r="A109" i="21"/>
  <c r="A110" i="21"/>
  <c r="A111" i="21"/>
  <c r="A112" i="21"/>
  <c r="A113" i="21"/>
  <c r="A114" i="21"/>
  <c r="A115" i="21"/>
  <c r="A116" i="21"/>
  <c r="A117" i="21"/>
  <c r="A118" i="21"/>
  <c r="A119" i="21"/>
  <c r="A120" i="21"/>
  <c r="A121" i="21"/>
  <c r="A122" i="21"/>
  <c r="A123" i="21"/>
  <c r="A124" i="21"/>
  <c r="A125" i="21"/>
  <c r="A126" i="21"/>
  <c r="A127" i="21"/>
  <c r="A128" i="21"/>
  <c r="A129" i="21"/>
  <c r="A130" i="21"/>
  <c r="A131" i="21"/>
  <c r="A132" i="21"/>
  <c r="A133" i="21"/>
  <c r="A134" i="21"/>
  <c r="A135" i="21"/>
  <c r="A136" i="21"/>
  <c r="A137" i="21"/>
  <c r="A138" i="21"/>
  <c r="A139" i="21"/>
  <c r="A140" i="21"/>
  <c r="A141" i="21"/>
  <c r="A142" i="21"/>
  <c r="A143" i="21"/>
  <c r="A144" i="21"/>
  <c r="A145" i="21"/>
  <c r="A146" i="21"/>
  <c r="A147" i="21"/>
  <c r="A148" i="21"/>
  <c r="A149" i="21"/>
  <c r="A150" i="21"/>
  <c r="A151" i="21"/>
  <c r="A152" i="21"/>
  <c r="A153" i="21"/>
  <c r="A154" i="21"/>
  <c r="A155" i="21"/>
  <c r="A156" i="21"/>
  <c r="A157" i="21"/>
  <c r="A158" i="21"/>
  <c r="A159" i="21"/>
  <c r="A160" i="21"/>
  <c r="A161" i="21"/>
  <c r="A162" i="21"/>
  <c r="A163" i="21"/>
  <c r="A164" i="21"/>
  <c r="A165" i="21"/>
  <c r="A166" i="21"/>
  <c r="A167" i="21"/>
  <c r="A168" i="21"/>
  <c r="A169" i="21"/>
  <c r="A170" i="21"/>
  <c r="A171" i="21"/>
  <c r="A172" i="21"/>
  <c r="A173" i="21"/>
  <c r="A174" i="21"/>
  <c r="A175" i="21"/>
  <c r="A176" i="21"/>
  <c r="A177" i="21"/>
  <c r="A178" i="21"/>
  <c r="A179" i="21"/>
  <c r="A180" i="21"/>
  <c r="A181" i="21"/>
  <c r="A182" i="21"/>
  <c r="A183" i="21"/>
  <c r="A184" i="21"/>
  <c r="A185" i="21"/>
  <c r="A186" i="21"/>
  <c r="A187" i="21"/>
  <c r="A188" i="21"/>
  <c r="A189" i="21"/>
  <c r="A190" i="21"/>
  <c r="A191" i="21"/>
  <c r="A192" i="21"/>
  <c r="A193" i="21"/>
  <c r="A194" i="21"/>
  <c r="A195" i="21"/>
  <c r="A196" i="21"/>
  <c r="A197" i="21"/>
  <c r="A198" i="21"/>
  <c r="A199" i="21"/>
  <c r="A200" i="21"/>
  <c r="A201" i="21"/>
  <c r="A202" i="21"/>
  <c r="A203" i="21"/>
  <c r="A204" i="21"/>
  <c r="A205" i="21"/>
  <c r="A206" i="21"/>
  <c r="A207" i="21"/>
  <c r="A208" i="21"/>
  <c r="A209" i="21"/>
  <c r="A210" i="21"/>
  <c r="A211" i="21"/>
  <c r="A212" i="21"/>
  <c r="A213" i="21"/>
  <c r="A214" i="21"/>
  <c r="A215" i="21"/>
  <c r="A216" i="21"/>
  <c r="A217" i="21"/>
  <c r="A218" i="21"/>
  <c r="A219" i="21"/>
  <c r="A220" i="21"/>
  <c r="A221" i="21"/>
  <c r="A222" i="21"/>
  <c r="A223" i="21"/>
  <c r="A224" i="21"/>
  <c r="A225" i="21"/>
  <c r="A226" i="21"/>
  <c r="A227" i="21"/>
  <c r="A228" i="21"/>
  <c r="A229" i="21"/>
  <c r="A230" i="21"/>
  <c r="A231" i="21"/>
  <c r="A232" i="21"/>
  <c r="A233" i="21"/>
  <c r="A234" i="21"/>
  <c r="A235" i="21"/>
  <c r="A236" i="21"/>
  <c r="A237" i="21"/>
  <c r="A238" i="21"/>
  <c r="A239" i="21"/>
  <c r="A240" i="21"/>
  <c r="A241" i="21"/>
  <c r="A242" i="21"/>
  <c r="A243" i="21"/>
  <c r="A244" i="21"/>
  <c r="A245" i="21"/>
  <c r="A246" i="21"/>
  <c r="A247" i="21"/>
  <c r="A248" i="21"/>
  <c r="A249" i="21"/>
  <c r="A250" i="21"/>
  <c r="A11" i="21"/>
  <c r="T11" i="10"/>
  <c r="B2" i="16"/>
  <c r="D18" i="10"/>
  <c r="E18" i="10"/>
  <c r="B4" i="16"/>
  <c r="D18" i="9"/>
  <c r="E18" i="9"/>
  <c r="B6" i="16"/>
  <c r="A2" i="16"/>
  <c r="C2" i="16"/>
  <c r="D21" i="9"/>
  <c r="V37" i="2"/>
  <c r="AD46" i="2"/>
  <c r="D19" i="10"/>
  <c r="N42" i="2"/>
  <c r="AF46" i="2"/>
  <c r="F46" i="2"/>
  <c r="AH46" i="2"/>
  <c r="AI46" i="2"/>
  <c r="C7" i="11"/>
  <c r="E19" i="10"/>
  <c r="D20" i="10"/>
  <c r="E20" i="10"/>
  <c r="D21" i="10"/>
  <c r="E21" i="10"/>
  <c r="D22" i="10"/>
  <c r="E22" i="10"/>
  <c r="D23" i="10"/>
  <c r="E23" i="10"/>
  <c r="D24" i="10"/>
  <c r="E24" i="10"/>
  <c r="D25" i="10"/>
  <c r="E25" i="10"/>
  <c r="D26" i="10"/>
  <c r="E26" i="10"/>
  <c r="D27" i="10"/>
  <c r="E27" i="10"/>
  <c r="D28" i="10"/>
  <c r="E28" i="10"/>
  <c r="D29" i="10"/>
  <c r="E29" i="10"/>
  <c r="D30" i="10"/>
  <c r="E30" i="10"/>
  <c r="B31" i="10"/>
  <c r="C31" i="10"/>
  <c r="D31" i="10"/>
  <c r="E31" i="10"/>
  <c r="B32" i="10"/>
  <c r="C32" i="10"/>
  <c r="D32" i="10"/>
  <c r="E32" i="10"/>
  <c r="B33" i="10"/>
  <c r="C33" i="10"/>
  <c r="D33" i="10"/>
  <c r="E33" i="10"/>
  <c r="B34" i="10"/>
  <c r="C34" i="10"/>
  <c r="D34" i="10"/>
  <c r="E34" i="10"/>
  <c r="D35" i="10"/>
  <c r="E35" i="10"/>
  <c r="A36" i="10"/>
  <c r="B36" i="10"/>
  <c r="C36" i="10"/>
  <c r="D36" i="10"/>
  <c r="E36" i="10"/>
  <c r="A37" i="10"/>
  <c r="B37" i="10"/>
  <c r="C37" i="10"/>
  <c r="D37" i="10"/>
  <c r="E37" i="10"/>
  <c r="A38" i="10"/>
  <c r="B38" i="10"/>
  <c r="C38" i="10"/>
  <c r="D38" i="10"/>
  <c r="E38" i="10"/>
  <c r="A39" i="10"/>
  <c r="B39" i="10"/>
  <c r="C39" i="10"/>
  <c r="D39" i="10"/>
  <c r="E39" i="10"/>
  <c r="A40" i="10"/>
  <c r="B40" i="10"/>
  <c r="C40" i="10"/>
  <c r="D40" i="10"/>
  <c r="E40" i="10"/>
  <c r="A41" i="10"/>
  <c r="B41" i="10"/>
  <c r="C41" i="10"/>
  <c r="D41" i="10"/>
  <c r="E41" i="10"/>
  <c r="A42" i="10"/>
  <c r="B42" i="10"/>
  <c r="C42" i="10"/>
  <c r="D42" i="10"/>
  <c r="E42" i="10"/>
  <c r="A43" i="10"/>
  <c r="B43" i="10"/>
  <c r="C43" i="10"/>
  <c r="D43" i="10"/>
  <c r="E43" i="10"/>
  <c r="A44" i="10"/>
  <c r="B44" i="10"/>
  <c r="C44" i="10"/>
  <c r="D44" i="10"/>
  <c r="E44" i="10"/>
  <c r="A45" i="10"/>
  <c r="B45" i="10"/>
  <c r="C45" i="10"/>
  <c r="D45" i="10"/>
  <c r="E45" i="10"/>
  <c r="A46" i="10"/>
  <c r="B46" i="10"/>
  <c r="C46" i="10"/>
  <c r="D46" i="10"/>
  <c r="E46" i="10"/>
  <c r="A47" i="10"/>
  <c r="B47" i="10"/>
  <c r="C47" i="10"/>
  <c r="D47" i="10"/>
  <c r="E47" i="10"/>
  <c r="A48" i="10"/>
  <c r="B48" i="10"/>
  <c r="C48" i="10"/>
  <c r="D48" i="10"/>
  <c r="E48" i="10"/>
  <c r="A49" i="10"/>
  <c r="B49" i="10"/>
  <c r="C49" i="10"/>
  <c r="D49" i="10"/>
  <c r="E49" i="10"/>
  <c r="A50" i="10"/>
  <c r="B50" i="10"/>
  <c r="C50" i="10"/>
  <c r="D50" i="10"/>
  <c r="E50" i="10"/>
  <c r="A51" i="10"/>
  <c r="B51" i="10"/>
  <c r="C51" i="10"/>
  <c r="D51" i="10"/>
  <c r="E51" i="10"/>
  <c r="A52" i="10"/>
  <c r="B52" i="10"/>
  <c r="C52" i="10"/>
  <c r="D52" i="10"/>
  <c r="E52" i="10"/>
  <c r="A53" i="10"/>
  <c r="B53" i="10"/>
  <c r="C53" i="10"/>
  <c r="D53" i="10"/>
  <c r="E53" i="10"/>
  <c r="A54" i="10"/>
  <c r="B54" i="10"/>
  <c r="C54" i="10"/>
  <c r="D54" i="10"/>
  <c r="E54" i="10"/>
  <c r="A55" i="10"/>
  <c r="B55" i="10"/>
  <c r="C55" i="10"/>
  <c r="D55" i="10"/>
  <c r="E55" i="10"/>
  <c r="A56" i="10"/>
  <c r="B56" i="10"/>
  <c r="C56" i="10"/>
  <c r="D56" i="10"/>
  <c r="E56" i="10"/>
  <c r="A57" i="10"/>
  <c r="B57" i="10"/>
  <c r="C57" i="10"/>
  <c r="D57" i="10"/>
  <c r="E57" i="10"/>
  <c r="A58" i="10"/>
  <c r="B58" i="10"/>
  <c r="C58" i="10"/>
  <c r="D58" i="10"/>
  <c r="E58" i="10"/>
  <c r="A59" i="10"/>
  <c r="B59" i="10"/>
  <c r="C59" i="10"/>
  <c r="D59" i="10"/>
  <c r="E59" i="10"/>
  <c r="A60" i="10"/>
  <c r="B60" i="10"/>
  <c r="C60" i="10"/>
  <c r="D60" i="10"/>
  <c r="E60" i="10"/>
  <c r="A61" i="10"/>
  <c r="B61" i="10"/>
  <c r="C61" i="10"/>
  <c r="D61" i="10"/>
  <c r="E61" i="10"/>
  <c r="A62" i="10"/>
  <c r="B62" i="10"/>
  <c r="C62" i="10"/>
  <c r="D62" i="10"/>
  <c r="E62" i="10"/>
  <c r="A63" i="10"/>
  <c r="B63" i="10"/>
  <c r="C63" i="10"/>
  <c r="D63" i="10"/>
  <c r="E63" i="10"/>
  <c r="A64" i="10"/>
  <c r="B64" i="10"/>
  <c r="C64" i="10"/>
  <c r="D64" i="10"/>
  <c r="E64" i="10"/>
  <c r="A65" i="10"/>
  <c r="B65" i="10"/>
  <c r="C65" i="10"/>
  <c r="D65" i="10"/>
  <c r="E65" i="10"/>
  <c r="A66" i="10"/>
  <c r="B66" i="10"/>
  <c r="C66" i="10"/>
  <c r="D66" i="10"/>
  <c r="E66" i="10"/>
  <c r="A67" i="10"/>
  <c r="B67" i="10"/>
  <c r="C67" i="10"/>
  <c r="D67" i="10"/>
  <c r="E67" i="10"/>
  <c r="A68" i="10"/>
  <c r="B68" i="10"/>
  <c r="C68" i="10"/>
  <c r="D68" i="10"/>
  <c r="E68" i="10"/>
  <c r="A69" i="10"/>
  <c r="B69" i="10"/>
  <c r="C69" i="10"/>
  <c r="D69" i="10"/>
  <c r="E69" i="10"/>
  <c r="A70" i="10"/>
  <c r="B70" i="10"/>
  <c r="C70" i="10"/>
  <c r="D70" i="10"/>
  <c r="E70" i="10"/>
  <c r="A71" i="10"/>
  <c r="B71" i="10"/>
  <c r="C71" i="10"/>
  <c r="D71" i="10"/>
  <c r="E71" i="10"/>
  <c r="A72" i="10"/>
  <c r="B72" i="10"/>
  <c r="C72" i="10"/>
  <c r="D72" i="10"/>
  <c r="E72" i="10"/>
  <c r="A73" i="10"/>
  <c r="B73" i="10"/>
  <c r="C73" i="10"/>
  <c r="D73" i="10"/>
  <c r="E73" i="10"/>
  <c r="A74" i="10"/>
  <c r="B74" i="10"/>
  <c r="C74" i="10"/>
  <c r="D74" i="10"/>
  <c r="E74" i="10"/>
  <c r="A75" i="10"/>
  <c r="B75" i="10"/>
  <c r="C75" i="10"/>
  <c r="D75" i="10"/>
  <c r="E75" i="10"/>
  <c r="A76" i="10"/>
  <c r="B76" i="10"/>
  <c r="C76" i="10"/>
  <c r="D76" i="10"/>
  <c r="E76" i="10"/>
  <c r="A77" i="10"/>
  <c r="B77" i="10"/>
  <c r="C77" i="10"/>
  <c r="D77" i="10"/>
  <c r="E77" i="10"/>
  <c r="A78" i="10"/>
  <c r="B78" i="10"/>
  <c r="C78" i="10"/>
  <c r="D78" i="10"/>
  <c r="E78" i="10"/>
  <c r="A79" i="10"/>
  <c r="B79" i="10"/>
  <c r="C79" i="10"/>
  <c r="D79" i="10"/>
  <c r="E79" i="10"/>
  <c r="A80" i="10"/>
  <c r="B80" i="10"/>
  <c r="C80" i="10"/>
  <c r="D80" i="10"/>
  <c r="E80" i="10"/>
  <c r="A81" i="10"/>
  <c r="B81" i="10"/>
  <c r="C81" i="10"/>
  <c r="D81" i="10"/>
  <c r="E81" i="10"/>
  <c r="A82" i="10"/>
  <c r="B82" i="10"/>
  <c r="C82" i="10"/>
  <c r="D82" i="10"/>
  <c r="E82" i="10"/>
  <c r="A83" i="10"/>
  <c r="B83" i="10"/>
  <c r="C83" i="10"/>
  <c r="D83" i="10"/>
  <c r="E83" i="10"/>
  <c r="A84" i="10"/>
  <c r="B84" i="10"/>
  <c r="C84" i="10"/>
  <c r="D84" i="10"/>
  <c r="E84" i="10"/>
  <c r="A85" i="10"/>
  <c r="B85" i="10"/>
  <c r="C85" i="10"/>
  <c r="D85" i="10"/>
  <c r="E85" i="10"/>
  <c r="A86" i="10"/>
  <c r="B86" i="10"/>
  <c r="C86" i="10"/>
  <c r="D86" i="10"/>
  <c r="E86" i="10"/>
  <c r="A87" i="10"/>
  <c r="B87" i="10"/>
  <c r="C87" i="10"/>
  <c r="D87" i="10"/>
  <c r="E87" i="10"/>
  <c r="A88" i="10"/>
  <c r="B88" i="10"/>
  <c r="C88" i="10"/>
  <c r="D88" i="10"/>
  <c r="E88" i="10"/>
  <c r="A89" i="10"/>
  <c r="B89" i="10"/>
  <c r="C89" i="10"/>
  <c r="D89" i="10"/>
  <c r="E89" i="10"/>
  <c r="A90" i="10"/>
  <c r="B90" i="10"/>
  <c r="C90" i="10"/>
  <c r="D90" i="10"/>
  <c r="E90" i="10"/>
  <c r="A91" i="10"/>
  <c r="B91" i="10"/>
  <c r="C91" i="10"/>
  <c r="D91" i="10"/>
  <c r="E91" i="10"/>
  <c r="A92" i="10"/>
  <c r="B92" i="10"/>
  <c r="C92" i="10"/>
  <c r="D92" i="10"/>
  <c r="E92" i="10"/>
  <c r="A93" i="10"/>
  <c r="B93" i="10"/>
  <c r="C93" i="10"/>
  <c r="D93" i="10"/>
  <c r="E93" i="10"/>
  <c r="A94" i="10"/>
  <c r="B94" i="10"/>
  <c r="C94" i="10"/>
  <c r="D94" i="10"/>
  <c r="E94" i="10"/>
  <c r="A95" i="10"/>
  <c r="B95" i="10"/>
  <c r="C95" i="10"/>
  <c r="D95" i="10"/>
  <c r="E95" i="10"/>
  <c r="A96" i="10"/>
  <c r="B96" i="10"/>
  <c r="C96" i="10"/>
  <c r="D96" i="10"/>
  <c r="E96" i="10"/>
  <c r="A97" i="10"/>
  <c r="B97" i="10"/>
  <c r="C97" i="10"/>
  <c r="D97" i="10"/>
  <c r="E97" i="10"/>
  <c r="A98" i="10"/>
  <c r="B98" i="10"/>
  <c r="C98" i="10"/>
  <c r="D98" i="10"/>
  <c r="E98" i="10"/>
  <c r="A99" i="10"/>
  <c r="B99" i="10"/>
  <c r="C99" i="10"/>
  <c r="D99" i="10"/>
  <c r="E99" i="10"/>
  <c r="A100" i="10"/>
  <c r="B100" i="10"/>
  <c r="C100" i="10"/>
  <c r="D100" i="10"/>
  <c r="E100" i="10"/>
  <c r="A101" i="10"/>
  <c r="B101" i="10"/>
  <c r="C101" i="10"/>
  <c r="D101" i="10"/>
  <c r="E101" i="10"/>
  <c r="A102" i="10"/>
  <c r="B102" i="10"/>
  <c r="C102" i="10"/>
  <c r="D102" i="10"/>
  <c r="E102" i="10"/>
  <c r="A103" i="10"/>
  <c r="B103" i="10"/>
  <c r="C103" i="10"/>
  <c r="D103" i="10"/>
  <c r="E103" i="10"/>
  <c r="A104" i="10"/>
  <c r="B104" i="10"/>
  <c r="C104" i="10"/>
  <c r="D104" i="10"/>
  <c r="E104" i="10"/>
  <c r="A105" i="10"/>
  <c r="B105" i="10"/>
  <c r="C105" i="10"/>
  <c r="D105" i="10"/>
  <c r="E105" i="10"/>
  <c r="A106" i="10"/>
  <c r="B106" i="10"/>
  <c r="C106" i="10"/>
  <c r="D106" i="10"/>
  <c r="E106" i="10"/>
  <c r="A107" i="10"/>
  <c r="B107" i="10"/>
  <c r="C107" i="10"/>
  <c r="D107" i="10"/>
  <c r="E107" i="10"/>
  <c r="A108" i="10"/>
  <c r="B108" i="10"/>
  <c r="C108" i="10"/>
  <c r="D108" i="10"/>
  <c r="E108" i="10"/>
  <c r="A109" i="10"/>
  <c r="B109" i="10"/>
  <c r="C109" i="10"/>
  <c r="D109" i="10"/>
  <c r="E109" i="10"/>
  <c r="A110" i="10"/>
  <c r="B110" i="10"/>
  <c r="C110" i="10"/>
  <c r="D110" i="10"/>
  <c r="E110" i="10"/>
  <c r="A111" i="10"/>
  <c r="B111" i="10"/>
  <c r="C111" i="10"/>
  <c r="D111" i="10"/>
  <c r="E111" i="10"/>
  <c r="A112" i="10"/>
  <c r="B112" i="10"/>
  <c r="C112" i="10"/>
  <c r="D112" i="10"/>
  <c r="E112" i="10"/>
  <c r="A113" i="10"/>
  <c r="B113" i="10"/>
  <c r="C113" i="10"/>
  <c r="D113" i="10"/>
  <c r="E113" i="10"/>
  <c r="A114" i="10"/>
  <c r="B114" i="10"/>
  <c r="C114" i="10"/>
  <c r="D114" i="10"/>
  <c r="E114" i="10"/>
  <c r="A115" i="10"/>
  <c r="B115" i="10"/>
  <c r="C115" i="10"/>
  <c r="D115" i="10"/>
  <c r="E115" i="10"/>
  <c r="A116" i="10"/>
  <c r="B116" i="10"/>
  <c r="C116" i="10"/>
  <c r="D116" i="10"/>
  <c r="E116" i="10"/>
  <c r="A117" i="10"/>
  <c r="B117" i="10"/>
  <c r="C117" i="10"/>
  <c r="D117" i="10"/>
  <c r="E117" i="10"/>
  <c r="A118" i="10"/>
  <c r="B118" i="10"/>
  <c r="C118" i="10"/>
  <c r="D118" i="10"/>
  <c r="E118" i="10"/>
  <c r="D7" i="11"/>
  <c r="D19" i="9"/>
  <c r="E19" i="9"/>
  <c r="D20" i="9"/>
  <c r="E20" i="9"/>
  <c r="E21" i="9"/>
  <c r="D22" i="9"/>
  <c r="E22" i="9"/>
  <c r="D23" i="9"/>
  <c r="E23" i="9"/>
  <c r="D24" i="9"/>
  <c r="E24" i="9"/>
  <c r="D25" i="9"/>
  <c r="E25" i="9"/>
  <c r="D26" i="9"/>
  <c r="E26" i="9"/>
  <c r="D27" i="9"/>
  <c r="E27" i="9"/>
  <c r="D28" i="9"/>
  <c r="E28" i="9"/>
  <c r="D29" i="9"/>
  <c r="E29" i="9"/>
  <c r="D30" i="9"/>
  <c r="E30" i="9"/>
  <c r="D31" i="9"/>
  <c r="E31" i="9"/>
  <c r="D32" i="9"/>
  <c r="E32" i="9"/>
  <c r="D33" i="9"/>
  <c r="E33" i="9"/>
  <c r="D34" i="9"/>
  <c r="E34" i="9"/>
  <c r="D35" i="9"/>
  <c r="E35" i="9"/>
  <c r="D36" i="9"/>
  <c r="E36" i="9"/>
  <c r="D37" i="9"/>
  <c r="E37" i="9"/>
  <c r="D38" i="9"/>
  <c r="E38" i="9"/>
  <c r="D39" i="9"/>
  <c r="E39" i="9"/>
  <c r="B40" i="9"/>
  <c r="C40" i="9"/>
  <c r="D40" i="9"/>
  <c r="E40" i="9"/>
  <c r="B41" i="9"/>
  <c r="C41" i="9"/>
  <c r="D41" i="9"/>
  <c r="E41" i="9"/>
  <c r="D42" i="9"/>
  <c r="E42" i="9"/>
  <c r="A43" i="9"/>
  <c r="B43" i="9"/>
  <c r="C43" i="9"/>
  <c r="D43" i="9"/>
  <c r="E43" i="9"/>
  <c r="A44" i="9"/>
  <c r="B44" i="9"/>
  <c r="C44" i="9"/>
  <c r="D44" i="9"/>
  <c r="E44" i="9"/>
  <c r="A45" i="9"/>
  <c r="B45" i="9"/>
  <c r="C45" i="9"/>
  <c r="D45" i="9"/>
  <c r="E45" i="9"/>
  <c r="A46" i="9"/>
  <c r="B46" i="9"/>
  <c r="C46" i="9"/>
  <c r="D46" i="9"/>
  <c r="E46" i="9"/>
  <c r="A47" i="9"/>
  <c r="B47" i="9"/>
  <c r="C47" i="9"/>
  <c r="D47" i="9"/>
  <c r="E47" i="9"/>
  <c r="A48" i="9"/>
  <c r="B48" i="9"/>
  <c r="C48" i="9"/>
  <c r="D48" i="9"/>
  <c r="E48" i="9"/>
  <c r="A49" i="9"/>
  <c r="B49" i="9"/>
  <c r="C49" i="9"/>
  <c r="D49" i="9"/>
  <c r="E49" i="9"/>
  <c r="A50" i="9"/>
  <c r="B50" i="9"/>
  <c r="C50" i="9"/>
  <c r="D50" i="9"/>
  <c r="E50" i="9"/>
  <c r="A51" i="9"/>
  <c r="B51" i="9"/>
  <c r="C51" i="9"/>
  <c r="D51" i="9"/>
  <c r="E51" i="9"/>
  <c r="A52" i="9"/>
  <c r="B52" i="9"/>
  <c r="C52" i="9"/>
  <c r="D52" i="9"/>
  <c r="E52" i="9"/>
  <c r="A53" i="9"/>
  <c r="B53" i="9"/>
  <c r="C53" i="9"/>
  <c r="D53" i="9"/>
  <c r="E53" i="9"/>
  <c r="A54" i="9"/>
  <c r="B54" i="9"/>
  <c r="C54" i="9"/>
  <c r="D54" i="9"/>
  <c r="E54" i="9"/>
  <c r="A55" i="9"/>
  <c r="B55" i="9"/>
  <c r="C55" i="9"/>
  <c r="D55" i="9"/>
  <c r="E55" i="9"/>
  <c r="A56" i="9"/>
  <c r="B56" i="9"/>
  <c r="C56" i="9"/>
  <c r="D56" i="9"/>
  <c r="E56" i="9"/>
  <c r="A57" i="9"/>
  <c r="B57" i="9"/>
  <c r="C57" i="9"/>
  <c r="D57" i="9"/>
  <c r="E57" i="9"/>
  <c r="A58" i="9"/>
  <c r="B58" i="9"/>
  <c r="C58" i="9"/>
  <c r="D58" i="9"/>
  <c r="E58" i="9"/>
  <c r="A59" i="9"/>
  <c r="B59" i="9"/>
  <c r="C59" i="9"/>
  <c r="D59" i="9"/>
  <c r="E59" i="9"/>
  <c r="A60" i="9"/>
  <c r="B60" i="9"/>
  <c r="C60" i="9"/>
  <c r="D60" i="9"/>
  <c r="E60" i="9"/>
  <c r="A61" i="9"/>
  <c r="B61" i="9"/>
  <c r="C61" i="9"/>
  <c r="D61" i="9"/>
  <c r="E61" i="9"/>
  <c r="A62" i="9"/>
  <c r="B62" i="9"/>
  <c r="C62" i="9"/>
  <c r="D62" i="9"/>
  <c r="E62" i="9"/>
  <c r="A63" i="9"/>
  <c r="B63" i="9"/>
  <c r="C63" i="9"/>
  <c r="D63" i="9"/>
  <c r="E63" i="9"/>
  <c r="A64" i="9"/>
  <c r="B64" i="9"/>
  <c r="C64" i="9"/>
  <c r="D64" i="9"/>
  <c r="E64" i="9"/>
  <c r="A65" i="9"/>
  <c r="B65" i="9"/>
  <c r="C65" i="9"/>
  <c r="D65" i="9"/>
  <c r="E65" i="9"/>
  <c r="A66" i="9"/>
  <c r="B66" i="9"/>
  <c r="C66" i="9"/>
  <c r="D66" i="9"/>
  <c r="E66" i="9"/>
  <c r="A67" i="9"/>
  <c r="B67" i="9"/>
  <c r="C67" i="9"/>
  <c r="D67" i="9"/>
  <c r="E67" i="9"/>
  <c r="A68" i="9"/>
  <c r="B68" i="9"/>
  <c r="C68" i="9"/>
  <c r="D68" i="9"/>
  <c r="E68" i="9"/>
  <c r="A69" i="9"/>
  <c r="B69" i="9"/>
  <c r="C69" i="9"/>
  <c r="D69" i="9"/>
  <c r="E69" i="9"/>
  <c r="A70" i="9"/>
  <c r="B70" i="9"/>
  <c r="C70" i="9"/>
  <c r="D70" i="9"/>
  <c r="E70" i="9"/>
  <c r="A71" i="9"/>
  <c r="B71" i="9"/>
  <c r="C71" i="9"/>
  <c r="D71" i="9"/>
  <c r="E71" i="9"/>
  <c r="A72" i="9"/>
  <c r="B72" i="9"/>
  <c r="C72" i="9"/>
  <c r="D72" i="9"/>
  <c r="E72" i="9"/>
  <c r="A73" i="9"/>
  <c r="B73" i="9"/>
  <c r="C73" i="9"/>
  <c r="D73" i="9"/>
  <c r="E73" i="9"/>
  <c r="A74" i="9"/>
  <c r="B74" i="9"/>
  <c r="C74" i="9"/>
  <c r="D74" i="9"/>
  <c r="E74" i="9"/>
  <c r="A75" i="9"/>
  <c r="B75" i="9"/>
  <c r="C75" i="9"/>
  <c r="D75" i="9"/>
  <c r="E75" i="9"/>
  <c r="A76" i="9"/>
  <c r="B76" i="9"/>
  <c r="C76" i="9"/>
  <c r="D76" i="9"/>
  <c r="E76" i="9"/>
  <c r="A77" i="9"/>
  <c r="B77" i="9"/>
  <c r="C77" i="9"/>
  <c r="D77" i="9"/>
  <c r="E77" i="9"/>
  <c r="A78" i="9"/>
  <c r="B78" i="9"/>
  <c r="C78" i="9"/>
  <c r="D78" i="9"/>
  <c r="E78" i="9"/>
  <c r="A79" i="9"/>
  <c r="B79" i="9"/>
  <c r="C79" i="9"/>
  <c r="D79" i="9"/>
  <c r="E79" i="9"/>
  <c r="A80" i="9"/>
  <c r="B80" i="9"/>
  <c r="C80" i="9"/>
  <c r="D80" i="9"/>
  <c r="E80" i="9"/>
  <c r="A81" i="9"/>
  <c r="B81" i="9"/>
  <c r="C81" i="9"/>
  <c r="D81" i="9"/>
  <c r="E81" i="9"/>
  <c r="A82" i="9"/>
  <c r="B82" i="9"/>
  <c r="C82" i="9"/>
  <c r="D82" i="9"/>
  <c r="E82" i="9"/>
  <c r="A83" i="9"/>
  <c r="B83" i="9"/>
  <c r="C83" i="9"/>
  <c r="D83" i="9"/>
  <c r="E83" i="9"/>
  <c r="A84" i="9"/>
  <c r="B84" i="9"/>
  <c r="C84" i="9"/>
  <c r="D84" i="9"/>
  <c r="E84" i="9"/>
  <c r="A85" i="9"/>
  <c r="B85" i="9"/>
  <c r="C85" i="9"/>
  <c r="D85" i="9"/>
  <c r="E85" i="9"/>
  <c r="A86" i="9"/>
  <c r="B86" i="9"/>
  <c r="C86" i="9"/>
  <c r="D86" i="9"/>
  <c r="E86" i="9"/>
  <c r="A87" i="9"/>
  <c r="B87" i="9"/>
  <c r="C87" i="9"/>
  <c r="D87" i="9"/>
  <c r="E87" i="9"/>
  <c r="A88" i="9"/>
  <c r="B88" i="9"/>
  <c r="C88" i="9"/>
  <c r="D88" i="9"/>
  <c r="E88" i="9"/>
  <c r="A89" i="9"/>
  <c r="B89" i="9"/>
  <c r="C89" i="9"/>
  <c r="D89" i="9"/>
  <c r="E89" i="9"/>
  <c r="A90" i="9"/>
  <c r="B90" i="9"/>
  <c r="C90" i="9"/>
  <c r="D90" i="9"/>
  <c r="E90" i="9"/>
  <c r="A91" i="9"/>
  <c r="B91" i="9"/>
  <c r="C91" i="9"/>
  <c r="D91" i="9"/>
  <c r="E91" i="9"/>
  <c r="A92" i="9"/>
  <c r="B92" i="9"/>
  <c r="C92" i="9"/>
  <c r="D92" i="9"/>
  <c r="E92" i="9"/>
  <c r="A93" i="9"/>
  <c r="B93" i="9"/>
  <c r="C93" i="9"/>
  <c r="D93" i="9"/>
  <c r="E93" i="9"/>
  <c r="A94" i="9"/>
  <c r="B94" i="9"/>
  <c r="C94" i="9"/>
  <c r="D94" i="9"/>
  <c r="E94" i="9"/>
  <c r="A95" i="9"/>
  <c r="B95" i="9"/>
  <c r="C95" i="9"/>
  <c r="D95" i="9"/>
  <c r="E95" i="9"/>
  <c r="A96" i="9"/>
  <c r="B96" i="9"/>
  <c r="C96" i="9"/>
  <c r="D96" i="9"/>
  <c r="E96" i="9"/>
  <c r="A97" i="9"/>
  <c r="B97" i="9"/>
  <c r="C97" i="9"/>
  <c r="D97" i="9"/>
  <c r="E97" i="9"/>
  <c r="A98" i="9"/>
  <c r="B98" i="9"/>
  <c r="C98" i="9"/>
  <c r="D98" i="9"/>
  <c r="E98" i="9"/>
  <c r="A99" i="9"/>
  <c r="B99" i="9"/>
  <c r="C99" i="9"/>
  <c r="D99" i="9"/>
  <c r="E99" i="9"/>
  <c r="A100" i="9"/>
  <c r="B100" i="9"/>
  <c r="C100" i="9"/>
  <c r="D100" i="9"/>
  <c r="E100" i="9"/>
  <c r="A101" i="9"/>
  <c r="B101" i="9"/>
  <c r="C101" i="9"/>
  <c r="D101" i="9"/>
  <c r="E101" i="9"/>
  <c r="A102" i="9"/>
  <c r="B102" i="9"/>
  <c r="C102" i="9"/>
  <c r="D102" i="9"/>
  <c r="E102" i="9"/>
  <c r="A103" i="9"/>
  <c r="B103" i="9"/>
  <c r="C103" i="9"/>
  <c r="D103" i="9"/>
  <c r="E103" i="9"/>
  <c r="A104" i="9"/>
  <c r="B104" i="9"/>
  <c r="C104" i="9"/>
  <c r="D104" i="9"/>
  <c r="E104" i="9"/>
  <c r="A105" i="9"/>
  <c r="B105" i="9"/>
  <c r="C105" i="9"/>
  <c r="D105" i="9"/>
  <c r="E105" i="9"/>
  <c r="A106" i="9"/>
  <c r="B106" i="9"/>
  <c r="C106" i="9"/>
  <c r="D106" i="9"/>
  <c r="E106" i="9"/>
  <c r="A107" i="9"/>
  <c r="B107" i="9"/>
  <c r="C107" i="9"/>
  <c r="D107" i="9"/>
  <c r="E107" i="9"/>
  <c r="A108" i="9"/>
  <c r="B108" i="9"/>
  <c r="C108" i="9"/>
  <c r="D108" i="9"/>
  <c r="E108" i="9"/>
  <c r="A109" i="9"/>
  <c r="B109" i="9"/>
  <c r="C109" i="9"/>
  <c r="D109" i="9"/>
  <c r="E109" i="9"/>
  <c r="A110" i="9"/>
  <c r="B110" i="9"/>
  <c r="C110" i="9"/>
  <c r="D110" i="9"/>
  <c r="E110" i="9"/>
  <c r="A111" i="9"/>
  <c r="B111" i="9"/>
  <c r="C111" i="9"/>
  <c r="D111" i="9"/>
  <c r="E111" i="9"/>
  <c r="A112" i="9"/>
  <c r="B112" i="9"/>
  <c r="C112" i="9"/>
  <c r="D112" i="9"/>
  <c r="E112" i="9"/>
  <c r="A113" i="9"/>
  <c r="B113" i="9"/>
  <c r="C113" i="9"/>
  <c r="D113" i="9"/>
  <c r="E113" i="9"/>
  <c r="A114" i="9"/>
  <c r="B114" i="9"/>
  <c r="C114" i="9"/>
  <c r="D114" i="9"/>
  <c r="E114" i="9"/>
  <c r="A115" i="9"/>
  <c r="B115" i="9"/>
  <c r="C115" i="9"/>
  <c r="D115" i="9"/>
  <c r="E115" i="9"/>
  <c r="A116" i="9"/>
  <c r="B116" i="9"/>
  <c r="C116" i="9"/>
  <c r="D116" i="9"/>
  <c r="E116" i="9"/>
  <c r="A117" i="9"/>
  <c r="B117" i="9"/>
  <c r="C117" i="9"/>
  <c r="D117" i="9"/>
  <c r="E117" i="9"/>
  <c r="A118" i="9"/>
  <c r="B118" i="9"/>
  <c r="C118" i="9"/>
  <c r="D118" i="9"/>
  <c r="E118" i="9"/>
  <c r="A119" i="9"/>
  <c r="B119" i="9"/>
  <c r="C119" i="9"/>
  <c r="D119" i="9"/>
  <c r="E119" i="9"/>
  <c r="A120" i="9"/>
  <c r="B120" i="9"/>
  <c r="C120" i="9"/>
  <c r="D120" i="9"/>
  <c r="E120" i="9"/>
  <c r="A121" i="9"/>
  <c r="B121" i="9"/>
  <c r="C121" i="9"/>
  <c r="D121" i="9"/>
  <c r="E121" i="9"/>
  <c r="A122" i="9"/>
  <c r="B122" i="9"/>
  <c r="C122" i="9"/>
  <c r="D122" i="9"/>
  <c r="E122" i="9"/>
  <c r="A123" i="9"/>
  <c r="B123" i="9"/>
  <c r="C123" i="9"/>
  <c r="D123" i="9"/>
  <c r="E123" i="9"/>
  <c r="A124" i="9"/>
  <c r="B124" i="9"/>
  <c r="C124" i="9"/>
  <c r="D124" i="9"/>
  <c r="E124" i="9"/>
  <c r="A125" i="9"/>
  <c r="B125" i="9"/>
  <c r="C125" i="9"/>
  <c r="D125" i="9"/>
  <c r="E125" i="9"/>
  <c r="E7" i="11"/>
  <c r="G7" i="11"/>
  <c r="V40" i="2"/>
  <c r="AD48" i="2"/>
  <c r="V38" i="2"/>
  <c r="AD47" i="2"/>
  <c r="V42" i="2"/>
  <c r="AD49" i="2"/>
  <c r="V43" i="2"/>
  <c r="AD50" i="2"/>
  <c r="V45" i="2"/>
  <c r="AD51" i="2"/>
  <c r="V46" i="2"/>
  <c r="AD52" i="2"/>
  <c r="V49" i="2"/>
  <c r="AD53" i="2"/>
  <c r="V51" i="2"/>
  <c r="AD54" i="2"/>
  <c r="V54" i="2"/>
  <c r="AD55" i="2"/>
  <c r="V56" i="2"/>
  <c r="AD56" i="2"/>
  <c r="F58" i="2"/>
  <c r="N58" i="2"/>
  <c r="V58" i="2"/>
  <c r="AM58" i="2"/>
  <c r="F59" i="2"/>
  <c r="N59" i="2"/>
  <c r="V59" i="2"/>
  <c r="AM59" i="2"/>
  <c r="F60" i="2"/>
  <c r="N60" i="2"/>
  <c r="V60" i="2"/>
  <c r="AM60" i="2"/>
  <c r="F61" i="2"/>
  <c r="N61" i="2"/>
  <c r="V61" i="2"/>
  <c r="AM61" i="2"/>
  <c r="F62" i="2"/>
  <c r="N62" i="2"/>
  <c r="V62" i="2"/>
  <c r="AM62" i="2"/>
  <c r="F63" i="2"/>
  <c r="N63" i="2"/>
  <c r="V63" i="2"/>
  <c r="AM63" i="2"/>
  <c r="F64" i="2"/>
  <c r="N64" i="2"/>
  <c r="V64" i="2"/>
  <c r="AM64" i="2"/>
  <c r="F65" i="2"/>
  <c r="N65" i="2"/>
  <c r="V65" i="2"/>
  <c r="AM65" i="2"/>
  <c r="F66" i="2"/>
  <c r="N66" i="2"/>
  <c r="V66" i="2"/>
  <c r="AM66" i="2"/>
  <c r="F67" i="2"/>
  <c r="N67" i="2"/>
  <c r="V67" i="2"/>
  <c r="AM67" i="2"/>
  <c r="F68" i="2"/>
  <c r="N68" i="2"/>
  <c r="V68" i="2"/>
  <c r="AM68" i="2"/>
  <c r="F69" i="2"/>
  <c r="N69" i="2"/>
  <c r="V69" i="2"/>
  <c r="AM69" i="2"/>
  <c r="F70" i="2"/>
  <c r="N70" i="2"/>
  <c r="V70" i="2"/>
  <c r="AM70" i="2"/>
  <c r="F71" i="2"/>
  <c r="N71" i="2"/>
  <c r="V71" i="2"/>
  <c r="AM71" i="2"/>
  <c r="F72" i="2"/>
  <c r="N72" i="2"/>
  <c r="V72" i="2"/>
  <c r="AM72" i="2"/>
  <c r="F73" i="2"/>
  <c r="N73" i="2"/>
  <c r="V73" i="2"/>
  <c r="AM73" i="2"/>
  <c r="F74" i="2"/>
  <c r="N74" i="2"/>
  <c r="V74" i="2"/>
  <c r="AM74" i="2"/>
  <c r="F75" i="2"/>
  <c r="N75" i="2"/>
  <c r="V75" i="2"/>
  <c r="AM75" i="2"/>
  <c r="F76" i="2"/>
  <c r="N76" i="2"/>
  <c r="V76" i="2"/>
  <c r="AM76" i="2"/>
  <c r="F77" i="2"/>
  <c r="N77" i="2"/>
  <c r="V77" i="2"/>
  <c r="AM77" i="2"/>
  <c r="F78" i="2"/>
  <c r="N78" i="2"/>
  <c r="V78" i="2"/>
  <c r="AM78" i="2"/>
  <c r="F79" i="2"/>
  <c r="N79" i="2"/>
  <c r="V79" i="2"/>
  <c r="AM79" i="2"/>
  <c r="F80" i="2"/>
  <c r="N80" i="2"/>
  <c r="V80" i="2"/>
  <c r="AM80" i="2"/>
  <c r="F81" i="2"/>
  <c r="N81" i="2"/>
  <c r="V81" i="2"/>
  <c r="AM81" i="2"/>
  <c r="F82" i="2"/>
  <c r="N82" i="2"/>
  <c r="V82" i="2"/>
  <c r="AM82" i="2"/>
  <c r="F83" i="2"/>
  <c r="N83" i="2"/>
  <c r="V83" i="2"/>
  <c r="AM83" i="2"/>
  <c r="F84" i="2"/>
  <c r="N84" i="2"/>
  <c r="V84" i="2"/>
  <c r="AM84" i="2"/>
  <c r="F85" i="2"/>
  <c r="N85" i="2"/>
  <c r="V85" i="2"/>
  <c r="AM85" i="2"/>
  <c r="F86" i="2"/>
  <c r="N86" i="2"/>
  <c r="V86" i="2"/>
  <c r="AM86" i="2"/>
  <c r="F87" i="2"/>
  <c r="N87" i="2"/>
  <c r="V87" i="2"/>
  <c r="AM87" i="2"/>
  <c r="F88" i="2"/>
  <c r="N88" i="2"/>
  <c r="V88" i="2"/>
  <c r="AM88" i="2"/>
  <c r="F89" i="2"/>
  <c r="N89" i="2"/>
  <c r="V89" i="2"/>
  <c r="AM89" i="2"/>
  <c r="F90" i="2"/>
  <c r="N90" i="2"/>
  <c r="V90" i="2"/>
  <c r="AM90" i="2"/>
  <c r="F91" i="2"/>
  <c r="N91" i="2"/>
  <c r="V91" i="2"/>
  <c r="AM91" i="2"/>
  <c r="F92" i="2"/>
  <c r="N92" i="2"/>
  <c r="V92" i="2"/>
  <c r="AM92" i="2"/>
  <c r="F93" i="2"/>
  <c r="N93" i="2"/>
  <c r="V93" i="2"/>
  <c r="AM93" i="2"/>
  <c r="F94" i="2"/>
  <c r="N94" i="2"/>
  <c r="V94" i="2"/>
  <c r="AM94" i="2"/>
  <c r="F95" i="2"/>
  <c r="N95" i="2"/>
  <c r="V95" i="2"/>
  <c r="AM95" i="2"/>
  <c r="F96" i="2"/>
  <c r="N96" i="2"/>
  <c r="V96" i="2"/>
  <c r="AM96" i="2"/>
  <c r="F97" i="2"/>
  <c r="N97" i="2"/>
  <c r="V97" i="2"/>
  <c r="AM97" i="2"/>
  <c r="F98" i="2"/>
  <c r="N98" i="2"/>
  <c r="V98" i="2"/>
  <c r="AM98" i="2"/>
  <c r="F99" i="2"/>
  <c r="N99" i="2"/>
  <c r="V99" i="2"/>
  <c r="AM99" i="2"/>
  <c r="F100" i="2"/>
  <c r="N100" i="2"/>
  <c r="V100" i="2"/>
  <c r="AM100" i="2"/>
  <c r="F101" i="2"/>
  <c r="N101" i="2"/>
  <c r="V101" i="2"/>
  <c r="AM101" i="2"/>
  <c r="F102" i="2"/>
  <c r="N102" i="2"/>
  <c r="V102" i="2"/>
  <c r="AM102" i="2"/>
  <c r="F103" i="2"/>
  <c r="N103" i="2"/>
  <c r="V103" i="2"/>
  <c r="AM103" i="2"/>
  <c r="F104" i="2"/>
  <c r="N104" i="2"/>
  <c r="V104" i="2"/>
  <c r="AM104" i="2"/>
  <c r="F105" i="2"/>
  <c r="N105" i="2"/>
  <c r="V105" i="2"/>
  <c r="AM105" i="2"/>
  <c r="F106" i="2"/>
  <c r="N106" i="2"/>
  <c r="V106" i="2"/>
  <c r="AM106" i="2"/>
  <c r="F107" i="2"/>
  <c r="N107" i="2"/>
  <c r="V107" i="2"/>
  <c r="AM107" i="2"/>
  <c r="F108" i="2"/>
  <c r="N108" i="2"/>
  <c r="V108" i="2"/>
  <c r="AM108" i="2"/>
  <c r="F109" i="2"/>
  <c r="N109" i="2"/>
  <c r="V109" i="2"/>
  <c r="AM109" i="2"/>
  <c r="F110" i="2"/>
  <c r="N110" i="2"/>
  <c r="V110" i="2"/>
  <c r="AM110" i="2"/>
  <c r="F111" i="2"/>
  <c r="N111" i="2"/>
  <c r="V111" i="2"/>
  <c r="AM111" i="2"/>
  <c r="F112" i="2"/>
  <c r="N112" i="2"/>
  <c r="V112" i="2"/>
  <c r="AM112" i="2"/>
  <c r="F113" i="2"/>
  <c r="N113" i="2"/>
  <c r="V113" i="2"/>
  <c r="AM113" i="2"/>
  <c r="F114" i="2"/>
  <c r="N114" i="2"/>
  <c r="V114" i="2"/>
  <c r="AM114" i="2"/>
  <c r="F115" i="2"/>
  <c r="N115" i="2"/>
  <c r="V115" i="2"/>
  <c r="AM115" i="2"/>
  <c r="F116" i="2"/>
  <c r="N116" i="2"/>
  <c r="V116" i="2"/>
  <c r="AM116" i="2"/>
  <c r="F117" i="2"/>
  <c r="N117" i="2"/>
  <c r="V117" i="2"/>
  <c r="AM117" i="2"/>
  <c r="F118" i="2"/>
  <c r="N118" i="2"/>
  <c r="V118" i="2"/>
  <c r="AM118" i="2"/>
  <c r="F119" i="2"/>
  <c r="N119" i="2"/>
  <c r="V119" i="2"/>
  <c r="AM119" i="2"/>
  <c r="F120" i="2"/>
  <c r="N120" i="2"/>
  <c r="V120" i="2"/>
  <c r="AM120" i="2"/>
  <c r="F121" i="2"/>
  <c r="N121" i="2"/>
  <c r="V121" i="2"/>
  <c r="AM121" i="2"/>
  <c r="F122" i="2"/>
  <c r="N122" i="2"/>
  <c r="V122" i="2"/>
  <c r="AM122" i="2"/>
  <c r="F123" i="2"/>
  <c r="N123" i="2"/>
  <c r="V123" i="2"/>
  <c r="AM123" i="2"/>
  <c r="F124" i="2"/>
  <c r="N124" i="2"/>
  <c r="V124" i="2"/>
  <c r="AM124" i="2"/>
  <c r="F125" i="2"/>
  <c r="N125" i="2"/>
  <c r="V125" i="2"/>
  <c r="AM125" i="2"/>
  <c r="F126" i="2"/>
  <c r="N126" i="2"/>
  <c r="V126" i="2"/>
  <c r="AM126" i="2"/>
  <c r="F127" i="2"/>
  <c r="N127" i="2"/>
  <c r="V127" i="2"/>
  <c r="AM127" i="2"/>
  <c r="F128" i="2"/>
  <c r="N128" i="2"/>
  <c r="V128" i="2"/>
  <c r="AM128" i="2"/>
  <c r="F129" i="2"/>
  <c r="N129" i="2"/>
  <c r="V129" i="2"/>
  <c r="AM129" i="2"/>
  <c r="F130" i="2"/>
  <c r="N130" i="2"/>
  <c r="V130" i="2"/>
  <c r="AM130" i="2"/>
  <c r="F131" i="2"/>
  <c r="N131" i="2"/>
  <c r="V131" i="2"/>
  <c r="AM131" i="2"/>
  <c r="F132" i="2"/>
  <c r="N132" i="2"/>
  <c r="V132" i="2"/>
  <c r="AM132" i="2"/>
  <c r="F133" i="2"/>
  <c r="N133" i="2"/>
  <c r="V133" i="2"/>
  <c r="AM133" i="2"/>
  <c r="F134" i="2"/>
  <c r="N134" i="2"/>
  <c r="V134" i="2"/>
  <c r="AM134" i="2"/>
  <c r="F135" i="2"/>
  <c r="N135" i="2"/>
  <c r="V135" i="2"/>
  <c r="AM135" i="2"/>
  <c r="F136" i="2"/>
  <c r="N136" i="2"/>
  <c r="V136" i="2"/>
  <c r="AM136" i="2"/>
  <c r="F137" i="2"/>
  <c r="N137" i="2"/>
  <c r="V137" i="2"/>
  <c r="AM137" i="2"/>
  <c r="F138" i="2"/>
  <c r="N138" i="2"/>
  <c r="V138" i="2"/>
  <c r="AM138" i="2"/>
  <c r="F139" i="2"/>
  <c r="N139" i="2"/>
  <c r="V139" i="2"/>
  <c r="AM139" i="2"/>
  <c r="F140" i="2"/>
  <c r="N140" i="2"/>
  <c r="V140" i="2"/>
  <c r="AM140" i="2"/>
  <c r="F141" i="2"/>
  <c r="N141" i="2"/>
  <c r="V141" i="2"/>
  <c r="AM141" i="2"/>
  <c r="F142" i="2"/>
  <c r="A119" i="10"/>
  <c r="B119" i="10"/>
  <c r="C119" i="10"/>
  <c r="D119" i="10"/>
  <c r="N142" i="2"/>
  <c r="A126" i="9"/>
  <c r="B126" i="9"/>
  <c r="C126" i="9"/>
  <c r="D126" i="9"/>
  <c r="V142" i="2"/>
  <c r="AM142" i="2"/>
  <c r="F143" i="2"/>
  <c r="A120" i="10"/>
  <c r="B120" i="10"/>
  <c r="C120" i="10"/>
  <c r="D120" i="10"/>
  <c r="N143" i="2"/>
  <c r="A127" i="9"/>
  <c r="B127" i="9"/>
  <c r="C127" i="9"/>
  <c r="D127" i="9"/>
  <c r="V143" i="2"/>
  <c r="AM143" i="2"/>
  <c r="F144" i="2"/>
  <c r="A121" i="10"/>
  <c r="B121" i="10"/>
  <c r="C121" i="10"/>
  <c r="D121" i="10"/>
  <c r="N144" i="2"/>
  <c r="A128" i="9"/>
  <c r="B128" i="9"/>
  <c r="C128" i="9"/>
  <c r="D128" i="9"/>
  <c r="V144" i="2"/>
  <c r="AM144" i="2"/>
  <c r="F145" i="2"/>
  <c r="A122" i="10"/>
  <c r="B122" i="10"/>
  <c r="C122" i="10"/>
  <c r="D122" i="10"/>
  <c r="N145" i="2"/>
  <c r="A129" i="9"/>
  <c r="B129" i="9"/>
  <c r="C129" i="9"/>
  <c r="D129" i="9"/>
  <c r="V145" i="2"/>
  <c r="AM145" i="2"/>
  <c r="F146" i="2"/>
  <c r="A123" i="10"/>
  <c r="B123" i="10"/>
  <c r="C123" i="10"/>
  <c r="D123" i="10"/>
  <c r="N146" i="2"/>
  <c r="A130" i="9"/>
  <c r="B130" i="9"/>
  <c r="C130" i="9"/>
  <c r="D130" i="9"/>
  <c r="V146" i="2"/>
  <c r="AM146" i="2"/>
  <c r="F147" i="2"/>
  <c r="A124" i="10"/>
  <c r="B124" i="10"/>
  <c r="C124" i="10"/>
  <c r="D124" i="10"/>
  <c r="N147" i="2"/>
  <c r="A131" i="9"/>
  <c r="B131" i="9"/>
  <c r="C131" i="9"/>
  <c r="D131" i="9"/>
  <c r="V147" i="2"/>
  <c r="AM147" i="2"/>
  <c r="F148" i="2"/>
  <c r="A125" i="10"/>
  <c r="B125" i="10"/>
  <c r="C125" i="10"/>
  <c r="D125" i="10"/>
  <c r="N148" i="2"/>
  <c r="A132" i="9"/>
  <c r="B132" i="9"/>
  <c r="C132" i="9"/>
  <c r="D132" i="9"/>
  <c r="V148" i="2"/>
  <c r="AM148" i="2"/>
  <c r="F149" i="2"/>
  <c r="A126" i="10"/>
  <c r="B126" i="10"/>
  <c r="C126" i="10"/>
  <c r="D126" i="10"/>
  <c r="N149" i="2"/>
  <c r="A133" i="9"/>
  <c r="B133" i="9"/>
  <c r="C133" i="9"/>
  <c r="D133" i="9"/>
  <c r="V149" i="2"/>
  <c r="AM149" i="2"/>
  <c r="F150" i="2"/>
  <c r="A127" i="10"/>
  <c r="B127" i="10"/>
  <c r="C127" i="10"/>
  <c r="D127" i="10"/>
  <c r="N150" i="2"/>
  <c r="A134" i="9"/>
  <c r="B134" i="9"/>
  <c r="C134" i="9"/>
  <c r="D134" i="9"/>
  <c r="V150" i="2"/>
  <c r="AM150" i="2"/>
  <c r="F151" i="2"/>
  <c r="A128" i="10"/>
  <c r="B128" i="10"/>
  <c r="C128" i="10"/>
  <c r="D128" i="10"/>
  <c r="N151" i="2"/>
  <c r="A135" i="9"/>
  <c r="B135" i="9"/>
  <c r="C135" i="9"/>
  <c r="D135" i="9"/>
  <c r="V151" i="2"/>
  <c r="AM151" i="2"/>
  <c r="F152" i="2"/>
  <c r="A129" i="10"/>
  <c r="B129" i="10"/>
  <c r="C129" i="10"/>
  <c r="D129" i="10"/>
  <c r="N152" i="2"/>
  <c r="A136" i="9"/>
  <c r="B136" i="9"/>
  <c r="C136" i="9"/>
  <c r="D136" i="9"/>
  <c r="V152" i="2"/>
  <c r="AM152" i="2"/>
  <c r="F153" i="2"/>
  <c r="A130" i="10"/>
  <c r="B130" i="10"/>
  <c r="C130" i="10"/>
  <c r="D130" i="10"/>
  <c r="N153" i="2"/>
  <c r="A137" i="9"/>
  <c r="B137" i="9"/>
  <c r="C137" i="9"/>
  <c r="D137" i="9"/>
  <c r="V153" i="2"/>
  <c r="AM153" i="2"/>
  <c r="F154" i="2"/>
  <c r="A131" i="10"/>
  <c r="B131" i="10"/>
  <c r="C131" i="10"/>
  <c r="D131" i="10"/>
  <c r="N154" i="2"/>
  <c r="A138" i="9"/>
  <c r="B138" i="9"/>
  <c r="C138" i="9"/>
  <c r="D138" i="9"/>
  <c r="V154" i="2"/>
  <c r="AM154" i="2"/>
  <c r="F155" i="2"/>
  <c r="A132" i="10"/>
  <c r="B132" i="10"/>
  <c r="C132" i="10"/>
  <c r="D132" i="10"/>
  <c r="N155" i="2"/>
  <c r="A139" i="9"/>
  <c r="B139" i="9"/>
  <c r="C139" i="9"/>
  <c r="D139" i="9"/>
  <c r="V155" i="2"/>
  <c r="AM155" i="2"/>
  <c r="F156" i="2"/>
  <c r="A133" i="10"/>
  <c r="B133" i="10"/>
  <c r="C133" i="10"/>
  <c r="D133" i="10"/>
  <c r="N156" i="2"/>
  <c r="A140" i="9"/>
  <c r="B140" i="9"/>
  <c r="C140" i="9"/>
  <c r="D140" i="9"/>
  <c r="V156" i="2"/>
  <c r="AM156" i="2"/>
  <c r="F157" i="2"/>
  <c r="A134" i="10"/>
  <c r="B134" i="10"/>
  <c r="C134" i="10"/>
  <c r="D134" i="10"/>
  <c r="N157" i="2"/>
  <c r="A141" i="9"/>
  <c r="B141" i="9"/>
  <c r="C141" i="9"/>
  <c r="D141" i="9"/>
  <c r="V157" i="2"/>
  <c r="AM157" i="2"/>
  <c r="F158" i="2"/>
  <c r="A135" i="10"/>
  <c r="B135" i="10"/>
  <c r="C135" i="10"/>
  <c r="D135" i="10"/>
  <c r="N158" i="2"/>
  <c r="A142" i="9"/>
  <c r="B142" i="9"/>
  <c r="C142" i="9"/>
  <c r="D142" i="9"/>
  <c r="V158" i="2"/>
  <c r="AM158" i="2"/>
  <c r="F159" i="2"/>
  <c r="A136" i="10"/>
  <c r="B136" i="10"/>
  <c r="C136" i="10"/>
  <c r="D136" i="10"/>
  <c r="N159" i="2"/>
  <c r="A143" i="9"/>
  <c r="B143" i="9"/>
  <c r="C143" i="9"/>
  <c r="D143" i="9"/>
  <c r="V159" i="2"/>
  <c r="AM159" i="2"/>
  <c r="F160" i="2"/>
  <c r="A137" i="10"/>
  <c r="B137" i="10"/>
  <c r="C137" i="10"/>
  <c r="D137" i="10"/>
  <c r="N160" i="2"/>
  <c r="A144" i="9"/>
  <c r="B144" i="9"/>
  <c r="C144" i="9"/>
  <c r="D144" i="9"/>
  <c r="V160" i="2"/>
  <c r="AM160" i="2"/>
  <c r="F161" i="2"/>
  <c r="A138" i="10"/>
  <c r="B138" i="10"/>
  <c r="C138" i="10"/>
  <c r="D138" i="10"/>
  <c r="N161" i="2"/>
  <c r="A145" i="9"/>
  <c r="B145" i="9"/>
  <c r="C145" i="9"/>
  <c r="D145" i="9"/>
  <c r="V161" i="2"/>
  <c r="AM161" i="2"/>
  <c r="F162" i="2"/>
  <c r="A139" i="10"/>
  <c r="B139" i="10"/>
  <c r="C139" i="10"/>
  <c r="D139" i="10"/>
  <c r="N162" i="2"/>
  <c r="A146" i="9"/>
  <c r="B146" i="9"/>
  <c r="C146" i="9"/>
  <c r="D146" i="9"/>
  <c r="V162" i="2"/>
  <c r="AM162" i="2"/>
  <c r="F163" i="2"/>
  <c r="A140" i="10"/>
  <c r="B140" i="10"/>
  <c r="C140" i="10"/>
  <c r="D140" i="10"/>
  <c r="N163" i="2"/>
  <c r="A147" i="9"/>
  <c r="B147" i="9"/>
  <c r="C147" i="9"/>
  <c r="D147" i="9"/>
  <c r="V163" i="2"/>
  <c r="AM163" i="2"/>
  <c r="F164" i="2"/>
  <c r="A141" i="10"/>
  <c r="B141" i="10"/>
  <c r="C141" i="10"/>
  <c r="D141" i="10"/>
  <c r="N164" i="2"/>
  <c r="A148" i="9"/>
  <c r="B148" i="9"/>
  <c r="C148" i="9"/>
  <c r="D148" i="9"/>
  <c r="V164" i="2"/>
  <c r="AM164" i="2"/>
  <c r="F165" i="2"/>
  <c r="A142" i="10"/>
  <c r="B142" i="10"/>
  <c r="C142" i="10"/>
  <c r="D142" i="10"/>
  <c r="N165" i="2"/>
  <c r="A149" i="9"/>
  <c r="B149" i="9"/>
  <c r="C149" i="9"/>
  <c r="D149" i="9"/>
  <c r="V165" i="2"/>
  <c r="AM165" i="2"/>
  <c r="F166" i="2"/>
  <c r="A143" i="10"/>
  <c r="B143" i="10"/>
  <c r="C143" i="10"/>
  <c r="D143" i="10"/>
  <c r="N166" i="2"/>
  <c r="A150" i="9"/>
  <c r="B150" i="9"/>
  <c r="C150" i="9"/>
  <c r="D150" i="9"/>
  <c r="V166" i="2"/>
  <c r="AM166" i="2"/>
  <c r="F167" i="2"/>
  <c r="A144" i="10"/>
  <c r="B144" i="10"/>
  <c r="C144" i="10"/>
  <c r="D144" i="10"/>
  <c r="N167" i="2"/>
  <c r="A151" i="9"/>
  <c r="B151" i="9"/>
  <c r="C151" i="9"/>
  <c r="D151" i="9"/>
  <c r="V167" i="2"/>
  <c r="AM167" i="2"/>
  <c r="F168" i="2"/>
  <c r="A145" i="10"/>
  <c r="B145" i="10"/>
  <c r="C145" i="10"/>
  <c r="D145" i="10"/>
  <c r="N168" i="2"/>
  <c r="A152" i="9"/>
  <c r="B152" i="9"/>
  <c r="C152" i="9"/>
  <c r="D152" i="9"/>
  <c r="V168" i="2"/>
  <c r="AM168" i="2"/>
  <c r="F169" i="2"/>
  <c r="A146" i="10"/>
  <c r="B146" i="10"/>
  <c r="C146" i="10"/>
  <c r="D146" i="10"/>
  <c r="N169" i="2"/>
  <c r="A153" i="9"/>
  <c r="B153" i="9"/>
  <c r="C153" i="9"/>
  <c r="D153" i="9"/>
  <c r="V169" i="2"/>
  <c r="AM169" i="2"/>
  <c r="F170" i="2"/>
  <c r="A147" i="10"/>
  <c r="B147" i="10"/>
  <c r="C147" i="10"/>
  <c r="D147" i="10"/>
  <c r="N170" i="2"/>
  <c r="A154" i="9"/>
  <c r="B154" i="9"/>
  <c r="C154" i="9"/>
  <c r="D154" i="9"/>
  <c r="V170" i="2"/>
  <c r="AM170" i="2"/>
  <c r="F171" i="2"/>
  <c r="A148" i="10"/>
  <c r="B148" i="10"/>
  <c r="C148" i="10"/>
  <c r="D148" i="10"/>
  <c r="N171" i="2"/>
  <c r="A155" i="9"/>
  <c r="B155" i="9"/>
  <c r="C155" i="9"/>
  <c r="D155" i="9"/>
  <c r="V171" i="2"/>
  <c r="AM171" i="2"/>
  <c r="F172" i="2"/>
  <c r="A149" i="10"/>
  <c r="B149" i="10"/>
  <c r="C149" i="10"/>
  <c r="D149" i="10"/>
  <c r="N172" i="2"/>
  <c r="A156" i="9"/>
  <c r="B156" i="9"/>
  <c r="C156" i="9"/>
  <c r="D156" i="9"/>
  <c r="V172" i="2"/>
  <c r="AM172" i="2"/>
  <c r="F173" i="2"/>
  <c r="A150" i="10"/>
  <c r="B150" i="10"/>
  <c r="C150" i="10"/>
  <c r="D150" i="10"/>
  <c r="N173" i="2"/>
  <c r="A157" i="9"/>
  <c r="B157" i="9"/>
  <c r="C157" i="9"/>
  <c r="D157" i="9"/>
  <c r="V173" i="2"/>
  <c r="AM173" i="2"/>
  <c r="F174" i="2"/>
  <c r="A151" i="10"/>
  <c r="B151" i="10"/>
  <c r="C151" i="10"/>
  <c r="D151" i="10"/>
  <c r="N174" i="2"/>
  <c r="A158" i="9"/>
  <c r="B158" i="9"/>
  <c r="C158" i="9"/>
  <c r="D158" i="9"/>
  <c r="V174" i="2"/>
  <c r="AM174" i="2"/>
  <c r="F175" i="2"/>
  <c r="A152" i="10"/>
  <c r="B152" i="10"/>
  <c r="C152" i="10"/>
  <c r="D152" i="10"/>
  <c r="N175" i="2"/>
  <c r="A159" i="9"/>
  <c r="B159" i="9"/>
  <c r="C159" i="9"/>
  <c r="D159" i="9"/>
  <c r="V175" i="2"/>
  <c r="AM175" i="2"/>
  <c r="F176" i="2"/>
  <c r="A153" i="10"/>
  <c r="B153" i="10"/>
  <c r="C153" i="10"/>
  <c r="D153" i="10"/>
  <c r="N176" i="2"/>
  <c r="A160" i="9"/>
  <c r="B160" i="9"/>
  <c r="C160" i="9"/>
  <c r="D160" i="9"/>
  <c r="V176" i="2"/>
  <c r="AM176" i="2"/>
  <c r="F177" i="2"/>
  <c r="A154" i="10"/>
  <c r="B154" i="10"/>
  <c r="C154" i="10"/>
  <c r="D154" i="10"/>
  <c r="N177" i="2"/>
  <c r="A161" i="9"/>
  <c r="B161" i="9"/>
  <c r="C161" i="9"/>
  <c r="D161" i="9"/>
  <c r="V177" i="2"/>
  <c r="AM177" i="2"/>
  <c r="F178" i="2"/>
  <c r="A155" i="10"/>
  <c r="B155" i="10"/>
  <c r="C155" i="10"/>
  <c r="D155" i="10"/>
  <c r="N178" i="2"/>
  <c r="A162" i="9"/>
  <c r="B162" i="9"/>
  <c r="C162" i="9"/>
  <c r="D162" i="9"/>
  <c r="V178" i="2"/>
  <c r="AM178" i="2"/>
  <c r="F179" i="2"/>
  <c r="A156" i="10"/>
  <c r="B156" i="10"/>
  <c r="C156" i="10"/>
  <c r="D156" i="10"/>
  <c r="N179" i="2"/>
  <c r="A163" i="9"/>
  <c r="B163" i="9"/>
  <c r="C163" i="9"/>
  <c r="D163" i="9"/>
  <c r="V179" i="2"/>
  <c r="AM179" i="2"/>
  <c r="F180" i="2"/>
  <c r="A157" i="10"/>
  <c r="B157" i="10"/>
  <c r="C157" i="10"/>
  <c r="D157" i="10"/>
  <c r="N180" i="2"/>
  <c r="A164" i="9"/>
  <c r="B164" i="9"/>
  <c r="C164" i="9"/>
  <c r="D164" i="9"/>
  <c r="V180" i="2"/>
  <c r="AM180" i="2"/>
  <c r="F181" i="2"/>
  <c r="A158" i="10"/>
  <c r="B158" i="10"/>
  <c r="C158" i="10"/>
  <c r="D158" i="10"/>
  <c r="N181" i="2"/>
  <c r="A165" i="9"/>
  <c r="B165" i="9"/>
  <c r="C165" i="9"/>
  <c r="D165" i="9"/>
  <c r="V181" i="2"/>
  <c r="AM181" i="2"/>
  <c r="F182" i="2"/>
  <c r="A159" i="10"/>
  <c r="B159" i="10"/>
  <c r="C159" i="10"/>
  <c r="D159" i="10"/>
  <c r="N182" i="2"/>
  <c r="A166" i="9"/>
  <c r="B166" i="9"/>
  <c r="C166" i="9"/>
  <c r="D166" i="9"/>
  <c r="V182" i="2"/>
  <c r="AM182" i="2"/>
  <c r="F183" i="2"/>
  <c r="A160" i="10"/>
  <c r="B160" i="10"/>
  <c r="C160" i="10"/>
  <c r="D160" i="10"/>
  <c r="N183" i="2"/>
  <c r="A167" i="9"/>
  <c r="B167" i="9"/>
  <c r="C167" i="9"/>
  <c r="D167" i="9"/>
  <c r="V183" i="2"/>
  <c r="AM183" i="2"/>
  <c r="F184" i="2"/>
  <c r="A161" i="10"/>
  <c r="B161" i="10"/>
  <c r="C161" i="10"/>
  <c r="D161" i="10"/>
  <c r="N184" i="2"/>
  <c r="A168" i="9"/>
  <c r="B168" i="9"/>
  <c r="C168" i="9"/>
  <c r="D168" i="9"/>
  <c r="V184" i="2"/>
  <c r="AM184" i="2"/>
  <c r="F185" i="2"/>
  <c r="A162" i="10"/>
  <c r="B162" i="10"/>
  <c r="C162" i="10"/>
  <c r="D162" i="10"/>
  <c r="N185" i="2"/>
  <c r="A169" i="9"/>
  <c r="B169" i="9"/>
  <c r="C169" i="9"/>
  <c r="D169" i="9"/>
  <c r="V185" i="2"/>
  <c r="AM185" i="2"/>
  <c r="F186" i="2"/>
  <c r="A163" i="10"/>
  <c r="B163" i="10"/>
  <c r="C163" i="10"/>
  <c r="D163" i="10"/>
  <c r="N186" i="2"/>
  <c r="A170" i="9"/>
  <c r="B170" i="9"/>
  <c r="C170" i="9"/>
  <c r="D170" i="9"/>
  <c r="V186" i="2"/>
  <c r="AM186" i="2"/>
  <c r="F187" i="2"/>
  <c r="A164" i="10"/>
  <c r="B164" i="10"/>
  <c r="C164" i="10"/>
  <c r="D164" i="10"/>
  <c r="N187" i="2"/>
  <c r="A171" i="9"/>
  <c r="B171" i="9"/>
  <c r="C171" i="9"/>
  <c r="D171" i="9"/>
  <c r="V187" i="2"/>
  <c r="AM187" i="2"/>
  <c r="F188" i="2"/>
  <c r="A165" i="10"/>
  <c r="B165" i="10"/>
  <c r="C165" i="10"/>
  <c r="D165" i="10"/>
  <c r="N188" i="2"/>
  <c r="A172" i="9"/>
  <c r="B172" i="9"/>
  <c r="C172" i="9"/>
  <c r="D172" i="9"/>
  <c r="V188" i="2"/>
  <c r="AM188" i="2"/>
  <c r="F189" i="2"/>
  <c r="A166" i="10"/>
  <c r="B166" i="10"/>
  <c r="C166" i="10"/>
  <c r="D166" i="10"/>
  <c r="N189" i="2"/>
  <c r="A173" i="9"/>
  <c r="B173" i="9"/>
  <c r="C173" i="9"/>
  <c r="D173" i="9"/>
  <c r="V189" i="2"/>
  <c r="AM189" i="2"/>
  <c r="F190" i="2"/>
  <c r="A167" i="10"/>
  <c r="B167" i="10"/>
  <c r="C167" i="10"/>
  <c r="D167" i="10"/>
  <c r="N190" i="2"/>
  <c r="A174" i="9"/>
  <c r="B174" i="9"/>
  <c r="C174" i="9"/>
  <c r="D174" i="9"/>
  <c r="V190" i="2"/>
  <c r="AM190" i="2"/>
  <c r="F191" i="2"/>
  <c r="A168" i="10"/>
  <c r="B168" i="10"/>
  <c r="C168" i="10"/>
  <c r="D168" i="10"/>
  <c r="N191" i="2"/>
  <c r="A175" i="9"/>
  <c r="B175" i="9"/>
  <c r="C175" i="9"/>
  <c r="D175" i="9"/>
  <c r="V191" i="2"/>
  <c r="AM191" i="2"/>
  <c r="F192" i="2"/>
  <c r="A169" i="10"/>
  <c r="B169" i="10"/>
  <c r="C169" i="10"/>
  <c r="D169" i="10"/>
  <c r="N192" i="2"/>
  <c r="A176" i="9"/>
  <c r="B176" i="9"/>
  <c r="C176" i="9"/>
  <c r="D176" i="9"/>
  <c r="V192" i="2"/>
  <c r="AM192" i="2"/>
  <c r="F193" i="2"/>
  <c r="A170" i="10"/>
  <c r="B170" i="10"/>
  <c r="C170" i="10"/>
  <c r="D170" i="10"/>
  <c r="N193" i="2"/>
  <c r="A177" i="9"/>
  <c r="B177" i="9"/>
  <c r="C177" i="9"/>
  <c r="D177" i="9"/>
  <c r="V193" i="2"/>
  <c r="AM193" i="2"/>
  <c r="F194" i="2"/>
  <c r="A171" i="10"/>
  <c r="B171" i="10"/>
  <c r="C171" i="10"/>
  <c r="D171" i="10"/>
  <c r="N194" i="2"/>
  <c r="A178" i="9"/>
  <c r="B178" i="9"/>
  <c r="C178" i="9"/>
  <c r="D178" i="9"/>
  <c r="V194" i="2"/>
  <c r="AM194" i="2"/>
  <c r="F195" i="2"/>
  <c r="A172" i="10"/>
  <c r="B172" i="10"/>
  <c r="C172" i="10"/>
  <c r="D172" i="10"/>
  <c r="N195" i="2"/>
  <c r="A179" i="9"/>
  <c r="B179" i="9"/>
  <c r="C179" i="9"/>
  <c r="D179" i="9"/>
  <c r="V195" i="2"/>
  <c r="AM195" i="2"/>
  <c r="F196" i="2"/>
  <c r="A173" i="10"/>
  <c r="B173" i="10"/>
  <c r="C173" i="10"/>
  <c r="D173" i="10"/>
  <c r="N196" i="2"/>
  <c r="A180" i="9"/>
  <c r="B180" i="9"/>
  <c r="C180" i="9"/>
  <c r="D180" i="9"/>
  <c r="V196" i="2"/>
  <c r="AM196" i="2"/>
  <c r="F197" i="2"/>
  <c r="A174" i="10"/>
  <c r="B174" i="10"/>
  <c r="C174" i="10"/>
  <c r="D174" i="10"/>
  <c r="N197" i="2"/>
  <c r="A181" i="9"/>
  <c r="B181" i="9"/>
  <c r="C181" i="9"/>
  <c r="D181" i="9"/>
  <c r="V197" i="2"/>
  <c r="AM197" i="2"/>
  <c r="F198" i="2"/>
  <c r="A175" i="10"/>
  <c r="B175" i="10"/>
  <c r="C175" i="10"/>
  <c r="D175" i="10"/>
  <c r="N198" i="2"/>
  <c r="A182" i="9"/>
  <c r="B182" i="9"/>
  <c r="C182" i="9"/>
  <c r="D182" i="9"/>
  <c r="V198" i="2"/>
  <c r="AM198" i="2"/>
  <c r="F199" i="2"/>
  <c r="A176" i="10"/>
  <c r="B176" i="10"/>
  <c r="C176" i="10"/>
  <c r="D176" i="10"/>
  <c r="N199" i="2"/>
  <c r="A183" i="9"/>
  <c r="B183" i="9"/>
  <c r="C183" i="9"/>
  <c r="D183" i="9"/>
  <c r="V199" i="2"/>
  <c r="AM199" i="2"/>
  <c r="F200" i="2"/>
  <c r="A177" i="10"/>
  <c r="B177" i="10"/>
  <c r="C177" i="10"/>
  <c r="D177" i="10"/>
  <c r="N200" i="2"/>
  <c r="A184" i="9"/>
  <c r="B184" i="9"/>
  <c r="C184" i="9"/>
  <c r="D184" i="9"/>
  <c r="V200" i="2"/>
  <c r="AM200" i="2"/>
  <c r="F201" i="2"/>
  <c r="A178" i="10"/>
  <c r="B178" i="10"/>
  <c r="C178" i="10"/>
  <c r="D178" i="10"/>
  <c r="N201" i="2"/>
  <c r="A185" i="9"/>
  <c r="B185" i="9"/>
  <c r="C185" i="9"/>
  <c r="D185" i="9"/>
  <c r="V201" i="2"/>
  <c r="AM201" i="2"/>
  <c r="F202" i="2"/>
  <c r="A179" i="10"/>
  <c r="B179" i="10"/>
  <c r="C179" i="10"/>
  <c r="D179" i="10"/>
  <c r="N202" i="2"/>
  <c r="A186" i="9"/>
  <c r="B186" i="9"/>
  <c r="C186" i="9"/>
  <c r="D186" i="9"/>
  <c r="V202" i="2"/>
  <c r="AM202" i="2"/>
  <c r="F203" i="2"/>
  <c r="A180" i="10"/>
  <c r="B180" i="10"/>
  <c r="C180" i="10"/>
  <c r="D180" i="10"/>
  <c r="N203" i="2"/>
  <c r="A187" i="9"/>
  <c r="B187" i="9"/>
  <c r="C187" i="9"/>
  <c r="D187" i="9"/>
  <c r="V203" i="2"/>
  <c r="AM203" i="2"/>
  <c r="F204" i="2"/>
  <c r="A181" i="10"/>
  <c r="B181" i="10"/>
  <c r="C181" i="10"/>
  <c r="D181" i="10"/>
  <c r="N204" i="2"/>
  <c r="A188" i="9"/>
  <c r="B188" i="9"/>
  <c r="C188" i="9"/>
  <c r="D188" i="9"/>
  <c r="V204" i="2"/>
  <c r="AM204" i="2"/>
  <c r="F205" i="2"/>
  <c r="A182" i="10"/>
  <c r="B182" i="10"/>
  <c r="C182" i="10"/>
  <c r="D182" i="10"/>
  <c r="N205" i="2"/>
  <c r="A189" i="9"/>
  <c r="B189" i="9"/>
  <c r="C189" i="9"/>
  <c r="D189" i="9"/>
  <c r="V205" i="2"/>
  <c r="AM205" i="2"/>
  <c r="F206" i="2"/>
  <c r="A183" i="10"/>
  <c r="B183" i="10"/>
  <c r="C183" i="10"/>
  <c r="D183" i="10"/>
  <c r="N206" i="2"/>
  <c r="A190" i="9"/>
  <c r="B190" i="9"/>
  <c r="C190" i="9"/>
  <c r="D190" i="9"/>
  <c r="V206" i="2"/>
  <c r="AM206" i="2"/>
  <c r="F207" i="2"/>
  <c r="A184" i="10"/>
  <c r="B184" i="10"/>
  <c r="C184" i="10"/>
  <c r="D184" i="10"/>
  <c r="N207" i="2"/>
  <c r="A191" i="9"/>
  <c r="B191" i="9"/>
  <c r="C191" i="9"/>
  <c r="D191" i="9"/>
  <c r="V207" i="2"/>
  <c r="AM207" i="2"/>
  <c r="F208" i="2"/>
  <c r="A185" i="10"/>
  <c r="B185" i="10"/>
  <c r="C185" i="10"/>
  <c r="D185" i="10"/>
  <c r="N208" i="2"/>
  <c r="A192" i="9"/>
  <c r="B192" i="9"/>
  <c r="C192" i="9"/>
  <c r="D192" i="9"/>
  <c r="V208" i="2"/>
  <c r="AM208" i="2"/>
  <c r="F209" i="2"/>
  <c r="A186" i="10"/>
  <c r="B186" i="10"/>
  <c r="C186" i="10"/>
  <c r="D186" i="10"/>
  <c r="N209" i="2"/>
  <c r="A193" i="9"/>
  <c r="B193" i="9"/>
  <c r="C193" i="9"/>
  <c r="D193" i="9"/>
  <c r="V209" i="2"/>
  <c r="AM209" i="2"/>
  <c r="F210" i="2"/>
  <c r="A187" i="10"/>
  <c r="B187" i="10"/>
  <c r="C187" i="10"/>
  <c r="D187" i="10"/>
  <c r="N210" i="2"/>
  <c r="A194" i="9"/>
  <c r="B194" i="9"/>
  <c r="C194" i="9"/>
  <c r="D194" i="9"/>
  <c r="V210" i="2"/>
  <c r="AM210" i="2"/>
  <c r="F211" i="2"/>
  <c r="A188" i="10"/>
  <c r="B188" i="10"/>
  <c r="C188" i="10"/>
  <c r="D188" i="10"/>
  <c r="N211" i="2"/>
  <c r="A195" i="9"/>
  <c r="B195" i="9"/>
  <c r="C195" i="9"/>
  <c r="D195" i="9"/>
  <c r="V211" i="2"/>
  <c r="AM211" i="2"/>
  <c r="F212" i="2"/>
  <c r="A189" i="10"/>
  <c r="B189" i="10"/>
  <c r="C189" i="10"/>
  <c r="D189" i="10"/>
  <c r="N212" i="2"/>
  <c r="A196" i="9"/>
  <c r="B196" i="9"/>
  <c r="C196" i="9"/>
  <c r="D196" i="9"/>
  <c r="V212" i="2"/>
  <c r="AM212" i="2"/>
  <c r="F213" i="2"/>
  <c r="A190" i="10"/>
  <c r="B190" i="10"/>
  <c r="C190" i="10"/>
  <c r="D190" i="10"/>
  <c r="N213" i="2"/>
  <c r="A197" i="9"/>
  <c r="B197" i="9"/>
  <c r="C197" i="9"/>
  <c r="D197" i="9"/>
  <c r="V213" i="2"/>
  <c r="AM213" i="2"/>
  <c r="F214" i="2"/>
  <c r="A191" i="10"/>
  <c r="B191" i="10"/>
  <c r="C191" i="10"/>
  <c r="D191" i="10"/>
  <c r="N214" i="2"/>
  <c r="A198" i="9"/>
  <c r="B198" i="9"/>
  <c r="C198" i="9"/>
  <c r="D198" i="9"/>
  <c r="V214" i="2"/>
  <c r="AM214" i="2"/>
  <c r="F215" i="2"/>
  <c r="A192" i="10"/>
  <c r="B192" i="10"/>
  <c r="C192" i="10"/>
  <c r="D192" i="10"/>
  <c r="N215" i="2"/>
  <c r="A199" i="9"/>
  <c r="B199" i="9"/>
  <c r="C199" i="9"/>
  <c r="D199" i="9"/>
  <c r="V215" i="2"/>
  <c r="AM215" i="2"/>
  <c r="F216" i="2"/>
  <c r="A193" i="10"/>
  <c r="B193" i="10"/>
  <c r="C193" i="10"/>
  <c r="D193" i="10"/>
  <c r="N216" i="2"/>
  <c r="A200" i="9"/>
  <c r="B200" i="9"/>
  <c r="C200" i="9"/>
  <c r="D200" i="9"/>
  <c r="V216" i="2"/>
  <c r="AM216" i="2"/>
  <c r="F217" i="2"/>
  <c r="A194" i="10"/>
  <c r="B194" i="10"/>
  <c r="C194" i="10"/>
  <c r="D194" i="10"/>
  <c r="N217" i="2"/>
  <c r="A201" i="9"/>
  <c r="B201" i="9"/>
  <c r="C201" i="9"/>
  <c r="D201" i="9"/>
  <c r="V217" i="2"/>
  <c r="AM217" i="2"/>
  <c r="F218" i="2"/>
  <c r="A195" i="10"/>
  <c r="B195" i="10"/>
  <c r="C195" i="10"/>
  <c r="D195" i="10"/>
  <c r="N218" i="2"/>
  <c r="A202" i="9"/>
  <c r="B202" i="9"/>
  <c r="C202" i="9"/>
  <c r="D202" i="9"/>
  <c r="V218" i="2"/>
  <c r="AM218" i="2"/>
  <c r="F219" i="2"/>
  <c r="A196" i="10"/>
  <c r="B196" i="10"/>
  <c r="C196" i="10"/>
  <c r="D196" i="10"/>
  <c r="N219" i="2"/>
  <c r="A203" i="9"/>
  <c r="B203" i="9"/>
  <c r="C203" i="9"/>
  <c r="D203" i="9"/>
  <c r="V219" i="2"/>
  <c r="AM219" i="2"/>
  <c r="F220" i="2"/>
  <c r="A197" i="10"/>
  <c r="B197" i="10"/>
  <c r="C197" i="10"/>
  <c r="D197" i="10"/>
  <c r="N220" i="2"/>
  <c r="A204" i="9"/>
  <c r="B204" i="9"/>
  <c r="C204" i="9"/>
  <c r="D204" i="9"/>
  <c r="V220" i="2"/>
  <c r="AM220" i="2"/>
  <c r="F221" i="2"/>
  <c r="A198" i="10"/>
  <c r="B198" i="10"/>
  <c r="C198" i="10"/>
  <c r="D198" i="10"/>
  <c r="N221" i="2"/>
  <c r="A205" i="9"/>
  <c r="B205" i="9"/>
  <c r="C205" i="9"/>
  <c r="D205" i="9"/>
  <c r="V221" i="2"/>
  <c r="AM221" i="2"/>
  <c r="F222" i="2"/>
  <c r="A199" i="10"/>
  <c r="B199" i="10"/>
  <c r="C199" i="10"/>
  <c r="D199" i="10"/>
  <c r="N222" i="2"/>
  <c r="A206" i="9"/>
  <c r="B206" i="9"/>
  <c r="C206" i="9"/>
  <c r="D206" i="9"/>
  <c r="V222" i="2"/>
  <c r="AM222" i="2"/>
  <c r="F223" i="2"/>
  <c r="A200" i="10"/>
  <c r="B200" i="10"/>
  <c r="C200" i="10"/>
  <c r="D200" i="10"/>
  <c r="N223" i="2"/>
  <c r="A207" i="9"/>
  <c r="B207" i="9"/>
  <c r="C207" i="9"/>
  <c r="D207" i="9"/>
  <c r="V223" i="2"/>
  <c r="AM223" i="2"/>
  <c r="F224" i="2"/>
  <c r="A201" i="10"/>
  <c r="B201" i="10"/>
  <c r="C201" i="10"/>
  <c r="D201" i="10"/>
  <c r="N224" i="2"/>
  <c r="A208" i="9"/>
  <c r="B208" i="9"/>
  <c r="C208" i="9"/>
  <c r="D208" i="9"/>
  <c r="V224" i="2"/>
  <c r="AM224" i="2"/>
  <c r="F225" i="2"/>
  <c r="A202" i="10"/>
  <c r="B202" i="10"/>
  <c r="C202" i="10"/>
  <c r="D202" i="10"/>
  <c r="N225" i="2"/>
  <c r="A209" i="9"/>
  <c r="B209" i="9"/>
  <c r="C209" i="9"/>
  <c r="D209" i="9"/>
  <c r="V225" i="2"/>
  <c r="AM225" i="2"/>
  <c r="F226" i="2"/>
  <c r="A203" i="10"/>
  <c r="B203" i="10"/>
  <c r="C203" i="10"/>
  <c r="D203" i="10"/>
  <c r="N226" i="2"/>
  <c r="A210" i="9"/>
  <c r="B210" i="9"/>
  <c r="C210" i="9"/>
  <c r="D210" i="9"/>
  <c r="V226" i="2"/>
  <c r="AM226" i="2"/>
  <c r="F227" i="2"/>
  <c r="A204" i="10"/>
  <c r="B204" i="10"/>
  <c r="C204" i="10"/>
  <c r="D204" i="10"/>
  <c r="N227" i="2"/>
  <c r="A211" i="9"/>
  <c r="B211" i="9"/>
  <c r="C211" i="9"/>
  <c r="D211" i="9"/>
  <c r="V227" i="2"/>
  <c r="AM227" i="2"/>
  <c r="F228" i="2"/>
  <c r="A205" i="10"/>
  <c r="B205" i="10"/>
  <c r="C205" i="10"/>
  <c r="D205" i="10"/>
  <c r="N228" i="2"/>
  <c r="A212" i="9"/>
  <c r="B212" i="9"/>
  <c r="C212" i="9"/>
  <c r="D212" i="9"/>
  <c r="V228" i="2"/>
  <c r="AM228" i="2"/>
  <c r="F229" i="2"/>
  <c r="A206" i="10"/>
  <c r="B206" i="10"/>
  <c r="C206" i="10"/>
  <c r="D206" i="10"/>
  <c r="N229" i="2"/>
  <c r="A213" i="9"/>
  <c r="B213" i="9"/>
  <c r="C213" i="9"/>
  <c r="D213" i="9"/>
  <c r="V229" i="2"/>
  <c r="AM229" i="2"/>
  <c r="F230" i="2"/>
  <c r="A207" i="10"/>
  <c r="B207" i="10"/>
  <c r="C207" i="10"/>
  <c r="D207" i="10"/>
  <c r="N230" i="2"/>
  <c r="A214" i="9"/>
  <c r="B214" i="9"/>
  <c r="C214" i="9"/>
  <c r="D214" i="9"/>
  <c r="V230" i="2"/>
  <c r="AM230" i="2"/>
  <c r="F231" i="2"/>
  <c r="A208" i="10"/>
  <c r="B208" i="10"/>
  <c r="C208" i="10"/>
  <c r="D208" i="10"/>
  <c r="N231" i="2"/>
  <c r="A215" i="9"/>
  <c r="B215" i="9"/>
  <c r="C215" i="9"/>
  <c r="D215" i="9"/>
  <c r="V231" i="2"/>
  <c r="AM231" i="2"/>
  <c r="F232" i="2"/>
  <c r="A209" i="10"/>
  <c r="B209" i="10"/>
  <c r="C209" i="10"/>
  <c r="D209" i="10"/>
  <c r="N232" i="2"/>
  <c r="A216" i="9"/>
  <c r="B216" i="9"/>
  <c r="C216" i="9"/>
  <c r="D216" i="9"/>
  <c r="V232" i="2"/>
  <c r="AM232" i="2"/>
  <c r="F233" i="2"/>
  <c r="A210" i="10"/>
  <c r="B210" i="10"/>
  <c r="C210" i="10"/>
  <c r="D210" i="10"/>
  <c r="N233" i="2"/>
  <c r="A217" i="9"/>
  <c r="B217" i="9"/>
  <c r="C217" i="9"/>
  <c r="D217" i="9"/>
  <c r="V233" i="2"/>
  <c r="AM233" i="2"/>
  <c r="F234" i="2"/>
  <c r="A211" i="10"/>
  <c r="B211" i="10"/>
  <c r="C211" i="10"/>
  <c r="D211" i="10"/>
  <c r="N234" i="2"/>
  <c r="A218" i="9"/>
  <c r="B218" i="9"/>
  <c r="C218" i="9"/>
  <c r="D218" i="9"/>
  <c r="V234" i="2"/>
  <c r="AM234" i="2"/>
  <c r="F235" i="2"/>
  <c r="A212" i="10"/>
  <c r="B212" i="10"/>
  <c r="C212" i="10"/>
  <c r="D212" i="10"/>
  <c r="N235" i="2"/>
  <c r="A219" i="9"/>
  <c r="B219" i="9"/>
  <c r="C219" i="9"/>
  <c r="D219" i="9"/>
  <c r="V235" i="2"/>
  <c r="AM235" i="2"/>
  <c r="F236" i="2"/>
  <c r="A213" i="10"/>
  <c r="B213" i="10"/>
  <c r="C213" i="10"/>
  <c r="D213" i="10"/>
  <c r="N236" i="2"/>
  <c r="A220" i="9"/>
  <c r="B220" i="9"/>
  <c r="C220" i="9"/>
  <c r="D220" i="9"/>
  <c r="V236" i="2"/>
  <c r="AM236" i="2"/>
  <c r="F237" i="2"/>
  <c r="A214" i="10"/>
  <c r="B214" i="10"/>
  <c r="C214" i="10"/>
  <c r="D214" i="10"/>
  <c r="N237" i="2"/>
  <c r="A221" i="9"/>
  <c r="B221" i="9"/>
  <c r="C221" i="9"/>
  <c r="D221" i="9"/>
  <c r="V237" i="2"/>
  <c r="AM237" i="2"/>
  <c r="F238" i="2"/>
  <c r="A215" i="10"/>
  <c r="B215" i="10"/>
  <c r="C215" i="10"/>
  <c r="D215" i="10"/>
  <c r="N238" i="2"/>
  <c r="A222" i="9"/>
  <c r="B222" i="9"/>
  <c r="C222" i="9"/>
  <c r="D222" i="9"/>
  <c r="V238" i="2"/>
  <c r="AM238" i="2"/>
  <c r="F239" i="2"/>
  <c r="A216" i="10"/>
  <c r="B216" i="10"/>
  <c r="C216" i="10"/>
  <c r="D216" i="10"/>
  <c r="N239" i="2"/>
  <c r="A223" i="9"/>
  <c r="B223" i="9"/>
  <c r="C223" i="9"/>
  <c r="D223" i="9"/>
  <c r="V239" i="2"/>
  <c r="AM239" i="2"/>
  <c r="F240" i="2"/>
  <c r="A217" i="10"/>
  <c r="B217" i="10"/>
  <c r="C217" i="10"/>
  <c r="D217" i="10"/>
  <c r="N240" i="2"/>
  <c r="A224" i="9"/>
  <c r="B224" i="9"/>
  <c r="C224" i="9"/>
  <c r="D224" i="9"/>
  <c r="V240" i="2"/>
  <c r="AM240" i="2"/>
  <c r="F241" i="2"/>
  <c r="A218" i="10"/>
  <c r="B218" i="10"/>
  <c r="C218" i="10"/>
  <c r="D218" i="10"/>
  <c r="N241" i="2"/>
  <c r="A225" i="9"/>
  <c r="B225" i="9"/>
  <c r="C225" i="9"/>
  <c r="D225" i="9"/>
  <c r="V241" i="2"/>
  <c r="AM241" i="2"/>
  <c r="F242" i="2"/>
  <c r="A219" i="10"/>
  <c r="B219" i="10"/>
  <c r="C219" i="10"/>
  <c r="D219" i="10"/>
  <c r="N242" i="2"/>
  <c r="A226" i="9"/>
  <c r="B226" i="9"/>
  <c r="C226" i="9"/>
  <c r="D226" i="9"/>
  <c r="V242" i="2"/>
  <c r="AM242" i="2"/>
  <c r="F243" i="2"/>
  <c r="A220" i="10"/>
  <c r="B220" i="10"/>
  <c r="C220" i="10"/>
  <c r="D220" i="10"/>
  <c r="N243" i="2"/>
  <c r="A227" i="9"/>
  <c r="B227" i="9"/>
  <c r="C227" i="9"/>
  <c r="D227" i="9"/>
  <c r="V243" i="2"/>
  <c r="AM243" i="2"/>
  <c r="F244" i="2"/>
  <c r="A221" i="10"/>
  <c r="B221" i="10"/>
  <c r="C221" i="10"/>
  <c r="D221" i="10"/>
  <c r="N244" i="2"/>
  <c r="A228" i="9"/>
  <c r="B228" i="9"/>
  <c r="C228" i="9"/>
  <c r="D228" i="9"/>
  <c r="V244" i="2"/>
  <c r="AM244" i="2"/>
  <c r="F245" i="2"/>
  <c r="A222" i="10"/>
  <c r="B222" i="10"/>
  <c r="C222" i="10"/>
  <c r="D222" i="10"/>
  <c r="N245" i="2"/>
  <c r="A229" i="9"/>
  <c r="B229" i="9"/>
  <c r="C229" i="9"/>
  <c r="D229" i="9"/>
  <c r="V245" i="2"/>
  <c r="AM245" i="2"/>
  <c r="F246" i="2"/>
  <c r="A223" i="10"/>
  <c r="B223" i="10"/>
  <c r="C223" i="10"/>
  <c r="D223" i="10"/>
  <c r="N246" i="2"/>
  <c r="A230" i="9"/>
  <c r="B230" i="9"/>
  <c r="C230" i="9"/>
  <c r="D230" i="9"/>
  <c r="V246" i="2"/>
  <c r="AM246" i="2"/>
  <c r="F247" i="2"/>
  <c r="A224" i="10"/>
  <c r="B224" i="10"/>
  <c r="C224" i="10"/>
  <c r="D224" i="10"/>
  <c r="N247" i="2"/>
  <c r="A231" i="9"/>
  <c r="B231" i="9"/>
  <c r="C231" i="9"/>
  <c r="D231" i="9"/>
  <c r="V247" i="2"/>
  <c r="AM247" i="2"/>
  <c r="F248" i="2"/>
  <c r="A225" i="10"/>
  <c r="B225" i="10"/>
  <c r="C225" i="10"/>
  <c r="D225" i="10"/>
  <c r="N248" i="2"/>
  <c r="A232" i="9"/>
  <c r="B232" i="9"/>
  <c r="C232" i="9"/>
  <c r="D232" i="9"/>
  <c r="V248" i="2"/>
  <c r="AM248" i="2"/>
  <c r="F249" i="2"/>
  <c r="A226" i="10"/>
  <c r="B226" i="10"/>
  <c r="C226" i="10"/>
  <c r="D226" i="10"/>
  <c r="N249" i="2"/>
  <c r="A233" i="9"/>
  <c r="B233" i="9"/>
  <c r="C233" i="9"/>
  <c r="D233" i="9"/>
  <c r="V249" i="2"/>
  <c r="AM249" i="2"/>
  <c r="F250" i="2"/>
  <c r="A227" i="10"/>
  <c r="B227" i="10"/>
  <c r="C227" i="10"/>
  <c r="D227" i="10"/>
  <c r="N250" i="2"/>
  <c r="A234" i="9"/>
  <c r="B234" i="9"/>
  <c r="C234" i="9"/>
  <c r="D234" i="9"/>
  <c r="V250" i="2"/>
  <c r="AM250" i="2"/>
  <c r="F251" i="2"/>
  <c r="A228" i="10"/>
  <c r="B228" i="10"/>
  <c r="C228" i="10"/>
  <c r="D228" i="10"/>
  <c r="N251" i="2"/>
  <c r="A235" i="9"/>
  <c r="B235" i="9"/>
  <c r="C235" i="9"/>
  <c r="D235" i="9"/>
  <c r="V251" i="2"/>
  <c r="AM251" i="2"/>
  <c r="F252" i="2"/>
  <c r="A229" i="10"/>
  <c r="B229" i="10"/>
  <c r="C229" i="10"/>
  <c r="D229" i="10"/>
  <c r="N252" i="2"/>
  <c r="A236" i="9"/>
  <c r="B236" i="9"/>
  <c r="C236" i="9"/>
  <c r="D236" i="9"/>
  <c r="V252" i="2"/>
  <c r="AM252" i="2"/>
  <c r="F253" i="2"/>
  <c r="A230" i="10"/>
  <c r="B230" i="10"/>
  <c r="C230" i="10"/>
  <c r="D230" i="10"/>
  <c r="N253" i="2"/>
  <c r="A237" i="9"/>
  <c r="B237" i="9"/>
  <c r="C237" i="9"/>
  <c r="D237" i="9"/>
  <c r="V253" i="2"/>
  <c r="AM253" i="2"/>
  <c r="F254" i="2"/>
  <c r="A231" i="10"/>
  <c r="B231" i="10"/>
  <c r="C231" i="10"/>
  <c r="D231" i="10"/>
  <c r="N254" i="2"/>
  <c r="A238" i="9"/>
  <c r="B238" i="9"/>
  <c r="C238" i="9"/>
  <c r="D238" i="9"/>
  <c r="V254" i="2"/>
  <c r="AM254" i="2"/>
  <c r="F255" i="2"/>
  <c r="A232" i="10"/>
  <c r="B232" i="10"/>
  <c r="C232" i="10"/>
  <c r="D232" i="10"/>
  <c r="N255" i="2"/>
  <c r="A239" i="9"/>
  <c r="B239" i="9"/>
  <c r="C239" i="9"/>
  <c r="D239" i="9"/>
  <c r="V255" i="2"/>
  <c r="AM255" i="2"/>
  <c r="F256" i="2"/>
  <c r="A233" i="10"/>
  <c r="B233" i="10"/>
  <c r="C233" i="10"/>
  <c r="D233" i="10"/>
  <c r="N256" i="2"/>
  <c r="A240" i="9"/>
  <c r="B240" i="9"/>
  <c r="C240" i="9"/>
  <c r="D240" i="9"/>
  <c r="V256" i="2"/>
  <c r="AM256" i="2"/>
  <c r="F257" i="2"/>
  <c r="A234" i="10"/>
  <c r="B234" i="10"/>
  <c r="C234" i="10"/>
  <c r="D234" i="10"/>
  <c r="N257" i="2"/>
  <c r="A241" i="9"/>
  <c r="B241" i="9"/>
  <c r="C241" i="9"/>
  <c r="D241" i="9"/>
  <c r="V257" i="2"/>
  <c r="AM257" i="2"/>
  <c r="F258" i="2"/>
  <c r="A235" i="10"/>
  <c r="B235" i="10"/>
  <c r="C235" i="10"/>
  <c r="D235" i="10"/>
  <c r="N258" i="2"/>
  <c r="A242" i="9"/>
  <c r="B242" i="9"/>
  <c r="C242" i="9"/>
  <c r="D242" i="9"/>
  <c r="V258" i="2"/>
  <c r="AM258" i="2"/>
  <c r="F259" i="2"/>
  <c r="A236" i="10"/>
  <c r="B236" i="10"/>
  <c r="C236" i="10"/>
  <c r="D236" i="10"/>
  <c r="N259" i="2"/>
  <c r="A243" i="9"/>
  <c r="B243" i="9"/>
  <c r="C243" i="9"/>
  <c r="D243" i="9"/>
  <c r="V259" i="2"/>
  <c r="AM259" i="2"/>
  <c r="F260" i="2"/>
  <c r="A237" i="10"/>
  <c r="B237" i="10"/>
  <c r="C237" i="10"/>
  <c r="D237" i="10"/>
  <c r="N260" i="2"/>
  <c r="A244" i="9"/>
  <c r="B244" i="9"/>
  <c r="C244" i="9"/>
  <c r="D244" i="9"/>
  <c r="V260" i="2"/>
  <c r="AM260" i="2"/>
  <c r="F261" i="2"/>
  <c r="A238" i="10"/>
  <c r="B238" i="10"/>
  <c r="C238" i="10"/>
  <c r="D238" i="10"/>
  <c r="N261" i="2"/>
  <c r="A245" i="9"/>
  <c r="B245" i="9"/>
  <c r="C245" i="9"/>
  <c r="D245" i="9"/>
  <c r="V261" i="2"/>
  <c r="AM261" i="2"/>
  <c r="F262" i="2"/>
  <c r="A239" i="10"/>
  <c r="B239" i="10"/>
  <c r="C239" i="10"/>
  <c r="D239" i="10"/>
  <c r="N262" i="2"/>
  <c r="A246" i="9"/>
  <c r="B246" i="9"/>
  <c r="C246" i="9"/>
  <c r="D246" i="9"/>
  <c r="V262" i="2"/>
  <c r="AM262" i="2"/>
  <c r="F263" i="2"/>
  <c r="A240" i="10"/>
  <c r="B240" i="10"/>
  <c r="C240" i="10"/>
  <c r="D240" i="10"/>
  <c r="N263" i="2"/>
  <c r="A247" i="9"/>
  <c r="B247" i="9"/>
  <c r="C247" i="9"/>
  <c r="D247" i="9"/>
  <c r="V263" i="2"/>
  <c r="AM263" i="2"/>
  <c r="F264" i="2"/>
  <c r="A241" i="10"/>
  <c r="B241" i="10"/>
  <c r="C241" i="10"/>
  <c r="D241" i="10"/>
  <c r="N264" i="2"/>
  <c r="A248" i="9"/>
  <c r="B248" i="9"/>
  <c r="C248" i="9"/>
  <c r="D248" i="9"/>
  <c r="V264" i="2"/>
  <c r="AM264" i="2"/>
  <c r="F265" i="2"/>
  <c r="A242" i="10"/>
  <c r="B242" i="10"/>
  <c r="C242" i="10"/>
  <c r="D242" i="10"/>
  <c r="N265" i="2"/>
  <c r="A249" i="9"/>
  <c r="B249" i="9"/>
  <c r="C249" i="9"/>
  <c r="D249" i="9"/>
  <c r="V265" i="2"/>
  <c r="AM265" i="2"/>
  <c r="F266" i="2"/>
  <c r="A243" i="10"/>
  <c r="B243" i="10"/>
  <c r="C243" i="10"/>
  <c r="D243" i="10"/>
  <c r="N266" i="2"/>
  <c r="A250" i="9"/>
  <c r="B250" i="9"/>
  <c r="C250" i="9"/>
  <c r="D250" i="9"/>
  <c r="V266" i="2"/>
  <c r="AM266" i="2"/>
  <c r="F267" i="2"/>
  <c r="A244" i="10"/>
  <c r="B244" i="10"/>
  <c r="C244" i="10"/>
  <c r="D244" i="10"/>
  <c r="N267" i="2"/>
  <c r="A251" i="9"/>
  <c r="B251" i="9"/>
  <c r="C251" i="9"/>
  <c r="D251" i="9"/>
  <c r="V267" i="2"/>
  <c r="AM267" i="2"/>
  <c r="F268" i="2"/>
  <c r="A245" i="10"/>
  <c r="B245" i="10"/>
  <c r="C245" i="10"/>
  <c r="D245" i="10"/>
  <c r="N268" i="2"/>
  <c r="A252" i="9"/>
  <c r="B252" i="9"/>
  <c r="C252" i="9"/>
  <c r="D252" i="9"/>
  <c r="V268" i="2"/>
  <c r="AM268" i="2"/>
  <c r="F269" i="2"/>
  <c r="A246" i="10"/>
  <c r="B246" i="10"/>
  <c r="C246" i="10"/>
  <c r="D246" i="10"/>
  <c r="N269" i="2"/>
  <c r="A253" i="9"/>
  <c r="B253" i="9"/>
  <c r="C253" i="9"/>
  <c r="D253" i="9"/>
  <c r="V269" i="2"/>
  <c r="AM269" i="2"/>
  <c r="F270" i="2"/>
  <c r="A247" i="10"/>
  <c r="B247" i="10"/>
  <c r="C247" i="10"/>
  <c r="D247" i="10"/>
  <c r="N270" i="2"/>
  <c r="A254" i="9"/>
  <c r="B254" i="9"/>
  <c r="C254" i="9"/>
  <c r="D254" i="9"/>
  <c r="V270" i="2"/>
  <c r="AM270" i="2"/>
  <c r="F271" i="2"/>
  <c r="A248" i="10"/>
  <c r="B248" i="10"/>
  <c r="C248" i="10"/>
  <c r="D248" i="10"/>
  <c r="N271" i="2"/>
  <c r="A255" i="9"/>
  <c r="B255" i="9"/>
  <c r="C255" i="9"/>
  <c r="D255" i="9"/>
  <c r="V271" i="2"/>
  <c r="AM271" i="2"/>
  <c r="F272" i="2"/>
  <c r="A249" i="10"/>
  <c r="B249" i="10"/>
  <c r="C249" i="10"/>
  <c r="D249" i="10"/>
  <c r="N272" i="2"/>
  <c r="A256" i="9"/>
  <c r="B256" i="9"/>
  <c r="C256" i="9"/>
  <c r="D256" i="9"/>
  <c r="V272" i="2"/>
  <c r="AM272" i="2"/>
  <c r="F273" i="2"/>
  <c r="A250" i="10"/>
  <c r="B250" i="10"/>
  <c r="C250" i="10"/>
  <c r="D250" i="10"/>
  <c r="N273" i="2"/>
  <c r="A257" i="9"/>
  <c r="B257" i="9"/>
  <c r="C257" i="9"/>
  <c r="D257" i="9"/>
  <c r="V273" i="2"/>
  <c r="AM273" i="2"/>
  <c r="F274" i="2"/>
  <c r="A251" i="10"/>
  <c r="B251" i="10"/>
  <c r="C251" i="10"/>
  <c r="D251" i="10"/>
  <c r="N274" i="2"/>
  <c r="A258" i="9"/>
  <c r="B258" i="9"/>
  <c r="C258" i="9"/>
  <c r="D258" i="9"/>
  <c r="V274" i="2"/>
  <c r="AM274" i="2"/>
  <c r="F275" i="2"/>
  <c r="A252" i="10"/>
  <c r="B252" i="10"/>
  <c r="C252" i="10"/>
  <c r="D252" i="10"/>
  <c r="N275" i="2"/>
  <c r="A259" i="9"/>
  <c r="B259" i="9"/>
  <c r="C259" i="9"/>
  <c r="D259" i="9"/>
  <c r="V275" i="2"/>
  <c r="AM275" i="2"/>
  <c r="F276" i="2"/>
  <c r="A253" i="10"/>
  <c r="B253" i="10"/>
  <c r="C253" i="10"/>
  <c r="D253" i="10"/>
  <c r="N276" i="2"/>
  <c r="A260" i="9"/>
  <c r="B260" i="9"/>
  <c r="C260" i="9"/>
  <c r="D260" i="9"/>
  <c r="V276" i="2"/>
  <c r="AM276" i="2"/>
  <c r="F277" i="2"/>
  <c r="A254" i="10"/>
  <c r="B254" i="10"/>
  <c r="C254" i="10"/>
  <c r="D254" i="10"/>
  <c r="N277" i="2"/>
  <c r="A261" i="9"/>
  <c r="B261" i="9"/>
  <c r="C261" i="9"/>
  <c r="D261" i="9"/>
  <c r="V277" i="2"/>
  <c r="AM277" i="2"/>
  <c r="F278" i="2"/>
  <c r="A255" i="10"/>
  <c r="B255" i="10"/>
  <c r="C255" i="10"/>
  <c r="D255" i="10"/>
  <c r="N278" i="2"/>
  <c r="A262" i="9"/>
  <c r="B262" i="9"/>
  <c r="C262" i="9"/>
  <c r="D262" i="9"/>
  <c r="V278" i="2"/>
  <c r="AM278" i="2"/>
  <c r="F279" i="2"/>
  <c r="A256" i="10"/>
  <c r="B256" i="10"/>
  <c r="C256" i="10"/>
  <c r="D256" i="10"/>
  <c r="N279" i="2"/>
  <c r="A263" i="9"/>
  <c r="B263" i="9"/>
  <c r="C263" i="9"/>
  <c r="D263" i="9"/>
  <c r="V279" i="2"/>
  <c r="AM279" i="2"/>
  <c r="F280" i="2"/>
  <c r="A257" i="10"/>
  <c r="B257" i="10"/>
  <c r="C257" i="10"/>
  <c r="D257" i="10"/>
  <c r="N280" i="2"/>
  <c r="A264" i="9"/>
  <c r="B264" i="9"/>
  <c r="C264" i="9"/>
  <c r="D264" i="9"/>
  <c r="V280" i="2"/>
  <c r="AM280" i="2"/>
  <c r="F281" i="2"/>
  <c r="A258" i="10"/>
  <c r="B258" i="10"/>
  <c r="C258" i="10"/>
  <c r="D258" i="10"/>
  <c r="N281" i="2"/>
  <c r="A265" i="9"/>
  <c r="B265" i="9"/>
  <c r="C265" i="9"/>
  <c r="D265" i="9"/>
  <c r="V281" i="2"/>
  <c r="AM281" i="2"/>
  <c r="F282" i="2"/>
  <c r="A259" i="10"/>
  <c r="B259" i="10"/>
  <c r="C259" i="10"/>
  <c r="D259" i="10"/>
  <c r="N282" i="2"/>
  <c r="A266" i="9"/>
  <c r="B266" i="9"/>
  <c r="C266" i="9"/>
  <c r="D266" i="9"/>
  <c r="V282" i="2"/>
  <c r="AM282" i="2"/>
  <c r="F283" i="2"/>
  <c r="A260" i="10"/>
  <c r="B260" i="10"/>
  <c r="C260" i="10"/>
  <c r="D260" i="10"/>
  <c r="N283" i="2"/>
  <c r="A267" i="9"/>
  <c r="B267" i="9"/>
  <c r="C267" i="9"/>
  <c r="D267" i="9"/>
  <c r="V283" i="2"/>
  <c r="AM283" i="2"/>
  <c r="F284" i="2"/>
  <c r="A261" i="10"/>
  <c r="B261" i="10"/>
  <c r="C261" i="10"/>
  <c r="D261" i="10"/>
  <c r="N284" i="2"/>
  <c r="A268" i="9"/>
  <c r="B268" i="9"/>
  <c r="C268" i="9"/>
  <c r="D268" i="9"/>
  <c r="V284" i="2"/>
  <c r="AM284" i="2"/>
  <c r="F285" i="2"/>
  <c r="A262" i="10"/>
  <c r="B262" i="10"/>
  <c r="C262" i="10"/>
  <c r="D262" i="10"/>
  <c r="N285" i="2"/>
  <c r="A269" i="9"/>
  <c r="B269" i="9"/>
  <c r="C269" i="9"/>
  <c r="D269" i="9"/>
  <c r="V285" i="2"/>
  <c r="AM285" i="2"/>
  <c r="F57" i="2"/>
  <c r="N57" i="2"/>
  <c r="V57" i="2"/>
  <c r="AM57" i="2"/>
  <c r="F11" i="25"/>
  <c r="F10" i="25"/>
  <c r="F9" i="25"/>
  <c r="F8" i="25"/>
  <c r="F7" i="25"/>
  <c r="F6" i="25"/>
  <c r="F5" i="25"/>
  <c r="F4" i="25"/>
  <c r="F3" i="25"/>
  <c r="AM46" i="2"/>
  <c r="H7" i="11"/>
  <c r="B153" i="2"/>
  <c r="AL153" i="2"/>
  <c r="H12" i="25"/>
  <c r="BF45" i="2"/>
  <c r="G3" i="25"/>
  <c r="F14" i="13"/>
  <c r="G14" i="13"/>
  <c r="H14" i="13"/>
  <c r="I12" i="13"/>
  <c r="I13" i="13"/>
  <c r="I14" i="13"/>
  <c r="J14" i="13"/>
  <c r="K14" i="13"/>
  <c r="L14" i="13"/>
  <c r="N14" i="13"/>
  <c r="AD3" i="2"/>
  <c r="AY46" i="2"/>
  <c r="AB12" i="14"/>
  <c r="AB5" i="14"/>
  <c r="AB7" i="14"/>
  <c r="AC12" i="14"/>
  <c r="Q12" i="14"/>
  <c r="U12" i="14"/>
  <c r="S12" i="14"/>
  <c r="AB13" i="14"/>
  <c r="AC13" i="14"/>
  <c r="Q13" i="14"/>
  <c r="U13" i="14"/>
  <c r="S13" i="14"/>
  <c r="AB14" i="14"/>
  <c r="AC14" i="14"/>
  <c r="Q14" i="14"/>
  <c r="U14" i="14"/>
  <c r="S14" i="14"/>
  <c r="AB15" i="14"/>
  <c r="AC15" i="14"/>
  <c r="Q15" i="14"/>
  <c r="U15" i="14"/>
  <c r="S15" i="14"/>
  <c r="AB16" i="14"/>
  <c r="AC16" i="14"/>
  <c r="Q16" i="14"/>
  <c r="U16" i="14"/>
  <c r="S16" i="14"/>
  <c r="AB17" i="14"/>
  <c r="AC17" i="14"/>
  <c r="Q17" i="14"/>
  <c r="U17" i="14"/>
  <c r="S17" i="14"/>
  <c r="AB18" i="14"/>
  <c r="AC18" i="14"/>
  <c r="Q18" i="14"/>
  <c r="U18" i="14"/>
  <c r="S18" i="14"/>
  <c r="AB19" i="14"/>
  <c r="AC19" i="14"/>
  <c r="Q19" i="14"/>
  <c r="U19" i="14"/>
  <c r="S19" i="14"/>
  <c r="AB20" i="14"/>
  <c r="AC20" i="14"/>
  <c r="Q20" i="14"/>
  <c r="U20" i="14"/>
  <c r="S20" i="14"/>
  <c r="AB21" i="14"/>
  <c r="AC21" i="14"/>
  <c r="Q21" i="14"/>
  <c r="U21" i="14"/>
  <c r="S21" i="14"/>
  <c r="AB22" i="14"/>
  <c r="AC22" i="14"/>
  <c r="Q22" i="14"/>
  <c r="U22" i="14"/>
  <c r="S22" i="14"/>
  <c r="AB23" i="14"/>
  <c r="AC23" i="14"/>
  <c r="Q23" i="14"/>
  <c r="U23" i="14"/>
  <c r="S23" i="14"/>
  <c r="AB24" i="14"/>
  <c r="AC24" i="14"/>
  <c r="Q24" i="14"/>
  <c r="U24" i="14"/>
  <c r="S24" i="14"/>
  <c r="AB25" i="14"/>
  <c r="AC25" i="14"/>
  <c r="Q25" i="14"/>
  <c r="U25" i="14"/>
  <c r="S25" i="14"/>
  <c r="AB26" i="14"/>
  <c r="AC26" i="14"/>
  <c r="Q26" i="14"/>
  <c r="U26" i="14"/>
  <c r="S26" i="14"/>
  <c r="AB27" i="14"/>
  <c r="AC27" i="14"/>
  <c r="Q27" i="14"/>
  <c r="U27" i="14"/>
  <c r="S27" i="14"/>
  <c r="AB28" i="14"/>
  <c r="AC28" i="14"/>
  <c r="Q28" i="14"/>
  <c r="U28" i="14"/>
  <c r="S28" i="14"/>
  <c r="AB29" i="14"/>
  <c r="AC29" i="14"/>
  <c r="Q29" i="14"/>
  <c r="U29" i="14"/>
  <c r="S29" i="14"/>
  <c r="AB30" i="14"/>
  <c r="AC30" i="14"/>
  <c r="Q30" i="14"/>
  <c r="U30" i="14"/>
  <c r="S30" i="14"/>
  <c r="AB31" i="14"/>
  <c r="AC31" i="14"/>
  <c r="Q31" i="14"/>
  <c r="U31" i="14"/>
  <c r="S31" i="14"/>
  <c r="AB32" i="14"/>
  <c r="AC32" i="14"/>
  <c r="Q32" i="14"/>
  <c r="U32" i="14"/>
  <c r="S32" i="14"/>
  <c r="AB33" i="14"/>
  <c r="AC33" i="14"/>
  <c r="Q33" i="14"/>
  <c r="U33" i="14"/>
  <c r="S33" i="14"/>
  <c r="AB34" i="14"/>
  <c r="AC34" i="14"/>
  <c r="Q34" i="14"/>
  <c r="U34" i="14"/>
  <c r="S34" i="14"/>
  <c r="AB35" i="14"/>
  <c r="AC35" i="14"/>
  <c r="Q35" i="14"/>
  <c r="U35" i="14"/>
  <c r="S35" i="14"/>
  <c r="AB36" i="14"/>
  <c r="AC36" i="14"/>
  <c r="Q36" i="14"/>
  <c r="U36" i="14"/>
  <c r="S36" i="14"/>
  <c r="AB37" i="14"/>
  <c r="AC37" i="14"/>
  <c r="Q37" i="14"/>
  <c r="U37" i="14"/>
  <c r="S37" i="14"/>
  <c r="AB38" i="14"/>
  <c r="AC38" i="14"/>
  <c r="Q38" i="14"/>
  <c r="U38" i="14"/>
  <c r="S38" i="14"/>
  <c r="AB39" i="14"/>
  <c r="AC39" i="14"/>
  <c r="Q39" i="14"/>
  <c r="U39" i="14"/>
  <c r="S39" i="14"/>
  <c r="AB40" i="14"/>
  <c r="AC40" i="14"/>
  <c r="Q40" i="14"/>
  <c r="U40" i="14"/>
  <c r="S40" i="14"/>
  <c r="AB41" i="14"/>
  <c r="AC41" i="14"/>
  <c r="Q41" i="14"/>
  <c r="U41" i="14"/>
  <c r="S41" i="14"/>
  <c r="AB42" i="14"/>
  <c r="AC42" i="14"/>
  <c r="Q42" i="14"/>
  <c r="U42" i="14"/>
  <c r="S42" i="14"/>
  <c r="AB43" i="14"/>
  <c r="AC43" i="14"/>
  <c r="Q43" i="14"/>
  <c r="U43" i="14"/>
  <c r="S43" i="14"/>
  <c r="AB44" i="14"/>
  <c r="AC44" i="14"/>
  <c r="Q44" i="14"/>
  <c r="U44" i="14"/>
  <c r="S44" i="14"/>
  <c r="AB45" i="14"/>
  <c r="AC45" i="14"/>
  <c r="Q45" i="14"/>
  <c r="U45" i="14"/>
  <c r="S45" i="14"/>
  <c r="AB46" i="14"/>
  <c r="AC46" i="14"/>
  <c r="Q46" i="14"/>
  <c r="U46" i="14"/>
  <c r="S46" i="14"/>
  <c r="AB47" i="14"/>
  <c r="AC47" i="14"/>
  <c r="Q47" i="14"/>
  <c r="U47" i="14"/>
  <c r="S47" i="14"/>
  <c r="AB48" i="14"/>
  <c r="AC48" i="14"/>
  <c r="Q48" i="14"/>
  <c r="U48" i="14"/>
  <c r="S48" i="14"/>
  <c r="AB49" i="14"/>
  <c r="AC49" i="14"/>
  <c r="Q49" i="14"/>
  <c r="U49" i="14"/>
  <c r="S49" i="14"/>
  <c r="AB50" i="14"/>
  <c r="AC50" i="14"/>
  <c r="Q50" i="14"/>
  <c r="U50" i="14"/>
  <c r="S50" i="14"/>
  <c r="AB51" i="14"/>
  <c r="AC51" i="14"/>
  <c r="Q51" i="14"/>
  <c r="U51" i="14"/>
  <c r="S51" i="14"/>
  <c r="AB52" i="14"/>
  <c r="AC52" i="14"/>
  <c r="Q52" i="14"/>
  <c r="U52" i="14"/>
  <c r="S52" i="14"/>
  <c r="AB53" i="14"/>
  <c r="AC53" i="14"/>
  <c r="Q53" i="14"/>
  <c r="U53" i="14"/>
  <c r="S53" i="14"/>
  <c r="AB54" i="14"/>
  <c r="AC54" i="14"/>
  <c r="Q54" i="14"/>
  <c r="U54" i="14"/>
  <c r="S54" i="14"/>
  <c r="AB55" i="14"/>
  <c r="AC55" i="14"/>
  <c r="Q55" i="14"/>
  <c r="U55" i="14"/>
  <c r="S55" i="14"/>
  <c r="AB56" i="14"/>
  <c r="AC56" i="14"/>
  <c r="Q56" i="14"/>
  <c r="U56" i="14"/>
  <c r="S56" i="14"/>
  <c r="AB57" i="14"/>
  <c r="AC57" i="14"/>
  <c r="Q57" i="14"/>
  <c r="U57" i="14"/>
  <c r="S57" i="14"/>
  <c r="AB58" i="14"/>
  <c r="AC58" i="14"/>
  <c r="Q58" i="14"/>
  <c r="U58" i="14"/>
  <c r="S58" i="14"/>
  <c r="AB59" i="14"/>
  <c r="AC59" i="14"/>
  <c r="Q59" i="14"/>
  <c r="U59" i="14"/>
  <c r="S59" i="14"/>
  <c r="AB60" i="14"/>
  <c r="AC60" i="14"/>
  <c r="Q60" i="14"/>
  <c r="U60" i="14"/>
  <c r="S60" i="14"/>
  <c r="AB61" i="14"/>
  <c r="AC61" i="14"/>
  <c r="Q61" i="14"/>
  <c r="U61" i="14"/>
  <c r="S61" i="14"/>
  <c r="AB62" i="14"/>
  <c r="AC62" i="14"/>
  <c r="Q62" i="14"/>
  <c r="U62" i="14"/>
  <c r="S62" i="14"/>
  <c r="AB63" i="14"/>
  <c r="AC63" i="14"/>
  <c r="Q63" i="14"/>
  <c r="U63" i="14"/>
  <c r="S63" i="14"/>
  <c r="AB64" i="14"/>
  <c r="AC64" i="14"/>
  <c r="Q64" i="14"/>
  <c r="U64" i="14"/>
  <c r="S64" i="14"/>
  <c r="AB65" i="14"/>
  <c r="AC65" i="14"/>
  <c r="Q65" i="14"/>
  <c r="U65" i="14"/>
  <c r="S65" i="14"/>
  <c r="AB66" i="14"/>
  <c r="AC66" i="14"/>
  <c r="Q66" i="14"/>
  <c r="U66" i="14"/>
  <c r="S66" i="14"/>
  <c r="AB67" i="14"/>
  <c r="AC67" i="14"/>
  <c r="Q67" i="14"/>
  <c r="U67" i="14"/>
  <c r="S67" i="14"/>
  <c r="AB68" i="14"/>
  <c r="AC68" i="14"/>
  <c r="Q68" i="14"/>
  <c r="U68" i="14"/>
  <c r="S68" i="14"/>
  <c r="AB69" i="14"/>
  <c r="AC69" i="14"/>
  <c r="Q69" i="14"/>
  <c r="U69" i="14"/>
  <c r="S69" i="14"/>
  <c r="AB70" i="14"/>
  <c r="AC70" i="14"/>
  <c r="Q70" i="14"/>
  <c r="U70" i="14"/>
  <c r="S70" i="14"/>
  <c r="AB71" i="14"/>
  <c r="AC71" i="14"/>
  <c r="Q71" i="14"/>
  <c r="U71" i="14"/>
  <c r="S71" i="14"/>
  <c r="AB72" i="14"/>
  <c r="AC72" i="14"/>
  <c r="Q72" i="14"/>
  <c r="U72" i="14"/>
  <c r="S72" i="14"/>
  <c r="AB73" i="14"/>
  <c r="AC73" i="14"/>
  <c r="Q73" i="14"/>
  <c r="U73" i="14"/>
  <c r="S73" i="14"/>
  <c r="AB74" i="14"/>
  <c r="AC74" i="14"/>
  <c r="Q74" i="14"/>
  <c r="U74" i="14"/>
  <c r="S74" i="14"/>
  <c r="AB75" i="14"/>
  <c r="AC75" i="14"/>
  <c r="Q75" i="14"/>
  <c r="U75" i="14"/>
  <c r="S75" i="14"/>
  <c r="AB76" i="14"/>
  <c r="AC76" i="14"/>
  <c r="Q76" i="14"/>
  <c r="U76" i="14"/>
  <c r="S76" i="14"/>
  <c r="AB77" i="14"/>
  <c r="AC77" i="14"/>
  <c r="Q77" i="14"/>
  <c r="U77" i="14"/>
  <c r="S77" i="14"/>
  <c r="AB78" i="14"/>
  <c r="AC78" i="14"/>
  <c r="Q78" i="14"/>
  <c r="U78" i="14"/>
  <c r="S78" i="14"/>
  <c r="AB79" i="14"/>
  <c r="AC79" i="14"/>
  <c r="Q79" i="14"/>
  <c r="U79" i="14"/>
  <c r="S79" i="14"/>
  <c r="AB80" i="14"/>
  <c r="AC80" i="14"/>
  <c r="Q80" i="14"/>
  <c r="U80" i="14"/>
  <c r="S80" i="14"/>
  <c r="AB81" i="14"/>
  <c r="AC81" i="14"/>
  <c r="Q81" i="14"/>
  <c r="U81" i="14"/>
  <c r="S81" i="14"/>
  <c r="AB82" i="14"/>
  <c r="AC82" i="14"/>
  <c r="Q82" i="14"/>
  <c r="U82" i="14"/>
  <c r="S82" i="14"/>
  <c r="AB83" i="14"/>
  <c r="AC83" i="14"/>
  <c r="Q83" i="14"/>
  <c r="U83" i="14"/>
  <c r="S83" i="14"/>
  <c r="AB84" i="14"/>
  <c r="AC84" i="14"/>
  <c r="Q84" i="14"/>
  <c r="U84" i="14"/>
  <c r="S84" i="14"/>
  <c r="AB85" i="14"/>
  <c r="AC85" i="14"/>
  <c r="Q85" i="14"/>
  <c r="U85" i="14"/>
  <c r="S85" i="14"/>
  <c r="AB86" i="14"/>
  <c r="AC86" i="14"/>
  <c r="Q86" i="14"/>
  <c r="U86" i="14"/>
  <c r="S86" i="14"/>
  <c r="AB87" i="14"/>
  <c r="AC87" i="14"/>
  <c r="Q87" i="14"/>
  <c r="U87" i="14"/>
  <c r="S87" i="14"/>
  <c r="AB88" i="14"/>
  <c r="AC88" i="14"/>
  <c r="Q88" i="14"/>
  <c r="U88" i="14"/>
  <c r="S88" i="14"/>
  <c r="AB89" i="14"/>
  <c r="AC89" i="14"/>
  <c r="Q89" i="14"/>
  <c r="U89" i="14"/>
  <c r="S89" i="14"/>
  <c r="AB90" i="14"/>
  <c r="AC90" i="14"/>
  <c r="Q90" i="14"/>
  <c r="U90" i="14"/>
  <c r="S90" i="14"/>
  <c r="AB91" i="14"/>
  <c r="AC91" i="14"/>
  <c r="Q91" i="14"/>
  <c r="U91" i="14"/>
  <c r="S91" i="14"/>
  <c r="AB92" i="14"/>
  <c r="AC92" i="14"/>
  <c r="Q92" i="14"/>
  <c r="U92" i="14"/>
  <c r="S92" i="14"/>
  <c r="AB93" i="14"/>
  <c r="AC93" i="14"/>
  <c r="Q93" i="14"/>
  <c r="U93" i="14"/>
  <c r="S93" i="14"/>
  <c r="AB94" i="14"/>
  <c r="AC94" i="14"/>
  <c r="Q94" i="14"/>
  <c r="U94" i="14"/>
  <c r="S94" i="14"/>
  <c r="AB95" i="14"/>
  <c r="AC95" i="14"/>
  <c r="Q95" i="14"/>
  <c r="U95" i="14"/>
  <c r="S95" i="14"/>
  <c r="AB96" i="14"/>
  <c r="AC96" i="14"/>
  <c r="Q96" i="14"/>
  <c r="U96" i="14"/>
  <c r="S96" i="14"/>
  <c r="AB97" i="14"/>
  <c r="AC97" i="14"/>
  <c r="Q97" i="14"/>
  <c r="U97" i="14"/>
  <c r="S97" i="14"/>
  <c r="AB98" i="14"/>
  <c r="AC98" i="14"/>
  <c r="Q98" i="14"/>
  <c r="U98" i="14"/>
  <c r="S98" i="14"/>
  <c r="AB99" i="14"/>
  <c r="AC99" i="14"/>
  <c r="Q99" i="14"/>
  <c r="U99" i="14"/>
  <c r="S99" i="14"/>
  <c r="AB100" i="14"/>
  <c r="AC100" i="14"/>
  <c r="Q100" i="14"/>
  <c r="U100" i="14"/>
  <c r="S100" i="14"/>
  <c r="AB101" i="14"/>
  <c r="AC101" i="14"/>
  <c r="Q101" i="14"/>
  <c r="U101" i="14"/>
  <c r="S101" i="14"/>
  <c r="AB102" i="14"/>
  <c r="AC102" i="14"/>
  <c r="Q102" i="14"/>
  <c r="U102" i="14"/>
  <c r="S102" i="14"/>
  <c r="AB103" i="14"/>
  <c r="AC103" i="14"/>
  <c r="Q103" i="14"/>
  <c r="U103" i="14"/>
  <c r="S103" i="14"/>
  <c r="AB104" i="14"/>
  <c r="AC104" i="14"/>
  <c r="Q104" i="14"/>
  <c r="U104" i="14"/>
  <c r="S104" i="14"/>
  <c r="AB105" i="14"/>
  <c r="AC105" i="14"/>
  <c r="Q105" i="14"/>
  <c r="U105" i="14"/>
  <c r="S105" i="14"/>
  <c r="AB106" i="14"/>
  <c r="AC106" i="14"/>
  <c r="Q106" i="14"/>
  <c r="U106" i="14"/>
  <c r="S106" i="14"/>
  <c r="AB107" i="14"/>
  <c r="AC107" i="14"/>
  <c r="Q107" i="14"/>
  <c r="U107" i="14"/>
  <c r="S107" i="14"/>
  <c r="AB108" i="14"/>
  <c r="AC108" i="14"/>
  <c r="Q108" i="14"/>
  <c r="U108" i="14"/>
  <c r="S108" i="14"/>
  <c r="AB109" i="14"/>
  <c r="AC109" i="14"/>
  <c r="Q109" i="14"/>
  <c r="U109" i="14"/>
  <c r="S109" i="14"/>
  <c r="AB110" i="14"/>
  <c r="AC110" i="14"/>
  <c r="Q110" i="14"/>
  <c r="U110" i="14"/>
  <c r="S110" i="14"/>
  <c r="AB111" i="14"/>
  <c r="AC111" i="14"/>
  <c r="Q111" i="14"/>
  <c r="U111" i="14"/>
  <c r="S111" i="14"/>
  <c r="AB112" i="14"/>
  <c r="AC112" i="14"/>
  <c r="Q112" i="14"/>
  <c r="U112" i="14"/>
  <c r="S112" i="14"/>
  <c r="AB113" i="14"/>
  <c r="AC113" i="14"/>
  <c r="Q113" i="14"/>
  <c r="U113" i="14"/>
  <c r="S113" i="14"/>
  <c r="AB114" i="14"/>
  <c r="AC114" i="14"/>
  <c r="Q114" i="14"/>
  <c r="U114" i="14"/>
  <c r="S114" i="14"/>
  <c r="AB115" i="14"/>
  <c r="AC115" i="14"/>
  <c r="Q115" i="14"/>
  <c r="U115" i="14"/>
  <c r="S115" i="14"/>
  <c r="AB116" i="14"/>
  <c r="AC116" i="14"/>
  <c r="Q116" i="14"/>
  <c r="U116" i="14"/>
  <c r="S116" i="14"/>
  <c r="AB117" i="14"/>
  <c r="AC117" i="14"/>
  <c r="Q117" i="14"/>
  <c r="U117" i="14"/>
  <c r="S117" i="14"/>
  <c r="AB118" i="14"/>
  <c r="AC118" i="14"/>
  <c r="Q118" i="14"/>
  <c r="U118" i="14"/>
  <c r="S118" i="14"/>
  <c r="AB119" i="14"/>
  <c r="AC119" i="14"/>
  <c r="Q119" i="14"/>
  <c r="U119" i="14"/>
  <c r="S119" i="14"/>
  <c r="AB120" i="14"/>
  <c r="AC120" i="14"/>
  <c r="Q120" i="14"/>
  <c r="U120" i="14"/>
  <c r="S120" i="14"/>
  <c r="AB121" i="14"/>
  <c r="AC121" i="14"/>
  <c r="Q121" i="14"/>
  <c r="U121" i="14"/>
  <c r="S121" i="14"/>
  <c r="AB122" i="14"/>
  <c r="AC122" i="14"/>
  <c r="Q122" i="14"/>
  <c r="U122" i="14"/>
  <c r="S122" i="14"/>
  <c r="AB123" i="14"/>
  <c r="AC123" i="14"/>
  <c r="Q123" i="14"/>
  <c r="U123" i="14"/>
  <c r="S123" i="14"/>
  <c r="AB124" i="14"/>
  <c r="AC124" i="14"/>
  <c r="Q124" i="14"/>
  <c r="U124" i="14"/>
  <c r="S124" i="14"/>
  <c r="AB125" i="14"/>
  <c r="AC125" i="14"/>
  <c r="Q125" i="14"/>
  <c r="U125" i="14"/>
  <c r="S125" i="14"/>
  <c r="AB126" i="14"/>
  <c r="AC126" i="14"/>
  <c r="Q126" i="14"/>
  <c r="U126" i="14"/>
  <c r="S126" i="14"/>
  <c r="AB127" i="14"/>
  <c r="AC127" i="14"/>
  <c r="Q127" i="14"/>
  <c r="U127" i="14"/>
  <c r="S127" i="14"/>
  <c r="AB128" i="14"/>
  <c r="AC128" i="14"/>
  <c r="Q128" i="14"/>
  <c r="U128" i="14"/>
  <c r="S128" i="14"/>
  <c r="AB129" i="14"/>
  <c r="AC129" i="14"/>
  <c r="Q129" i="14"/>
  <c r="U129" i="14"/>
  <c r="S129" i="14"/>
  <c r="AB130" i="14"/>
  <c r="AC130" i="14"/>
  <c r="Q130" i="14"/>
  <c r="U130" i="14"/>
  <c r="S130" i="14"/>
  <c r="AB131" i="14"/>
  <c r="AC131" i="14"/>
  <c r="Q131" i="14"/>
  <c r="U131" i="14"/>
  <c r="S131" i="14"/>
  <c r="AB132" i="14"/>
  <c r="AC132" i="14"/>
  <c r="Q132" i="14"/>
  <c r="U132" i="14"/>
  <c r="S132" i="14"/>
  <c r="AB133" i="14"/>
  <c r="AC133" i="14"/>
  <c r="Q133" i="14"/>
  <c r="U133" i="14"/>
  <c r="S133" i="14"/>
  <c r="AB134" i="14"/>
  <c r="AC134" i="14"/>
  <c r="Q134" i="14"/>
  <c r="U134" i="14"/>
  <c r="S134" i="14"/>
  <c r="AB135" i="14"/>
  <c r="AC135" i="14"/>
  <c r="Q135" i="14"/>
  <c r="U135" i="14"/>
  <c r="S135" i="14"/>
  <c r="AB136" i="14"/>
  <c r="AC136" i="14"/>
  <c r="Q136" i="14"/>
  <c r="U136" i="14"/>
  <c r="S136" i="14"/>
  <c r="AB137" i="14"/>
  <c r="AC137" i="14"/>
  <c r="Q137" i="14"/>
  <c r="U137" i="14"/>
  <c r="S137" i="14"/>
  <c r="AB138" i="14"/>
  <c r="AC138" i="14"/>
  <c r="Q138" i="14"/>
  <c r="U138" i="14"/>
  <c r="S138" i="14"/>
  <c r="AB139" i="14"/>
  <c r="AC139" i="14"/>
  <c r="Q139" i="14"/>
  <c r="U139" i="14"/>
  <c r="S139" i="14"/>
  <c r="AB140" i="14"/>
  <c r="AC140" i="14"/>
  <c r="Q140" i="14"/>
  <c r="U140" i="14"/>
  <c r="S140" i="14"/>
  <c r="AB141" i="14"/>
  <c r="AC141" i="14"/>
  <c r="Q141" i="14"/>
  <c r="U141" i="14"/>
  <c r="S141" i="14"/>
  <c r="AB142" i="14"/>
  <c r="AC142" i="14"/>
  <c r="Q142" i="14"/>
  <c r="U142" i="14"/>
  <c r="S142" i="14"/>
  <c r="AB143" i="14"/>
  <c r="AC143" i="14"/>
  <c r="Q143" i="14"/>
  <c r="U143" i="14"/>
  <c r="S143" i="14"/>
  <c r="AB144" i="14"/>
  <c r="AC144" i="14"/>
  <c r="Q144" i="14"/>
  <c r="U144" i="14"/>
  <c r="S144" i="14"/>
  <c r="AB145" i="14"/>
  <c r="AC145" i="14"/>
  <c r="Q145" i="14"/>
  <c r="U145" i="14"/>
  <c r="S145" i="14"/>
  <c r="AB146" i="14"/>
  <c r="AC146" i="14"/>
  <c r="Q146" i="14"/>
  <c r="U146" i="14"/>
  <c r="S146" i="14"/>
  <c r="AB147" i="14"/>
  <c r="AC147" i="14"/>
  <c r="Q147" i="14"/>
  <c r="U147" i="14"/>
  <c r="S147" i="14"/>
  <c r="AB148" i="14"/>
  <c r="AC148" i="14"/>
  <c r="Q148" i="14"/>
  <c r="U148" i="14"/>
  <c r="S148" i="14"/>
  <c r="AB149" i="14"/>
  <c r="AC149" i="14"/>
  <c r="Q149" i="14"/>
  <c r="U149" i="14"/>
  <c r="S149" i="14"/>
  <c r="AB150" i="14"/>
  <c r="AC150" i="14"/>
  <c r="Q150" i="14"/>
  <c r="U150" i="14"/>
  <c r="S150" i="14"/>
  <c r="AB151" i="14"/>
  <c r="AC151" i="14"/>
  <c r="Q151" i="14"/>
  <c r="U151" i="14"/>
  <c r="S151" i="14"/>
  <c r="AB152" i="14"/>
  <c r="AC152" i="14"/>
  <c r="Q152" i="14"/>
  <c r="U152" i="14"/>
  <c r="S152" i="14"/>
  <c r="AB153" i="14"/>
  <c r="AC153" i="14"/>
  <c r="Q153" i="14"/>
  <c r="U153" i="14"/>
  <c r="S153" i="14"/>
  <c r="AB154" i="14"/>
  <c r="AC154" i="14"/>
  <c r="Q154" i="14"/>
  <c r="U154" i="14"/>
  <c r="S154" i="14"/>
  <c r="AB155" i="14"/>
  <c r="AC155" i="14"/>
  <c r="Q155" i="14"/>
  <c r="U155" i="14"/>
  <c r="S155" i="14"/>
  <c r="AB156" i="14"/>
  <c r="AC156" i="14"/>
  <c r="Q156" i="14"/>
  <c r="U156" i="14"/>
  <c r="S156" i="14"/>
  <c r="AB157" i="14"/>
  <c r="AC157" i="14"/>
  <c r="Q157" i="14"/>
  <c r="U157" i="14"/>
  <c r="S157" i="14"/>
  <c r="AB158" i="14"/>
  <c r="AC158" i="14"/>
  <c r="Q158" i="14"/>
  <c r="U158" i="14"/>
  <c r="S158" i="14"/>
  <c r="AB159" i="14"/>
  <c r="AC159" i="14"/>
  <c r="Q159" i="14"/>
  <c r="U159" i="14"/>
  <c r="S159" i="14"/>
  <c r="AB160" i="14"/>
  <c r="AC160" i="14"/>
  <c r="Q160" i="14"/>
  <c r="U160" i="14"/>
  <c r="S160" i="14"/>
  <c r="AB161" i="14"/>
  <c r="AC161" i="14"/>
  <c r="Q161" i="14"/>
  <c r="U161" i="14"/>
  <c r="S161" i="14"/>
  <c r="AB162" i="14"/>
  <c r="AC162" i="14"/>
  <c r="Q162" i="14"/>
  <c r="U162" i="14"/>
  <c r="S162" i="14"/>
  <c r="AB163" i="14"/>
  <c r="AC163" i="14"/>
  <c r="Q163" i="14"/>
  <c r="U163" i="14"/>
  <c r="S163" i="14"/>
  <c r="AB164" i="14"/>
  <c r="AC164" i="14"/>
  <c r="Q164" i="14"/>
  <c r="U164" i="14"/>
  <c r="S164" i="14"/>
  <c r="P159" i="3"/>
  <c r="AB165" i="14"/>
  <c r="AC165" i="14"/>
  <c r="Q165" i="14"/>
  <c r="U165" i="14"/>
  <c r="S165" i="14"/>
  <c r="P160" i="3"/>
  <c r="AB166" i="14"/>
  <c r="AC166" i="14"/>
  <c r="Q166" i="14"/>
  <c r="U166" i="14"/>
  <c r="S166" i="14"/>
  <c r="P161" i="3"/>
  <c r="AB167" i="14"/>
  <c r="AC167" i="14"/>
  <c r="Q167" i="14"/>
  <c r="U167" i="14"/>
  <c r="S167" i="14"/>
  <c r="P162" i="3"/>
  <c r="AB168" i="14"/>
  <c r="AC168" i="14"/>
  <c r="Q168" i="14"/>
  <c r="U168" i="14"/>
  <c r="S168" i="14"/>
  <c r="P163" i="3"/>
  <c r="AB169" i="14"/>
  <c r="AC169" i="14"/>
  <c r="Q169" i="14"/>
  <c r="U169" i="14"/>
  <c r="S169" i="14"/>
  <c r="P164" i="3"/>
  <c r="AB170" i="14"/>
  <c r="AC170" i="14"/>
  <c r="Q170" i="14"/>
  <c r="U170" i="14"/>
  <c r="S170" i="14"/>
  <c r="P165" i="3"/>
  <c r="AB171" i="14"/>
  <c r="AC171" i="14"/>
  <c r="Q171" i="14"/>
  <c r="U171" i="14"/>
  <c r="S171" i="14"/>
  <c r="P166" i="3"/>
  <c r="AB172" i="14"/>
  <c r="AC172" i="14"/>
  <c r="Q172" i="14"/>
  <c r="U172" i="14"/>
  <c r="S172" i="14"/>
  <c r="P167" i="3"/>
  <c r="AB173" i="14"/>
  <c r="AC173" i="14"/>
  <c r="Q173" i="14"/>
  <c r="U173" i="14"/>
  <c r="S173" i="14"/>
  <c r="P168" i="3"/>
  <c r="AB174" i="14"/>
  <c r="AC174" i="14"/>
  <c r="Q174" i="14"/>
  <c r="U174" i="14"/>
  <c r="S174" i="14"/>
  <c r="P169" i="3"/>
  <c r="AB175" i="14"/>
  <c r="AC175" i="14"/>
  <c r="Q175" i="14"/>
  <c r="U175" i="14"/>
  <c r="S175" i="14"/>
  <c r="P170" i="3"/>
  <c r="AB176" i="14"/>
  <c r="AC176" i="14"/>
  <c r="Q176" i="14"/>
  <c r="U176" i="14"/>
  <c r="S176" i="14"/>
  <c r="P171" i="3"/>
  <c r="AB177" i="14"/>
  <c r="AC177" i="14"/>
  <c r="Q177" i="14"/>
  <c r="U177" i="14"/>
  <c r="S177" i="14"/>
  <c r="P172" i="3"/>
  <c r="AB178" i="14"/>
  <c r="AC178" i="14"/>
  <c r="Q178" i="14"/>
  <c r="U178" i="14"/>
  <c r="S178" i="14"/>
  <c r="P173" i="3"/>
  <c r="AB179" i="14"/>
  <c r="AC179" i="14"/>
  <c r="Q179" i="14"/>
  <c r="U179" i="14"/>
  <c r="S179" i="14"/>
  <c r="P174" i="3"/>
  <c r="AB180" i="14"/>
  <c r="AC180" i="14"/>
  <c r="Q180" i="14"/>
  <c r="U180" i="14"/>
  <c r="S180" i="14"/>
  <c r="P175" i="3"/>
  <c r="AB181" i="14"/>
  <c r="AC181" i="14"/>
  <c r="Q181" i="14"/>
  <c r="U181" i="14"/>
  <c r="S181" i="14"/>
  <c r="P176" i="3"/>
  <c r="AB182" i="14"/>
  <c r="AC182" i="14"/>
  <c r="Q182" i="14"/>
  <c r="U182" i="14"/>
  <c r="S182" i="14"/>
  <c r="P177" i="3"/>
  <c r="AB183" i="14"/>
  <c r="AC183" i="14"/>
  <c r="Q183" i="14"/>
  <c r="U183" i="14"/>
  <c r="S183" i="14"/>
  <c r="P178" i="3"/>
  <c r="AB184" i="14"/>
  <c r="AC184" i="14"/>
  <c r="Q184" i="14"/>
  <c r="U184" i="14"/>
  <c r="S184" i="14"/>
  <c r="P179" i="3"/>
  <c r="AB185" i="14"/>
  <c r="AC185" i="14"/>
  <c r="Q185" i="14"/>
  <c r="U185" i="14"/>
  <c r="S185" i="14"/>
  <c r="P180" i="3"/>
  <c r="AB186" i="14"/>
  <c r="AC186" i="14"/>
  <c r="Q186" i="14"/>
  <c r="U186" i="14"/>
  <c r="S186" i="14"/>
  <c r="P181" i="3"/>
  <c r="AB187" i="14"/>
  <c r="AC187" i="14"/>
  <c r="Q187" i="14"/>
  <c r="U187" i="14"/>
  <c r="S187" i="14"/>
  <c r="P182" i="3"/>
  <c r="AB188" i="14"/>
  <c r="AC188" i="14"/>
  <c r="Q188" i="14"/>
  <c r="U188" i="14"/>
  <c r="S188" i="14"/>
  <c r="P183" i="3"/>
  <c r="AB189" i="14"/>
  <c r="AC189" i="14"/>
  <c r="Q189" i="14"/>
  <c r="U189" i="14"/>
  <c r="S189" i="14"/>
  <c r="P184" i="3"/>
  <c r="AB190" i="14"/>
  <c r="AC190" i="14"/>
  <c r="Q190" i="14"/>
  <c r="U190" i="14"/>
  <c r="S190" i="14"/>
  <c r="P185" i="3"/>
  <c r="AB191" i="14"/>
  <c r="AC191" i="14"/>
  <c r="Q191" i="14"/>
  <c r="U191" i="14"/>
  <c r="S191" i="14"/>
  <c r="P186" i="3"/>
  <c r="AB192" i="14"/>
  <c r="AC192" i="14"/>
  <c r="Q192" i="14"/>
  <c r="U192" i="14"/>
  <c r="S192" i="14"/>
  <c r="P187" i="3"/>
  <c r="AB193" i="14"/>
  <c r="AC193" i="14"/>
  <c r="Q193" i="14"/>
  <c r="U193" i="14"/>
  <c r="S193" i="14"/>
  <c r="P188" i="3"/>
  <c r="AB194" i="14"/>
  <c r="AC194" i="14"/>
  <c r="Q194" i="14"/>
  <c r="U194" i="14"/>
  <c r="S194" i="14"/>
  <c r="P189" i="3"/>
  <c r="AB195" i="14"/>
  <c r="AC195" i="14"/>
  <c r="Q195" i="14"/>
  <c r="U195" i="14"/>
  <c r="S195" i="14"/>
  <c r="P190" i="3"/>
  <c r="AB196" i="14"/>
  <c r="AC196" i="14"/>
  <c r="Q196" i="14"/>
  <c r="U196" i="14"/>
  <c r="S196" i="14"/>
  <c r="P191" i="3"/>
  <c r="AB197" i="14"/>
  <c r="AC197" i="14"/>
  <c r="Q197" i="14"/>
  <c r="U197" i="14"/>
  <c r="S197" i="14"/>
  <c r="P192" i="3"/>
  <c r="AB198" i="14"/>
  <c r="AC198" i="14"/>
  <c r="Q198" i="14"/>
  <c r="U198" i="14"/>
  <c r="S198" i="14"/>
  <c r="P193" i="3"/>
  <c r="AB199" i="14"/>
  <c r="AC199" i="14"/>
  <c r="Q199" i="14"/>
  <c r="U199" i="14"/>
  <c r="S199" i="14"/>
  <c r="P194" i="3"/>
  <c r="AB200" i="14"/>
  <c r="AC200" i="14"/>
  <c r="Q200" i="14"/>
  <c r="U200" i="14"/>
  <c r="S200" i="14"/>
  <c r="P195" i="3"/>
  <c r="AB201" i="14"/>
  <c r="AC201" i="14"/>
  <c r="Q201" i="14"/>
  <c r="U201" i="14"/>
  <c r="S201" i="14"/>
  <c r="P196" i="3"/>
  <c r="AB202" i="14"/>
  <c r="AC202" i="14"/>
  <c r="Q202" i="14"/>
  <c r="U202" i="14"/>
  <c r="S202" i="14"/>
  <c r="P197" i="3"/>
  <c r="AB203" i="14"/>
  <c r="AC203" i="14"/>
  <c r="Q203" i="14"/>
  <c r="U203" i="14"/>
  <c r="S203" i="14"/>
  <c r="P198" i="3"/>
  <c r="AB204" i="14"/>
  <c r="AC204" i="14"/>
  <c r="Q204" i="14"/>
  <c r="U204" i="14"/>
  <c r="S204" i="14"/>
  <c r="P199" i="3"/>
  <c r="AB205" i="14"/>
  <c r="AC205" i="14"/>
  <c r="Q205" i="14"/>
  <c r="U205" i="14"/>
  <c r="S205" i="14"/>
  <c r="P200" i="3"/>
  <c r="AB206" i="14"/>
  <c r="AC206" i="14"/>
  <c r="Q206" i="14"/>
  <c r="U206" i="14"/>
  <c r="S206" i="14"/>
  <c r="P201" i="3"/>
  <c r="AB207" i="14"/>
  <c r="AC207" i="14"/>
  <c r="Q207" i="14"/>
  <c r="U207" i="14"/>
  <c r="S207" i="14"/>
  <c r="P202" i="3"/>
  <c r="AB208" i="14"/>
  <c r="AC208" i="14"/>
  <c r="Q208" i="14"/>
  <c r="U208" i="14"/>
  <c r="S208" i="14"/>
  <c r="P203" i="3"/>
  <c r="AB209" i="14"/>
  <c r="AC209" i="14"/>
  <c r="Q209" i="14"/>
  <c r="U209" i="14"/>
  <c r="S209" i="14"/>
  <c r="P204" i="3"/>
  <c r="AB210" i="14"/>
  <c r="AC210" i="14"/>
  <c r="Q210" i="14"/>
  <c r="U210" i="14"/>
  <c r="S210" i="14"/>
  <c r="P205" i="3"/>
  <c r="AB211" i="14"/>
  <c r="AC211" i="14"/>
  <c r="Q211" i="14"/>
  <c r="U211" i="14"/>
  <c r="S211" i="14"/>
  <c r="P206" i="3"/>
  <c r="AB212" i="14"/>
  <c r="AC212" i="14"/>
  <c r="Q212" i="14"/>
  <c r="U212" i="14"/>
  <c r="S212" i="14"/>
  <c r="P207" i="3"/>
  <c r="AB213" i="14"/>
  <c r="AC213" i="14"/>
  <c r="Q213" i="14"/>
  <c r="U213" i="14"/>
  <c r="S213" i="14"/>
  <c r="P208" i="3"/>
  <c r="AB214" i="14"/>
  <c r="AC214" i="14"/>
  <c r="Q214" i="14"/>
  <c r="U214" i="14"/>
  <c r="S214" i="14"/>
  <c r="P209" i="3"/>
  <c r="AB215" i="14"/>
  <c r="AC215" i="14"/>
  <c r="Q215" i="14"/>
  <c r="U215" i="14"/>
  <c r="S215" i="14"/>
  <c r="P210" i="3"/>
  <c r="AB216" i="14"/>
  <c r="AC216" i="14"/>
  <c r="Q216" i="14"/>
  <c r="U216" i="14"/>
  <c r="S216" i="14"/>
  <c r="P211" i="3"/>
  <c r="AB217" i="14"/>
  <c r="AC217" i="14"/>
  <c r="Q217" i="14"/>
  <c r="U217" i="14"/>
  <c r="S217" i="14"/>
  <c r="P212" i="3"/>
  <c r="AB218" i="14"/>
  <c r="AC218" i="14"/>
  <c r="Q218" i="14"/>
  <c r="U218" i="14"/>
  <c r="S218" i="14"/>
  <c r="P213" i="3"/>
  <c r="AB219" i="14"/>
  <c r="AC219" i="14"/>
  <c r="Q219" i="14"/>
  <c r="U219" i="14"/>
  <c r="S219" i="14"/>
  <c r="P214" i="3"/>
  <c r="AB220" i="14"/>
  <c r="AC220" i="14"/>
  <c r="Q220" i="14"/>
  <c r="U220" i="14"/>
  <c r="S220" i="14"/>
  <c r="P215" i="3"/>
  <c r="AB221" i="14"/>
  <c r="AC221" i="14"/>
  <c r="Q221" i="14"/>
  <c r="U221" i="14"/>
  <c r="S221" i="14"/>
  <c r="P216" i="3"/>
  <c r="AB222" i="14"/>
  <c r="AC222" i="14"/>
  <c r="Q222" i="14"/>
  <c r="U222" i="14"/>
  <c r="S222" i="14"/>
  <c r="P217" i="3"/>
  <c r="AB223" i="14"/>
  <c r="AC223" i="14"/>
  <c r="Q223" i="14"/>
  <c r="U223" i="14"/>
  <c r="S223" i="14"/>
  <c r="P218" i="3"/>
  <c r="AB224" i="14"/>
  <c r="AC224" i="14"/>
  <c r="Q224" i="14"/>
  <c r="U224" i="14"/>
  <c r="S224" i="14"/>
  <c r="P219" i="3"/>
  <c r="AB225" i="14"/>
  <c r="AC225" i="14"/>
  <c r="Q225" i="14"/>
  <c r="U225" i="14"/>
  <c r="S225" i="14"/>
  <c r="P220" i="3"/>
  <c r="AB226" i="14"/>
  <c r="AC226" i="14"/>
  <c r="Q226" i="14"/>
  <c r="U226" i="14"/>
  <c r="S226" i="14"/>
  <c r="P221" i="3"/>
  <c r="AB227" i="14"/>
  <c r="AC227" i="14"/>
  <c r="Q227" i="14"/>
  <c r="U227" i="14"/>
  <c r="S227" i="14"/>
  <c r="P222" i="3"/>
  <c r="AB228" i="14"/>
  <c r="AC228" i="14"/>
  <c r="Q228" i="14"/>
  <c r="U228" i="14"/>
  <c r="S228" i="14"/>
  <c r="P223" i="3"/>
  <c r="AB229" i="14"/>
  <c r="AC229" i="14"/>
  <c r="Q229" i="14"/>
  <c r="U229" i="14"/>
  <c r="S229" i="14"/>
  <c r="P224" i="3"/>
  <c r="AB230" i="14"/>
  <c r="AC230" i="14"/>
  <c r="Q230" i="14"/>
  <c r="U230" i="14"/>
  <c r="S230" i="14"/>
  <c r="P225" i="3"/>
  <c r="AB231" i="14"/>
  <c r="AC231" i="14"/>
  <c r="Q231" i="14"/>
  <c r="U231" i="14"/>
  <c r="S231" i="14"/>
  <c r="P226" i="3"/>
  <c r="AB232" i="14"/>
  <c r="AC232" i="14"/>
  <c r="Q232" i="14"/>
  <c r="U232" i="14"/>
  <c r="S232" i="14"/>
  <c r="P227" i="3"/>
  <c r="AB233" i="14"/>
  <c r="AC233" i="14"/>
  <c r="Q233" i="14"/>
  <c r="U233" i="14"/>
  <c r="S233" i="14"/>
  <c r="P228" i="3"/>
  <c r="AB234" i="14"/>
  <c r="AC234" i="14"/>
  <c r="Q234" i="14"/>
  <c r="U234" i="14"/>
  <c r="S234" i="14"/>
  <c r="P229" i="3"/>
  <c r="AB235" i="14"/>
  <c r="AC235" i="14"/>
  <c r="Q235" i="14"/>
  <c r="U235" i="14"/>
  <c r="S235" i="14"/>
  <c r="P230" i="3"/>
  <c r="AB236" i="14"/>
  <c r="AC236" i="14"/>
  <c r="Q236" i="14"/>
  <c r="U236" i="14"/>
  <c r="S236" i="14"/>
  <c r="P231" i="3"/>
  <c r="AB237" i="14"/>
  <c r="AC237" i="14"/>
  <c r="Q237" i="14"/>
  <c r="U237" i="14"/>
  <c r="S237" i="14"/>
  <c r="P232" i="3"/>
  <c r="AB238" i="14"/>
  <c r="AC238" i="14"/>
  <c r="Q238" i="14"/>
  <c r="U238" i="14"/>
  <c r="S238" i="14"/>
  <c r="P233" i="3"/>
  <c r="AB239" i="14"/>
  <c r="AC239" i="14"/>
  <c r="Q239" i="14"/>
  <c r="U239" i="14"/>
  <c r="S239" i="14"/>
  <c r="P234" i="3"/>
  <c r="AB240" i="14"/>
  <c r="AC240" i="14"/>
  <c r="Q240" i="14"/>
  <c r="U240" i="14"/>
  <c r="S240" i="14"/>
  <c r="P235" i="3"/>
  <c r="AB241" i="14"/>
  <c r="AC241" i="14"/>
  <c r="Q241" i="14"/>
  <c r="U241" i="14"/>
  <c r="S241" i="14"/>
  <c r="P236" i="3"/>
  <c r="AB242" i="14"/>
  <c r="AC242" i="14"/>
  <c r="Q242" i="14"/>
  <c r="U242" i="14"/>
  <c r="S242" i="14"/>
  <c r="P237" i="3"/>
  <c r="AB243" i="14"/>
  <c r="AC243" i="14"/>
  <c r="Q243" i="14"/>
  <c r="U243" i="14"/>
  <c r="S243" i="14"/>
  <c r="P238" i="3"/>
  <c r="AB244" i="14"/>
  <c r="AC244" i="14"/>
  <c r="Q244" i="14"/>
  <c r="U244" i="14"/>
  <c r="S244" i="14"/>
  <c r="P239" i="3"/>
  <c r="AB245" i="14"/>
  <c r="AC245" i="14"/>
  <c r="Q245" i="14"/>
  <c r="U245" i="14"/>
  <c r="S245" i="14"/>
  <c r="P240" i="3"/>
  <c r="AB246" i="14"/>
  <c r="AC246" i="14"/>
  <c r="Q246" i="14"/>
  <c r="U246" i="14"/>
  <c r="S246" i="14"/>
  <c r="P241" i="3"/>
  <c r="AB247" i="14"/>
  <c r="AC247" i="14"/>
  <c r="Q247" i="14"/>
  <c r="U247" i="14"/>
  <c r="S247" i="14"/>
  <c r="P242" i="3"/>
  <c r="AB248" i="14"/>
  <c r="AC248" i="14"/>
  <c r="Q248" i="14"/>
  <c r="U248" i="14"/>
  <c r="S248" i="14"/>
  <c r="P243" i="3"/>
  <c r="AB249" i="14"/>
  <c r="AC249" i="14"/>
  <c r="Q249" i="14"/>
  <c r="U249" i="14"/>
  <c r="S249" i="14"/>
  <c r="P244" i="3"/>
  <c r="AB250" i="14"/>
  <c r="AC250" i="14"/>
  <c r="Q250" i="14"/>
  <c r="U250" i="14"/>
  <c r="S250" i="14"/>
  <c r="P245" i="3"/>
  <c r="AB251" i="14"/>
  <c r="AC251" i="14"/>
  <c r="Q251" i="14"/>
  <c r="U251" i="14"/>
  <c r="S251" i="14"/>
  <c r="P246" i="3"/>
  <c r="AB252" i="14"/>
  <c r="AC252" i="14"/>
  <c r="Q252" i="14"/>
  <c r="U252" i="14"/>
  <c r="S252" i="14"/>
  <c r="P247" i="3"/>
  <c r="AB253" i="14"/>
  <c r="AC253" i="14"/>
  <c r="Q253" i="14"/>
  <c r="U253" i="14"/>
  <c r="S253" i="14"/>
  <c r="P248" i="3"/>
  <c r="AB254" i="14"/>
  <c r="AC254" i="14"/>
  <c r="Q254" i="14"/>
  <c r="U254" i="14"/>
  <c r="S254" i="14"/>
  <c r="P249" i="3"/>
  <c r="AB255" i="14"/>
  <c r="AC255" i="14"/>
  <c r="Q255" i="14"/>
  <c r="U255" i="14"/>
  <c r="S255" i="14"/>
  <c r="AB11" i="14"/>
  <c r="AC11" i="14"/>
  <c r="Q11" i="14"/>
  <c r="U11" i="14"/>
  <c r="S11" i="14"/>
  <c r="A5" i="14"/>
  <c r="C14" i="14"/>
  <c r="I14" i="14"/>
  <c r="AF14" i="14"/>
  <c r="A5" i="15"/>
  <c r="C15" i="15"/>
  <c r="Z15" i="15"/>
  <c r="C42" i="15"/>
  <c r="Z42" i="15"/>
  <c r="C34" i="15"/>
  <c r="Z34" i="15"/>
  <c r="C22" i="15"/>
  <c r="Z22" i="15"/>
  <c r="C14" i="15"/>
  <c r="Z14" i="15"/>
  <c r="C37" i="15"/>
  <c r="Z37" i="15"/>
  <c r="C29" i="15"/>
  <c r="Z29" i="15"/>
  <c r="C17" i="15"/>
  <c r="Z17" i="15"/>
  <c r="C36" i="14"/>
  <c r="I36" i="14"/>
  <c r="AF36" i="14"/>
  <c r="C32" i="14"/>
  <c r="I32" i="14"/>
  <c r="AF32" i="14"/>
  <c r="C24" i="14"/>
  <c r="I24" i="14"/>
  <c r="AF24" i="14"/>
  <c r="C12" i="14"/>
  <c r="I12" i="14"/>
  <c r="AF12" i="14"/>
  <c r="C11" i="15"/>
  <c r="Z11" i="15"/>
  <c r="C40" i="15"/>
  <c r="Z40" i="15"/>
  <c r="C36" i="15"/>
  <c r="Z36" i="15"/>
  <c r="C32" i="15"/>
  <c r="Z32" i="15"/>
  <c r="C28" i="15"/>
  <c r="Z28" i="15"/>
  <c r="C24" i="15"/>
  <c r="Z24" i="15"/>
  <c r="C20" i="15"/>
  <c r="Z20" i="15"/>
  <c r="C16" i="15"/>
  <c r="Z16" i="15"/>
  <c r="C12" i="15"/>
  <c r="Z12" i="15"/>
  <c r="C35" i="14"/>
  <c r="I35" i="14"/>
  <c r="AF35" i="14"/>
  <c r="C31" i="14"/>
  <c r="I31" i="14"/>
  <c r="AF31" i="14"/>
  <c r="C27" i="14"/>
  <c r="I27" i="14"/>
  <c r="AF27" i="14"/>
  <c r="C23" i="14"/>
  <c r="I23" i="14"/>
  <c r="AF23" i="14"/>
  <c r="C19" i="14"/>
  <c r="I19" i="14"/>
  <c r="AF19" i="14"/>
  <c r="C15" i="14"/>
  <c r="I15" i="14"/>
  <c r="AF15" i="14"/>
  <c r="C38" i="15"/>
  <c r="Z38" i="15"/>
  <c r="C30" i="15"/>
  <c r="Z30" i="15"/>
  <c r="C26" i="15"/>
  <c r="Z26" i="15"/>
  <c r="C18" i="15"/>
  <c r="Z18" i="15"/>
  <c r="C11" i="14"/>
  <c r="I11" i="14"/>
  <c r="AF11" i="14"/>
  <c r="C33" i="14"/>
  <c r="I33" i="14"/>
  <c r="AF33" i="14"/>
  <c r="C29" i="14"/>
  <c r="I29" i="14"/>
  <c r="AF29" i="14"/>
  <c r="C25" i="14"/>
  <c r="I25" i="14"/>
  <c r="AF25" i="14"/>
  <c r="C21" i="14"/>
  <c r="I21" i="14"/>
  <c r="AF21" i="14"/>
  <c r="C17" i="14"/>
  <c r="I17" i="14"/>
  <c r="AF17" i="14"/>
  <c r="C13" i="14"/>
  <c r="I13" i="14"/>
  <c r="AF13" i="14"/>
  <c r="C41" i="15"/>
  <c r="Z41" i="15"/>
  <c r="C33" i="15"/>
  <c r="Z33" i="15"/>
  <c r="C25" i="15"/>
  <c r="Z25" i="15"/>
  <c r="C21" i="15"/>
  <c r="Z21" i="15"/>
  <c r="C13" i="15"/>
  <c r="Z13" i="15"/>
  <c r="C28" i="14"/>
  <c r="I28" i="14"/>
  <c r="AF28" i="14"/>
  <c r="C20" i="14"/>
  <c r="I20" i="14"/>
  <c r="AF20" i="14"/>
  <c r="C16" i="14"/>
  <c r="I16" i="14"/>
  <c r="AF16" i="14"/>
  <c r="C43" i="15"/>
  <c r="Z43" i="15"/>
  <c r="C39" i="15"/>
  <c r="Z39" i="15"/>
  <c r="C35" i="15"/>
  <c r="Z35" i="15"/>
  <c r="C31" i="15"/>
  <c r="Z31" i="15"/>
  <c r="C27" i="15"/>
  <c r="Z27" i="15"/>
  <c r="C23" i="15"/>
  <c r="Z23" i="15"/>
  <c r="C19" i="15"/>
  <c r="Z19" i="15"/>
  <c r="C34" i="14"/>
  <c r="I34" i="14"/>
  <c r="AF34" i="14"/>
  <c r="C30" i="14"/>
  <c r="I30" i="14"/>
  <c r="AF30" i="14"/>
  <c r="C26" i="14"/>
  <c r="I26" i="14"/>
  <c r="AF26" i="14"/>
  <c r="C22" i="14"/>
  <c r="I22" i="14"/>
  <c r="AF22" i="14"/>
  <c r="C18" i="14"/>
  <c r="I18" i="14"/>
  <c r="AF18" i="14"/>
  <c r="T158" i="3"/>
  <c r="B7" i="4"/>
  <c r="B8" i="4"/>
  <c r="C7" i="4"/>
  <c r="C8" i="4"/>
  <c r="D7" i="4"/>
  <c r="D8" i="4"/>
  <c r="F7" i="4"/>
  <c r="F8" i="4"/>
  <c r="G7" i="4"/>
  <c r="G8" i="4"/>
  <c r="H7" i="4"/>
  <c r="H8" i="4"/>
  <c r="L2" i="4"/>
  <c r="F159" i="3"/>
  <c r="U159" i="3"/>
  <c r="J165" i="21"/>
  <c r="T165" i="21"/>
  <c r="T5" i="3"/>
  <c r="T6" i="3"/>
  <c r="T7" i="3"/>
  <c r="T8" i="3"/>
  <c r="T9" i="3"/>
  <c r="T10" i="3"/>
  <c r="T11" i="3"/>
  <c r="T12" i="3"/>
  <c r="T13" i="3"/>
  <c r="T14" i="3"/>
  <c r="T15" i="3"/>
  <c r="T16" i="3"/>
  <c r="T17" i="3"/>
  <c r="T18" i="3"/>
  <c r="T19" i="3"/>
  <c r="T20" i="3"/>
  <c r="T21" i="3"/>
  <c r="T22" i="3"/>
  <c r="T23" i="3"/>
  <c r="T24" i="3"/>
  <c r="T25" i="3"/>
  <c r="T26" i="3"/>
  <c r="T27" i="3"/>
  <c r="T28" i="3"/>
  <c r="T29" i="3"/>
  <c r="T30" i="3"/>
  <c r="T31" i="3"/>
  <c r="T32" i="3"/>
  <c r="T33" i="3"/>
  <c r="T34" i="3"/>
  <c r="T35" i="3"/>
  <c r="T36" i="3"/>
  <c r="T37" i="3"/>
  <c r="T38" i="3"/>
  <c r="T39" i="3"/>
  <c r="T40" i="3"/>
  <c r="T41" i="3"/>
  <c r="T42" i="3"/>
  <c r="T43" i="3"/>
  <c r="T44" i="3"/>
  <c r="T45" i="3"/>
  <c r="T46" i="3"/>
  <c r="T47" i="3"/>
  <c r="T48" i="3"/>
  <c r="T49" i="3"/>
  <c r="T50" i="3"/>
  <c r="T51" i="3"/>
  <c r="T52" i="3"/>
  <c r="T53" i="3"/>
  <c r="T54" i="3"/>
  <c r="T55" i="3"/>
  <c r="T56" i="3"/>
  <c r="T57" i="3"/>
  <c r="T58" i="3"/>
  <c r="T59" i="3"/>
  <c r="T60" i="3"/>
  <c r="T61" i="3"/>
  <c r="T62" i="3"/>
  <c r="T63" i="3"/>
  <c r="T64" i="3"/>
  <c r="T65" i="3"/>
  <c r="T66" i="3"/>
  <c r="T67" i="3"/>
  <c r="T68" i="3"/>
  <c r="T69" i="3"/>
  <c r="T70" i="3"/>
  <c r="T71" i="3"/>
  <c r="T72" i="3"/>
  <c r="T73" i="3"/>
  <c r="T74" i="3"/>
  <c r="T75" i="3"/>
  <c r="T76" i="3"/>
  <c r="T77" i="3"/>
  <c r="T78" i="3"/>
  <c r="T79" i="3"/>
  <c r="T80" i="3"/>
  <c r="T81" i="3"/>
  <c r="T82" i="3"/>
  <c r="T83" i="3"/>
  <c r="T84" i="3"/>
  <c r="T85" i="3"/>
  <c r="T86" i="3"/>
  <c r="T87" i="3"/>
  <c r="T88" i="3"/>
  <c r="T89" i="3"/>
  <c r="T90" i="3"/>
  <c r="T91" i="3"/>
  <c r="T92" i="3"/>
  <c r="T93" i="3"/>
  <c r="T94" i="3"/>
  <c r="T95" i="3"/>
  <c r="T96" i="3"/>
  <c r="T97" i="3"/>
  <c r="T98" i="3"/>
  <c r="T99" i="3"/>
  <c r="T100" i="3"/>
  <c r="T101" i="3"/>
  <c r="T102" i="3"/>
  <c r="T103" i="3"/>
  <c r="T104" i="3"/>
  <c r="T105" i="3"/>
  <c r="T106" i="3"/>
  <c r="T107" i="3"/>
  <c r="T108" i="3"/>
  <c r="T109" i="3"/>
  <c r="T110" i="3"/>
  <c r="T111" i="3"/>
  <c r="T112" i="3"/>
  <c r="T113" i="3"/>
  <c r="T114" i="3"/>
  <c r="T115" i="3"/>
  <c r="T116" i="3"/>
  <c r="T117" i="3"/>
  <c r="T118" i="3"/>
  <c r="T119" i="3"/>
  <c r="T120" i="3"/>
  <c r="T121" i="3"/>
  <c r="T122" i="3"/>
  <c r="T123" i="3"/>
  <c r="T124" i="3"/>
  <c r="T125" i="3"/>
  <c r="T126" i="3"/>
  <c r="T127" i="3"/>
  <c r="T128" i="3"/>
  <c r="T129" i="3"/>
  <c r="T130" i="3"/>
  <c r="T131" i="3"/>
  <c r="T132" i="3"/>
  <c r="T133" i="3"/>
  <c r="T134" i="3"/>
  <c r="T135" i="3"/>
  <c r="T136" i="3"/>
  <c r="T137" i="3"/>
  <c r="T138" i="3"/>
  <c r="T139" i="3"/>
  <c r="T140" i="3"/>
  <c r="T141" i="3"/>
  <c r="T142" i="3"/>
  <c r="T143" i="3"/>
  <c r="T144" i="3"/>
  <c r="T145" i="3"/>
  <c r="T146" i="3"/>
  <c r="T147" i="3"/>
  <c r="T148" i="3"/>
  <c r="T149" i="3"/>
  <c r="T150" i="3"/>
  <c r="T151" i="3"/>
  <c r="T152" i="3"/>
  <c r="T153" i="3"/>
  <c r="T154" i="3"/>
  <c r="T155" i="3"/>
  <c r="T156" i="3"/>
  <c r="T157" i="3"/>
  <c r="Q159" i="3"/>
  <c r="R159" i="3"/>
  <c r="T159" i="3"/>
  <c r="Q160" i="3"/>
  <c r="R160" i="3"/>
  <c r="T160" i="3"/>
  <c r="Q161" i="3"/>
  <c r="R161" i="3"/>
  <c r="T161" i="3"/>
  <c r="Q162" i="3"/>
  <c r="R162" i="3"/>
  <c r="T162" i="3"/>
  <c r="Q163" i="3"/>
  <c r="R163" i="3"/>
  <c r="T163" i="3"/>
  <c r="Q164" i="3"/>
  <c r="R164" i="3"/>
  <c r="T164" i="3"/>
  <c r="Q165" i="3"/>
  <c r="R165" i="3"/>
  <c r="T165" i="3"/>
  <c r="Q166" i="3"/>
  <c r="R166" i="3"/>
  <c r="T166" i="3"/>
  <c r="Q167" i="3"/>
  <c r="R167" i="3"/>
  <c r="T167" i="3"/>
  <c r="Q168" i="3"/>
  <c r="R168" i="3"/>
  <c r="T168" i="3"/>
  <c r="Q169" i="3"/>
  <c r="R169" i="3"/>
  <c r="T169" i="3"/>
  <c r="Q170" i="3"/>
  <c r="R170" i="3"/>
  <c r="T170" i="3"/>
  <c r="Q171" i="3"/>
  <c r="R171" i="3"/>
  <c r="T171" i="3"/>
  <c r="Q172" i="3"/>
  <c r="R172" i="3"/>
  <c r="T172" i="3"/>
  <c r="Q173" i="3"/>
  <c r="R173" i="3"/>
  <c r="T173" i="3"/>
  <c r="Q174" i="3"/>
  <c r="R174" i="3"/>
  <c r="T174" i="3"/>
  <c r="Q175" i="3"/>
  <c r="R175" i="3"/>
  <c r="T175" i="3"/>
  <c r="Q176" i="3"/>
  <c r="R176" i="3"/>
  <c r="T176" i="3"/>
  <c r="Q177" i="3"/>
  <c r="R177" i="3"/>
  <c r="T177" i="3"/>
  <c r="Q178" i="3"/>
  <c r="R178" i="3"/>
  <c r="T178" i="3"/>
  <c r="Q179" i="3"/>
  <c r="R179" i="3"/>
  <c r="T179" i="3"/>
  <c r="Q180" i="3"/>
  <c r="R180" i="3"/>
  <c r="T180" i="3"/>
  <c r="Q181" i="3"/>
  <c r="R181" i="3"/>
  <c r="T181" i="3"/>
  <c r="Q182" i="3"/>
  <c r="R182" i="3"/>
  <c r="T182" i="3"/>
  <c r="Q183" i="3"/>
  <c r="R183" i="3"/>
  <c r="T183" i="3"/>
  <c r="Q184" i="3"/>
  <c r="R184" i="3"/>
  <c r="T184" i="3"/>
  <c r="Q185" i="3"/>
  <c r="R185" i="3"/>
  <c r="T185" i="3"/>
  <c r="Q186" i="3"/>
  <c r="R186" i="3"/>
  <c r="T186" i="3"/>
  <c r="Q187" i="3"/>
  <c r="R187" i="3"/>
  <c r="T187" i="3"/>
  <c r="Q188" i="3"/>
  <c r="R188" i="3"/>
  <c r="T188" i="3"/>
  <c r="Q189" i="3"/>
  <c r="R189" i="3"/>
  <c r="T189" i="3"/>
  <c r="Q190" i="3"/>
  <c r="R190" i="3"/>
  <c r="T190" i="3"/>
  <c r="Q191" i="3"/>
  <c r="R191" i="3"/>
  <c r="T191" i="3"/>
  <c r="Q192" i="3"/>
  <c r="R192" i="3"/>
  <c r="T192" i="3"/>
  <c r="Q193" i="3"/>
  <c r="R193" i="3"/>
  <c r="T193" i="3"/>
  <c r="Q194" i="3"/>
  <c r="R194" i="3"/>
  <c r="T194" i="3"/>
  <c r="Q195" i="3"/>
  <c r="R195" i="3"/>
  <c r="T195" i="3"/>
  <c r="Q196" i="3"/>
  <c r="R196" i="3"/>
  <c r="T196" i="3"/>
  <c r="Q197" i="3"/>
  <c r="R197" i="3"/>
  <c r="T197" i="3"/>
  <c r="Q198" i="3"/>
  <c r="R198" i="3"/>
  <c r="T198" i="3"/>
  <c r="Q199" i="3"/>
  <c r="R199" i="3"/>
  <c r="T199" i="3"/>
  <c r="Q200" i="3"/>
  <c r="R200" i="3"/>
  <c r="T200" i="3"/>
  <c r="Q201" i="3"/>
  <c r="R201" i="3"/>
  <c r="T201" i="3"/>
  <c r="Q202" i="3"/>
  <c r="R202" i="3"/>
  <c r="T202" i="3"/>
  <c r="Q203" i="3"/>
  <c r="R203" i="3"/>
  <c r="T203" i="3"/>
  <c r="Q204" i="3"/>
  <c r="R204" i="3"/>
  <c r="T204" i="3"/>
  <c r="Q205" i="3"/>
  <c r="R205" i="3"/>
  <c r="T205" i="3"/>
  <c r="Q206" i="3"/>
  <c r="R206" i="3"/>
  <c r="T206" i="3"/>
  <c r="Q207" i="3"/>
  <c r="R207" i="3"/>
  <c r="T207" i="3"/>
  <c r="Q208" i="3"/>
  <c r="R208" i="3"/>
  <c r="T208" i="3"/>
  <c r="Q209" i="3"/>
  <c r="R209" i="3"/>
  <c r="T209" i="3"/>
  <c r="Q210" i="3"/>
  <c r="R210" i="3"/>
  <c r="T210" i="3"/>
  <c r="Q211" i="3"/>
  <c r="R211" i="3"/>
  <c r="T211" i="3"/>
  <c r="Q212" i="3"/>
  <c r="R212" i="3"/>
  <c r="T212" i="3"/>
  <c r="Q213" i="3"/>
  <c r="R213" i="3"/>
  <c r="T213" i="3"/>
  <c r="Q214" i="3"/>
  <c r="R214" i="3"/>
  <c r="T214" i="3"/>
  <c r="Q215" i="3"/>
  <c r="R215" i="3"/>
  <c r="T215" i="3"/>
  <c r="Q216" i="3"/>
  <c r="R216" i="3"/>
  <c r="T216" i="3"/>
  <c r="Q217" i="3"/>
  <c r="R217" i="3"/>
  <c r="T217" i="3"/>
  <c r="Q218" i="3"/>
  <c r="R218" i="3"/>
  <c r="T218" i="3"/>
  <c r="Q219" i="3"/>
  <c r="R219" i="3"/>
  <c r="T219" i="3"/>
  <c r="Q220" i="3"/>
  <c r="R220" i="3"/>
  <c r="T220" i="3"/>
  <c r="Q221" i="3"/>
  <c r="R221" i="3"/>
  <c r="T221" i="3"/>
  <c r="Q222" i="3"/>
  <c r="R222" i="3"/>
  <c r="T222" i="3"/>
  <c r="Q223" i="3"/>
  <c r="R223" i="3"/>
  <c r="T223" i="3"/>
  <c r="Q224" i="3"/>
  <c r="R224" i="3"/>
  <c r="T224" i="3"/>
  <c r="Q225" i="3"/>
  <c r="R225" i="3"/>
  <c r="T225" i="3"/>
  <c r="Q226" i="3"/>
  <c r="R226" i="3"/>
  <c r="T226" i="3"/>
  <c r="Q227" i="3"/>
  <c r="R227" i="3"/>
  <c r="T227" i="3"/>
  <c r="Q228" i="3"/>
  <c r="R228" i="3"/>
  <c r="T228" i="3"/>
  <c r="Q229" i="3"/>
  <c r="R229" i="3"/>
  <c r="T229" i="3"/>
  <c r="Q230" i="3"/>
  <c r="R230" i="3"/>
  <c r="T230" i="3"/>
  <c r="Q231" i="3"/>
  <c r="R231" i="3"/>
  <c r="T231" i="3"/>
  <c r="Q232" i="3"/>
  <c r="R232" i="3"/>
  <c r="T232" i="3"/>
  <c r="Q233" i="3"/>
  <c r="R233" i="3"/>
  <c r="T233" i="3"/>
  <c r="Q234" i="3"/>
  <c r="R234" i="3"/>
  <c r="T234" i="3"/>
  <c r="Q235" i="3"/>
  <c r="R235" i="3"/>
  <c r="T235" i="3"/>
  <c r="Q236" i="3"/>
  <c r="R236" i="3"/>
  <c r="T236" i="3"/>
  <c r="Q237" i="3"/>
  <c r="R237" i="3"/>
  <c r="T237" i="3"/>
  <c r="Q238" i="3"/>
  <c r="R238" i="3"/>
  <c r="T238" i="3"/>
  <c r="Q239" i="3"/>
  <c r="R239" i="3"/>
  <c r="T239" i="3"/>
  <c r="Q240" i="3"/>
  <c r="R240" i="3"/>
  <c r="T240" i="3"/>
  <c r="Q241" i="3"/>
  <c r="R241" i="3"/>
  <c r="T241" i="3"/>
  <c r="Q242" i="3"/>
  <c r="R242" i="3"/>
  <c r="T242" i="3"/>
  <c r="Q243" i="3"/>
  <c r="R243" i="3"/>
  <c r="T243" i="3"/>
  <c r="Q244" i="3"/>
  <c r="R244" i="3"/>
  <c r="T244" i="3"/>
  <c r="Q245" i="3"/>
  <c r="R245" i="3"/>
  <c r="T245" i="3"/>
  <c r="Q246" i="3"/>
  <c r="R246" i="3"/>
  <c r="T246" i="3"/>
  <c r="Q247" i="3"/>
  <c r="R247" i="3"/>
  <c r="T247" i="3"/>
  <c r="Q248" i="3"/>
  <c r="R248" i="3"/>
  <c r="T248" i="3"/>
  <c r="Q249" i="3"/>
  <c r="R249" i="3"/>
  <c r="T249" i="3"/>
  <c r="F160" i="3"/>
  <c r="F161" i="3"/>
  <c r="F162" i="3"/>
  <c r="U162" i="3"/>
  <c r="F163" i="3"/>
  <c r="F164" i="3"/>
  <c r="F165" i="3"/>
  <c r="F166" i="3"/>
  <c r="U166" i="3"/>
  <c r="F167" i="3"/>
  <c r="U167" i="3"/>
  <c r="F168" i="3"/>
  <c r="F169" i="3"/>
  <c r="F170" i="3"/>
  <c r="U170" i="3"/>
  <c r="F171" i="3"/>
  <c r="F172" i="3"/>
  <c r="F173" i="3"/>
  <c r="F174" i="3"/>
  <c r="U174" i="3"/>
  <c r="F175" i="3"/>
  <c r="U175" i="3"/>
  <c r="F176" i="3"/>
  <c r="F177" i="3"/>
  <c r="F178" i="3"/>
  <c r="U178" i="3"/>
  <c r="F179" i="3"/>
  <c r="F180" i="3"/>
  <c r="F181" i="3"/>
  <c r="F182" i="3"/>
  <c r="U182" i="3"/>
  <c r="F183" i="3"/>
  <c r="U183" i="3"/>
  <c r="F184" i="3"/>
  <c r="F185" i="3"/>
  <c r="F186" i="3"/>
  <c r="U186" i="3"/>
  <c r="F187" i="3"/>
  <c r="F188" i="3"/>
  <c r="F189" i="3"/>
  <c r="F190" i="3"/>
  <c r="U190" i="3"/>
  <c r="F191" i="3"/>
  <c r="U191" i="3"/>
  <c r="F192" i="3"/>
  <c r="F193" i="3"/>
  <c r="F194" i="3"/>
  <c r="U194" i="3"/>
  <c r="F195" i="3"/>
  <c r="F196" i="3"/>
  <c r="F197" i="3"/>
  <c r="F198" i="3"/>
  <c r="U198" i="3"/>
  <c r="F199" i="3"/>
  <c r="U199" i="3"/>
  <c r="F200" i="3"/>
  <c r="F201" i="3"/>
  <c r="F202" i="3"/>
  <c r="U202" i="3"/>
  <c r="F203" i="3"/>
  <c r="F204" i="3"/>
  <c r="F205" i="3"/>
  <c r="F206" i="3"/>
  <c r="U206" i="3"/>
  <c r="F207" i="3"/>
  <c r="U207" i="3"/>
  <c r="F208" i="3"/>
  <c r="F209" i="3"/>
  <c r="F210" i="3"/>
  <c r="U210" i="3"/>
  <c r="F211" i="3"/>
  <c r="F212" i="3"/>
  <c r="F213" i="3"/>
  <c r="F214" i="3"/>
  <c r="U214" i="3"/>
  <c r="F215" i="3"/>
  <c r="U215" i="3"/>
  <c r="F216" i="3"/>
  <c r="F217" i="3"/>
  <c r="F218" i="3"/>
  <c r="U218" i="3"/>
  <c r="F219" i="3"/>
  <c r="F220" i="3"/>
  <c r="F221" i="3"/>
  <c r="F222" i="3"/>
  <c r="U222" i="3"/>
  <c r="F223" i="3"/>
  <c r="U223" i="3"/>
  <c r="F224" i="3"/>
  <c r="F225" i="3"/>
  <c r="F226" i="3"/>
  <c r="U226" i="3"/>
  <c r="F227" i="3"/>
  <c r="F228" i="3"/>
  <c r="F229" i="3"/>
  <c r="F230" i="3"/>
  <c r="U230" i="3"/>
  <c r="F231" i="3"/>
  <c r="U231" i="3"/>
  <c r="F232" i="3"/>
  <c r="F233" i="3"/>
  <c r="F234" i="3"/>
  <c r="U234" i="3"/>
  <c r="F235" i="3"/>
  <c r="F236" i="3"/>
  <c r="F237" i="3"/>
  <c r="F238" i="3"/>
  <c r="U238" i="3"/>
  <c r="F239" i="3"/>
  <c r="U239" i="3"/>
  <c r="F240" i="3"/>
  <c r="F241" i="3"/>
  <c r="F242" i="3"/>
  <c r="U242" i="3"/>
  <c r="F243" i="3"/>
  <c r="F244" i="3"/>
  <c r="F245" i="3"/>
  <c r="U245" i="3"/>
  <c r="F246" i="3"/>
  <c r="U246" i="3"/>
  <c r="F247" i="3"/>
  <c r="U247" i="3"/>
  <c r="F248" i="3"/>
  <c r="U248" i="3"/>
  <c r="F249" i="3"/>
  <c r="U249" i="3"/>
  <c r="F250" i="3"/>
  <c r="U250" i="3"/>
  <c r="F251" i="3"/>
  <c r="U251" i="3"/>
  <c r="F252" i="3"/>
  <c r="U252" i="3"/>
  <c r="F253" i="3"/>
  <c r="U253" i="3"/>
  <c r="F254" i="3"/>
  <c r="U254" i="3"/>
  <c r="F255" i="3"/>
  <c r="U255" i="3"/>
  <c r="F256" i="3"/>
  <c r="U256" i="3"/>
  <c r="F257" i="3"/>
  <c r="U257" i="3"/>
  <c r="F258" i="3"/>
  <c r="U258" i="3"/>
  <c r="F259" i="3"/>
  <c r="U259" i="3"/>
  <c r="F260" i="3"/>
  <c r="U260" i="3"/>
  <c r="F261" i="3"/>
  <c r="U261" i="3"/>
  <c r="F262" i="3"/>
  <c r="U262" i="3"/>
  <c r="F263" i="3"/>
  <c r="U263" i="3"/>
  <c r="F264" i="3"/>
  <c r="U264" i="3"/>
  <c r="F265" i="3"/>
  <c r="U265" i="3"/>
  <c r="F266" i="3"/>
  <c r="U266" i="3"/>
  <c r="F267" i="3"/>
  <c r="U267" i="3"/>
  <c r="F268" i="3"/>
  <c r="U268" i="3"/>
  <c r="F269" i="3"/>
  <c r="U269" i="3"/>
  <c r="F270" i="3"/>
  <c r="U270" i="3"/>
  <c r="F271" i="3"/>
  <c r="U271" i="3"/>
  <c r="F272" i="3"/>
  <c r="U272" i="3"/>
  <c r="F273" i="3"/>
  <c r="U273" i="3"/>
  <c r="F274" i="3"/>
  <c r="U274" i="3"/>
  <c r="F275" i="3"/>
  <c r="U275" i="3"/>
  <c r="F276" i="3"/>
  <c r="U276" i="3"/>
  <c r="F277" i="3"/>
  <c r="U277" i="3"/>
  <c r="F278" i="3"/>
  <c r="U278" i="3"/>
  <c r="F279" i="3"/>
  <c r="U279" i="3"/>
  <c r="F280" i="3"/>
  <c r="U280" i="3"/>
  <c r="F281" i="3"/>
  <c r="U281" i="3"/>
  <c r="F282" i="3"/>
  <c r="U282" i="3"/>
  <c r="F283" i="3"/>
  <c r="U283" i="3"/>
  <c r="F284" i="3"/>
  <c r="U284" i="3"/>
  <c r="F285" i="3"/>
  <c r="U285" i="3"/>
  <c r="F286" i="3"/>
  <c r="U286" i="3"/>
  <c r="F287" i="3"/>
  <c r="U287" i="3"/>
  <c r="F288" i="3"/>
  <c r="U288" i="3"/>
  <c r="F289" i="3"/>
  <c r="U289" i="3"/>
  <c r="F290" i="3"/>
  <c r="U290" i="3"/>
  <c r="F291" i="3"/>
  <c r="U291" i="3"/>
  <c r="F292" i="3"/>
  <c r="U292" i="3"/>
  <c r="F293" i="3"/>
  <c r="U293" i="3"/>
  <c r="F294" i="3"/>
  <c r="U294" i="3"/>
  <c r="F295" i="3"/>
  <c r="U295" i="3"/>
  <c r="F296" i="3"/>
  <c r="U296" i="3"/>
  <c r="F297" i="3"/>
  <c r="U297" i="3"/>
  <c r="F298" i="3"/>
  <c r="U298" i="3"/>
  <c r="F299" i="3"/>
  <c r="U299" i="3"/>
  <c r="F300" i="3"/>
  <c r="U300" i="3"/>
  <c r="F301" i="3"/>
  <c r="U301" i="3"/>
  <c r="F302" i="3"/>
  <c r="U302" i="3"/>
  <c r="F303" i="3"/>
  <c r="U303" i="3"/>
  <c r="F304" i="3"/>
  <c r="U304" i="3"/>
  <c r="F305" i="3"/>
  <c r="U305" i="3"/>
  <c r="F306" i="3"/>
  <c r="U306" i="3"/>
  <c r="F307" i="3"/>
  <c r="U307" i="3"/>
  <c r="F308" i="3"/>
  <c r="U308" i="3"/>
  <c r="F309" i="3"/>
  <c r="U309" i="3"/>
  <c r="F310" i="3"/>
  <c r="U310" i="3"/>
  <c r="F311" i="3"/>
  <c r="U311" i="3"/>
  <c r="F312" i="3"/>
  <c r="U312" i="3"/>
  <c r="F313" i="3"/>
  <c r="U313" i="3"/>
  <c r="F314" i="3"/>
  <c r="U314" i="3"/>
  <c r="F315" i="3"/>
  <c r="U315" i="3"/>
  <c r="F316" i="3"/>
  <c r="U316" i="3"/>
  <c r="F317" i="3"/>
  <c r="U317" i="3"/>
  <c r="F318" i="3"/>
  <c r="U318" i="3"/>
  <c r="F319" i="3"/>
  <c r="U319" i="3"/>
  <c r="F320" i="3"/>
  <c r="U320" i="3"/>
  <c r="F321" i="3"/>
  <c r="U321" i="3"/>
  <c r="F322" i="3"/>
  <c r="U322" i="3"/>
  <c r="F323" i="3"/>
  <c r="U323" i="3"/>
  <c r="F324" i="3"/>
  <c r="U324" i="3"/>
  <c r="F325" i="3"/>
  <c r="U325" i="3"/>
  <c r="F326" i="3"/>
  <c r="U326" i="3"/>
  <c r="F327" i="3"/>
  <c r="U327" i="3"/>
  <c r="F328" i="3"/>
  <c r="U328" i="3"/>
  <c r="F329" i="3"/>
  <c r="U329" i="3"/>
  <c r="F330" i="3"/>
  <c r="U330" i="3"/>
  <c r="F331" i="3"/>
  <c r="U331" i="3"/>
  <c r="F332" i="3"/>
  <c r="U332" i="3"/>
  <c r="F333" i="3"/>
  <c r="U333" i="3"/>
  <c r="F334" i="3"/>
  <c r="U334" i="3"/>
  <c r="F335" i="3"/>
  <c r="U335" i="3"/>
  <c r="F336" i="3"/>
  <c r="U336" i="3"/>
  <c r="F337" i="3"/>
  <c r="U337" i="3"/>
  <c r="F338" i="3"/>
  <c r="U338" i="3"/>
  <c r="F339" i="3"/>
  <c r="U339" i="3"/>
  <c r="F340" i="3"/>
  <c r="U340" i="3"/>
  <c r="F341" i="3"/>
  <c r="U341" i="3"/>
  <c r="F342" i="3"/>
  <c r="U342" i="3"/>
  <c r="F343" i="3"/>
  <c r="U343" i="3"/>
  <c r="F158" i="3"/>
  <c r="U158" i="3"/>
  <c r="E119" i="10"/>
  <c r="E120" i="10"/>
  <c r="E121" i="10"/>
  <c r="E122" i="10"/>
  <c r="E123" i="10"/>
  <c r="E124" i="10"/>
  <c r="E125" i="10"/>
  <c r="E126" i="10"/>
  <c r="E127" i="10"/>
  <c r="E128" i="10"/>
  <c r="E129" i="10"/>
  <c r="E130" i="10"/>
  <c r="E131" i="10"/>
  <c r="E132" i="10"/>
  <c r="E133" i="10"/>
  <c r="E134" i="10"/>
  <c r="E135" i="10"/>
  <c r="E136" i="10"/>
  <c r="E137" i="10"/>
  <c r="E138" i="10"/>
  <c r="E139" i="10"/>
  <c r="E140" i="10"/>
  <c r="E141" i="10"/>
  <c r="E142" i="10"/>
  <c r="E143" i="10"/>
  <c r="E144" i="10"/>
  <c r="E145" i="10"/>
  <c r="E146" i="10"/>
  <c r="E147" i="10"/>
  <c r="E148" i="10"/>
  <c r="E149" i="10"/>
  <c r="E150" i="10"/>
  <c r="E151" i="10"/>
  <c r="E152" i="10"/>
  <c r="E153" i="10"/>
  <c r="E154" i="10"/>
  <c r="E155" i="10"/>
  <c r="E156" i="10"/>
  <c r="E157" i="10"/>
  <c r="E158" i="10"/>
  <c r="E159" i="10"/>
  <c r="E160" i="10"/>
  <c r="E161" i="10"/>
  <c r="E162" i="10"/>
  <c r="E163" i="10"/>
  <c r="E164" i="10"/>
  <c r="E165" i="10"/>
  <c r="E166" i="10"/>
  <c r="E167" i="10"/>
  <c r="E168" i="10"/>
  <c r="E169" i="10"/>
  <c r="E170" i="10"/>
  <c r="E171" i="10"/>
  <c r="E172" i="10"/>
  <c r="E173" i="10"/>
  <c r="E174" i="10"/>
  <c r="E175" i="10"/>
  <c r="E176" i="10"/>
  <c r="E177" i="10"/>
  <c r="E178" i="10"/>
  <c r="E179" i="10"/>
  <c r="E180" i="10"/>
  <c r="E181" i="10"/>
  <c r="E182" i="10"/>
  <c r="E183" i="10"/>
  <c r="E184" i="10"/>
  <c r="E185" i="10"/>
  <c r="E186" i="10"/>
  <c r="E187" i="10"/>
  <c r="E188" i="10"/>
  <c r="E189" i="10"/>
  <c r="E190" i="10"/>
  <c r="E191" i="10"/>
  <c r="E192" i="10"/>
  <c r="E193" i="10"/>
  <c r="E194" i="10"/>
  <c r="E195" i="10"/>
  <c r="E196" i="10"/>
  <c r="E197" i="10"/>
  <c r="E198" i="10"/>
  <c r="E199" i="10"/>
  <c r="E200" i="10"/>
  <c r="E201" i="10"/>
  <c r="E202" i="10"/>
  <c r="D3" i="11"/>
  <c r="C3" i="11"/>
  <c r="E126" i="9"/>
  <c r="E127" i="9"/>
  <c r="E128" i="9"/>
  <c r="E129" i="9"/>
  <c r="E130" i="9"/>
  <c r="E131" i="9"/>
  <c r="E132" i="9"/>
  <c r="E133" i="9"/>
  <c r="E134" i="9"/>
  <c r="E135" i="9"/>
  <c r="E136" i="9"/>
  <c r="E137" i="9"/>
  <c r="E138" i="9"/>
  <c r="E139" i="9"/>
  <c r="E140" i="9"/>
  <c r="E141" i="9"/>
  <c r="E142" i="9"/>
  <c r="E143" i="9"/>
  <c r="E144" i="9"/>
  <c r="E145" i="9"/>
  <c r="E146" i="9"/>
  <c r="E147" i="9"/>
  <c r="E148" i="9"/>
  <c r="E149" i="9"/>
  <c r="E150" i="9"/>
  <c r="E151" i="9"/>
  <c r="E152" i="9"/>
  <c r="E153" i="9"/>
  <c r="E154" i="9"/>
  <c r="E155" i="9"/>
  <c r="E156" i="9"/>
  <c r="E157" i="9"/>
  <c r="E158" i="9"/>
  <c r="E159" i="9"/>
  <c r="E160" i="9"/>
  <c r="E161" i="9"/>
  <c r="E162" i="9"/>
  <c r="E163" i="9"/>
  <c r="E164" i="9"/>
  <c r="E165" i="9"/>
  <c r="E166" i="9"/>
  <c r="E167" i="9"/>
  <c r="E168" i="9"/>
  <c r="E169" i="9"/>
  <c r="E170" i="9"/>
  <c r="E171" i="9"/>
  <c r="E172" i="9"/>
  <c r="E173" i="9"/>
  <c r="E174" i="9"/>
  <c r="E175" i="9"/>
  <c r="E176" i="9"/>
  <c r="E177" i="9"/>
  <c r="E178" i="9"/>
  <c r="E179" i="9"/>
  <c r="E180" i="9"/>
  <c r="E181" i="9"/>
  <c r="E182" i="9"/>
  <c r="E183" i="9"/>
  <c r="E184" i="9"/>
  <c r="E185" i="9"/>
  <c r="E186" i="9"/>
  <c r="E187" i="9"/>
  <c r="E188" i="9"/>
  <c r="E189" i="9"/>
  <c r="E190" i="9"/>
  <c r="E191" i="9"/>
  <c r="E192" i="9"/>
  <c r="E193" i="9"/>
  <c r="E194" i="9"/>
  <c r="E195" i="9"/>
  <c r="E196" i="9"/>
  <c r="E197" i="9"/>
  <c r="E198" i="9"/>
  <c r="E199" i="9"/>
  <c r="E200" i="9"/>
  <c r="E201" i="9"/>
  <c r="E202" i="9"/>
  <c r="E203" i="9"/>
  <c r="E204" i="9"/>
  <c r="E205" i="9"/>
  <c r="E206" i="9"/>
  <c r="E207" i="9"/>
  <c r="E208" i="9"/>
  <c r="E209" i="9"/>
  <c r="E3" i="11"/>
  <c r="G3" i="11"/>
  <c r="I3" i="11"/>
  <c r="J3" i="11"/>
  <c r="H3" i="11"/>
  <c r="I7" i="11"/>
  <c r="J7" i="11"/>
  <c r="D5" i="11"/>
  <c r="C5" i="11"/>
  <c r="E5" i="11"/>
  <c r="G5" i="11"/>
  <c r="I5" i="11"/>
  <c r="J5" i="11"/>
  <c r="H5" i="11"/>
  <c r="C30" i="4"/>
  <c r="D30" i="4"/>
  <c r="E30" i="4"/>
  <c r="F30" i="4"/>
  <c r="G30" i="4"/>
  <c r="H30" i="4"/>
  <c r="I30" i="4"/>
  <c r="J30" i="4"/>
  <c r="K30" i="4"/>
  <c r="L30" i="4"/>
  <c r="M30" i="4"/>
  <c r="N30" i="4"/>
  <c r="O30" i="4"/>
  <c r="P30" i="4"/>
  <c r="Q30" i="4"/>
  <c r="R30" i="4"/>
  <c r="S30" i="4"/>
  <c r="T30" i="4"/>
  <c r="U30" i="4"/>
  <c r="V30" i="4"/>
  <c r="W30" i="4"/>
  <c r="X30" i="4"/>
  <c r="Y30" i="4"/>
  <c r="Z30" i="4"/>
  <c r="AA30" i="4"/>
  <c r="AB30" i="4"/>
  <c r="AC30" i="4"/>
  <c r="AD30" i="4"/>
  <c r="AE30" i="4"/>
  <c r="AF30" i="4"/>
  <c r="AG30" i="4"/>
  <c r="AH30" i="4"/>
  <c r="AI30" i="4"/>
  <c r="AJ30" i="4"/>
  <c r="AK30" i="4"/>
  <c r="AL30" i="4"/>
  <c r="AM30" i="4"/>
  <c r="AN30" i="4"/>
  <c r="AO30" i="4"/>
  <c r="AP30" i="4"/>
  <c r="AQ30" i="4"/>
  <c r="AR30" i="4"/>
  <c r="AS30" i="4"/>
  <c r="AT30" i="4"/>
  <c r="AU30" i="4"/>
  <c r="AV30" i="4"/>
  <c r="AW30" i="4"/>
  <c r="AX30" i="4"/>
  <c r="AY30" i="4"/>
  <c r="AZ30" i="4"/>
  <c r="BA30" i="4"/>
  <c r="BB30" i="4"/>
  <c r="BC30" i="4"/>
  <c r="BD30" i="4"/>
  <c r="BE30" i="4"/>
  <c r="BF30" i="4"/>
  <c r="BG30" i="4"/>
  <c r="BH30" i="4"/>
  <c r="BI30" i="4"/>
  <c r="BJ30" i="4"/>
  <c r="BK30" i="4"/>
  <c r="B32" i="4"/>
  <c r="F18" i="4"/>
  <c r="G18" i="4"/>
  <c r="H18" i="4"/>
  <c r="B18" i="4"/>
  <c r="C18" i="4"/>
  <c r="D18" i="4"/>
  <c r="L7" i="4"/>
  <c r="K5" i="3"/>
  <c r="J249" i="21"/>
  <c r="T249" i="21"/>
  <c r="J245" i="21"/>
  <c r="T245" i="21"/>
  <c r="J241" i="21"/>
  <c r="T241" i="21"/>
  <c r="J237" i="21"/>
  <c r="T237" i="21"/>
  <c r="J233" i="21"/>
  <c r="T233" i="21"/>
  <c r="J229" i="21"/>
  <c r="T229" i="21"/>
  <c r="J225" i="21"/>
  <c r="T225" i="21"/>
  <c r="J221" i="21"/>
  <c r="T221" i="21"/>
  <c r="J217" i="21"/>
  <c r="T217" i="21"/>
  <c r="J213" i="21"/>
  <c r="T213" i="21"/>
  <c r="J209" i="21"/>
  <c r="T209" i="21"/>
  <c r="J205" i="21"/>
  <c r="T205" i="21"/>
  <c r="J201" i="21"/>
  <c r="T201" i="21"/>
  <c r="J197" i="21"/>
  <c r="T197" i="21"/>
  <c r="J193" i="21"/>
  <c r="T193" i="21"/>
  <c r="J189" i="21"/>
  <c r="T189" i="21"/>
  <c r="J185" i="21"/>
  <c r="T185" i="21"/>
  <c r="J181" i="21"/>
  <c r="T181" i="21"/>
  <c r="J177" i="21"/>
  <c r="T177" i="21"/>
  <c r="J173" i="21"/>
  <c r="T173" i="21"/>
  <c r="J169" i="21"/>
  <c r="T169" i="21"/>
  <c r="J248" i="21"/>
  <c r="T248" i="21"/>
  <c r="J244" i="21"/>
  <c r="T244" i="21"/>
  <c r="J240" i="21"/>
  <c r="T240" i="21"/>
  <c r="J236" i="21"/>
  <c r="T236" i="21"/>
  <c r="J232" i="21"/>
  <c r="T232" i="21"/>
  <c r="J228" i="21"/>
  <c r="T228" i="21"/>
  <c r="J224" i="21"/>
  <c r="T224" i="21"/>
  <c r="J220" i="21"/>
  <c r="T220" i="21"/>
  <c r="J216" i="21"/>
  <c r="T216" i="21"/>
  <c r="J212" i="21"/>
  <c r="T212" i="21"/>
  <c r="J208" i="21"/>
  <c r="T208" i="21"/>
  <c r="J204" i="21"/>
  <c r="T204" i="21"/>
  <c r="J200" i="21"/>
  <c r="T200" i="21"/>
  <c r="J196" i="21"/>
  <c r="T196" i="21"/>
  <c r="J192" i="21"/>
  <c r="T192" i="21"/>
  <c r="J188" i="21"/>
  <c r="T188" i="21"/>
  <c r="J184" i="21"/>
  <c r="T184" i="21"/>
  <c r="J180" i="21"/>
  <c r="T180" i="21"/>
  <c r="J176" i="21"/>
  <c r="T176" i="21"/>
  <c r="J172" i="21"/>
  <c r="T172" i="21"/>
  <c r="J168" i="21"/>
  <c r="T168" i="21"/>
  <c r="U243" i="3"/>
  <c r="U235" i="3"/>
  <c r="U227" i="3"/>
  <c r="U219" i="3"/>
  <c r="U211" i="3"/>
  <c r="U203" i="3"/>
  <c r="U195" i="3"/>
  <c r="U187" i="3"/>
  <c r="U179" i="3"/>
  <c r="U171" i="3"/>
  <c r="U163" i="3"/>
  <c r="J247" i="21"/>
  <c r="T247" i="21"/>
  <c r="J243" i="21"/>
  <c r="T243" i="21"/>
  <c r="J239" i="21"/>
  <c r="T239" i="21"/>
  <c r="J235" i="21"/>
  <c r="T235" i="21"/>
  <c r="J231" i="21"/>
  <c r="T231" i="21"/>
  <c r="J227" i="21"/>
  <c r="T227" i="21"/>
  <c r="J223" i="21"/>
  <c r="T223" i="21"/>
  <c r="J219" i="21"/>
  <c r="T219" i="21"/>
  <c r="J215" i="21"/>
  <c r="T215" i="21"/>
  <c r="J211" i="21"/>
  <c r="T211" i="21"/>
  <c r="J207" i="21"/>
  <c r="T207" i="21"/>
  <c r="J203" i="21"/>
  <c r="T203" i="21"/>
  <c r="J199" i="21"/>
  <c r="T199" i="21"/>
  <c r="J195" i="21"/>
  <c r="T195" i="21"/>
  <c r="J191" i="21"/>
  <c r="T191" i="21"/>
  <c r="J187" i="21"/>
  <c r="T187" i="21"/>
  <c r="J183" i="21"/>
  <c r="T183" i="21"/>
  <c r="J179" i="21"/>
  <c r="T179" i="21"/>
  <c r="J175" i="21"/>
  <c r="T175" i="21"/>
  <c r="J171" i="21"/>
  <c r="T171" i="21"/>
  <c r="J167" i="21"/>
  <c r="T167" i="21"/>
  <c r="U241" i="3"/>
  <c r="U237" i="3"/>
  <c r="U233" i="3"/>
  <c r="U229" i="3"/>
  <c r="U225" i="3"/>
  <c r="U221" i="3"/>
  <c r="U217" i="3"/>
  <c r="U213" i="3"/>
  <c r="U209" i="3"/>
  <c r="U205" i="3"/>
  <c r="U201" i="3"/>
  <c r="U197" i="3"/>
  <c r="U193" i="3"/>
  <c r="U189" i="3"/>
  <c r="U185" i="3"/>
  <c r="U181" i="3"/>
  <c r="U177" i="3"/>
  <c r="U173" i="3"/>
  <c r="U169" i="3"/>
  <c r="U165" i="3"/>
  <c r="U161" i="3"/>
  <c r="J164" i="21"/>
  <c r="T164" i="21"/>
  <c r="J250" i="21"/>
  <c r="T250" i="21"/>
  <c r="J246" i="21"/>
  <c r="T246" i="21"/>
  <c r="J242" i="21"/>
  <c r="T242" i="21"/>
  <c r="J238" i="21"/>
  <c r="T238" i="21"/>
  <c r="J234" i="21"/>
  <c r="T234" i="21"/>
  <c r="J230" i="21"/>
  <c r="T230" i="21"/>
  <c r="J226" i="21"/>
  <c r="T226" i="21"/>
  <c r="J222" i="21"/>
  <c r="T222" i="21"/>
  <c r="J218" i="21"/>
  <c r="T218" i="21"/>
  <c r="J214" i="21"/>
  <c r="T214" i="21"/>
  <c r="J210" i="21"/>
  <c r="T210" i="21"/>
  <c r="J206" i="21"/>
  <c r="T206" i="21"/>
  <c r="J202" i="21"/>
  <c r="T202" i="21"/>
  <c r="J198" i="21"/>
  <c r="T198" i="21"/>
  <c r="J194" i="21"/>
  <c r="T194" i="21"/>
  <c r="J190" i="21"/>
  <c r="T190" i="21"/>
  <c r="J186" i="21"/>
  <c r="T186" i="21"/>
  <c r="J182" i="21"/>
  <c r="T182" i="21"/>
  <c r="J178" i="21"/>
  <c r="T178" i="21"/>
  <c r="J174" i="21"/>
  <c r="T174" i="21"/>
  <c r="J170" i="21"/>
  <c r="T170" i="21"/>
  <c r="J166" i="21"/>
  <c r="T166" i="21"/>
  <c r="U244" i="3"/>
  <c r="U240" i="3"/>
  <c r="U236" i="3"/>
  <c r="U232" i="3"/>
  <c r="U228" i="3"/>
  <c r="U224" i="3"/>
  <c r="U220" i="3"/>
  <c r="U216" i="3"/>
  <c r="U212" i="3"/>
  <c r="U208" i="3"/>
  <c r="U204" i="3"/>
  <c r="U200" i="3"/>
  <c r="U196" i="3"/>
  <c r="U192" i="3"/>
  <c r="U188" i="3"/>
  <c r="U184" i="3"/>
  <c r="U180" i="3"/>
  <c r="U176" i="3"/>
  <c r="U172" i="3"/>
  <c r="U168" i="3"/>
  <c r="U164" i="3"/>
  <c r="U160" i="3"/>
  <c r="E22" i="13"/>
  <c r="I22" i="13"/>
  <c r="N22" i="13"/>
  <c r="AP226" i="2"/>
  <c r="E23" i="13"/>
  <c r="I23" i="13"/>
  <c r="N23" i="13"/>
  <c r="AQ226" i="2"/>
  <c r="AP227" i="2"/>
  <c r="AQ227" i="2"/>
  <c r="AP228" i="2"/>
  <c r="AQ228" i="2"/>
  <c r="AP229" i="2"/>
  <c r="AQ229" i="2"/>
  <c r="AP230" i="2"/>
  <c r="AQ230" i="2"/>
  <c r="AP231" i="2"/>
  <c r="AQ231" i="2"/>
  <c r="AP232" i="2"/>
  <c r="AQ232" i="2"/>
  <c r="AP233" i="2"/>
  <c r="AQ233" i="2"/>
  <c r="AP234" i="2"/>
  <c r="AQ234" i="2"/>
  <c r="AP235" i="2"/>
  <c r="AQ235" i="2"/>
  <c r="AP236" i="2"/>
  <c r="AQ236" i="2"/>
  <c r="AP238" i="2"/>
  <c r="AQ238" i="2"/>
  <c r="AP239" i="2"/>
  <c r="AQ239" i="2"/>
  <c r="AP240" i="2"/>
  <c r="AQ240" i="2"/>
  <c r="AP241" i="2"/>
  <c r="AQ241" i="2"/>
  <c r="AP242" i="2"/>
  <c r="AQ242" i="2"/>
  <c r="AP243" i="2"/>
  <c r="AQ243" i="2"/>
  <c r="AP244" i="2"/>
  <c r="AQ244" i="2"/>
  <c r="AP245" i="2"/>
  <c r="AQ245" i="2"/>
  <c r="AP246" i="2"/>
  <c r="AQ246" i="2"/>
  <c r="AP247" i="2"/>
  <c r="AQ247" i="2"/>
  <c r="AP248" i="2"/>
  <c r="AQ248" i="2"/>
  <c r="AP250" i="2"/>
  <c r="AQ250" i="2"/>
  <c r="AP251" i="2"/>
  <c r="AQ251" i="2"/>
  <c r="AP252" i="2"/>
  <c r="AQ252" i="2"/>
  <c r="AP253" i="2"/>
  <c r="AQ253" i="2"/>
  <c r="AP254" i="2"/>
  <c r="AQ254" i="2"/>
  <c r="AP255" i="2"/>
  <c r="AQ255" i="2"/>
  <c r="AP256" i="2"/>
  <c r="AQ256" i="2"/>
  <c r="AP257" i="2"/>
  <c r="AQ257" i="2"/>
  <c r="AP258" i="2"/>
  <c r="AQ258" i="2"/>
  <c r="AP259" i="2"/>
  <c r="AQ259" i="2"/>
  <c r="AP260" i="2"/>
  <c r="AQ260" i="2"/>
  <c r="AP262" i="2"/>
  <c r="AQ262" i="2"/>
  <c r="AP263" i="2"/>
  <c r="AQ263" i="2"/>
  <c r="AP264" i="2"/>
  <c r="AQ264" i="2"/>
  <c r="AP265" i="2"/>
  <c r="AQ265" i="2"/>
  <c r="AP266" i="2"/>
  <c r="AQ266" i="2"/>
  <c r="AP267" i="2"/>
  <c r="AQ267" i="2"/>
  <c r="AP268" i="2"/>
  <c r="AQ268" i="2"/>
  <c r="AP269" i="2"/>
  <c r="AQ269" i="2"/>
  <c r="AP270" i="2"/>
  <c r="AQ270" i="2"/>
  <c r="AP271" i="2"/>
  <c r="AQ271" i="2"/>
  <c r="AP272" i="2"/>
  <c r="AQ272" i="2"/>
  <c r="AP274" i="2"/>
  <c r="AQ274" i="2"/>
  <c r="AP275" i="2"/>
  <c r="AQ275" i="2"/>
  <c r="AP276" i="2"/>
  <c r="AQ276" i="2"/>
  <c r="AP277" i="2"/>
  <c r="AQ277" i="2"/>
  <c r="AP278" i="2"/>
  <c r="AQ278" i="2"/>
  <c r="AP279" i="2"/>
  <c r="AQ279" i="2"/>
  <c r="AP280" i="2"/>
  <c r="AQ280" i="2"/>
  <c r="AP281" i="2"/>
  <c r="AQ281" i="2"/>
  <c r="AP282" i="2"/>
  <c r="AQ282" i="2"/>
  <c r="AP283" i="2"/>
  <c r="AQ283" i="2"/>
  <c r="AP284" i="2"/>
  <c r="AQ284" i="2"/>
  <c r="AV20" i="2"/>
  <c r="AW20" i="2"/>
  <c r="AX20" i="2"/>
  <c r="AU20" i="2"/>
  <c r="AA12" i="23"/>
  <c r="E12" i="23"/>
  <c r="AB12" i="23"/>
  <c r="AA13" i="23"/>
  <c r="E13" i="23"/>
  <c r="AB13" i="23"/>
  <c r="AA14" i="23"/>
  <c r="E14" i="23"/>
  <c r="AB14" i="23"/>
  <c r="AA15" i="23"/>
  <c r="E15" i="23"/>
  <c r="AB15" i="23"/>
  <c r="AA16" i="23"/>
  <c r="E16" i="23"/>
  <c r="AB16" i="23"/>
  <c r="AA17" i="23"/>
  <c r="E17" i="23"/>
  <c r="AB17" i="23"/>
  <c r="AA18" i="23"/>
  <c r="E18" i="23"/>
  <c r="AB18" i="23"/>
  <c r="AA19" i="23"/>
  <c r="E19" i="23"/>
  <c r="AB19" i="23"/>
  <c r="AA20" i="23"/>
  <c r="E20" i="23"/>
  <c r="AB20" i="23"/>
  <c r="AA21" i="23"/>
  <c r="E21" i="23"/>
  <c r="AB21" i="23"/>
  <c r="AA22" i="23"/>
  <c r="E22" i="23"/>
  <c r="AB22" i="23"/>
  <c r="AA23" i="23"/>
  <c r="E23" i="23"/>
  <c r="AB23" i="23"/>
  <c r="AA24" i="23"/>
  <c r="E24" i="23"/>
  <c r="AB24" i="23"/>
  <c r="AA25" i="23"/>
  <c r="E25" i="23"/>
  <c r="AB25" i="23"/>
  <c r="AA26" i="23"/>
  <c r="E26" i="23"/>
  <c r="AB26" i="23"/>
  <c r="AA27" i="23"/>
  <c r="E27" i="23"/>
  <c r="AB27" i="23"/>
  <c r="AA28" i="23"/>
  <c r="E28" i="23"/>
  <c r="AB28" i="23"/>
  <c r="AA29" i="23"/>
  <c r="E29" i="23"/>
  <c r="AB29" i="23"/>
  <c r="AA30" i="23"/>
  <c r="E30" i="23"/>
  <c r="AB30" i="23"/>
  <c r="AA31" i="23"/>
  <c r="E31" i="23"/>
  <c r="AB31" i="23"/>
  <c r="AA32" i="23"/>
  <c r="E32" i="23"/>
  <c r="AB32" i="23"/>
  <c r="AA33" i="23"/>
  <c r="E33" i="23"/>
  <c r="AB33" i="23"/>
  <c r="AA34" i="23"/>
  <c r="E34" i="23"/>
  <c r="AB34" i="23"/>
  <c r="AA35" i="23"/>
  <c r="E35" i="23"/>
  <c r="AB35" i="23"/>
  <c r="AA36" i="23"/>
  <c r="E36" i="23"/>
  <c r="AB36" i="23"/>
  <c r="AA37" i="23"/>
  <c r="E37" i="23"/>
  <c r="AB37" i="23"/>
  <c r="AA38" i="23"/>
  <c r="E38" i="23"/>
  <c r="AB38" i="23"/>
  <c r="AA39" i="23"/>
  <c r="E39" i="23"/>
  <c r="AB39" i="23"/>
  <c r="AA40" i="23"/>
  <c r="E40" i="23"/>
  <c r="AB40" i="23"/>
  <c r="AA41" i="23"/>
  <c r="E41" i="23"/>
  <c r="AB41" i="23"/>
  <c r="AA42" i="23"/>
  <c r="E42" i="23"/>
  <c r="AB42" i="23"/>
  <c r="AA43" i="23"/>
  <c r="E43" i="23"/>
  <c r="AB43" i="23"/>
  <c r="AA44" i="23"/>
  <c r="E44" i="23"/>
  <c r="AB44" i="23"/>
  <c r="AA45" i="23"/>
  <c r="E45" i="23"/>
  <c r="AB45" i="23"/>
  <c r="AA46" i="23"/>
  <c r="E46" i="23"/>
  <c r="AB46" i="23"/>
  <c r="AA47" i="23"/>
  <c r="E47" i="23"/>
  <c r="AB47" i="23"/>
  <c r="AA48" i="23"/>
  <c r="E48" i="23"/>
  <c r="AB48" i="23"/>
  <c r="AA49" i="23"/>
  <c r="E49" i="23"/>
  <c r="AB49" i="23"/>
  <c r="AA50" i="23"/>
  <c r="E50" i="23"/>
  <c r="AB50" i="23"/>
  <c r="AA51" i="23"/>
  <c r="E51" i="23"/>
  <c r="AB51" i="23"/>
  <c r="AA52" i="23"/>
  <c r="E52" i="23"/>
  <c r="AB52" i="23"/>
  <c r="AA53" i="23"/>
  <c r="E53" i="23"/>
  <c r="AB53" i="23"/>
  <c r="AA54" i="23"/>
  <c r="E54" i="23"/>
  <c r="AB54" i="23"/>
  <c r="AA55" i="23"/>
  <c r="E55" i="23"/>
  <c r="AB55" i="23"/>
  <c r="AA56" i="23"/>
  <c r="E56" i="23"/>
  <c r="AB56" i="23"/>
  <c r="AA57" i="23"/>
  <c r="E57" i="23"/>
  <c r="AB57" i="23"/>
  <c r="AA58" i="23"/>
  <c r="E58" i="23"/>
  <c r="AB58" i="23"/>
  <c r="AA59" i="23"/>
  <c r="E59" i="23"/>
  <c r="AB59" i="23"/>
  <c r="AA60" i="23"/>
  <c r="E60" i="23"/>
  <c r="AB60" i="23"/>
  <c r="AA61" i="23"/>
  <c r="E61" i="23"/>
  <c r="AB61" i="23"/>
  <c r="AA62" i="23"/>
  <c r="E62" i="23"/>
  <c r="AB62" i="23"/>
  <c r="AA63" i="23"/>
  <c r="E63" i="23"/>
  <c r="AB63" i="23"/>
  <c r="AA64" i="23"/>
  <c r="E64" i="23"/>
  <c r="AB64" i="23"/>
  <c r="AA65" i="23"/>
  <c r="E65" i="23"/>
  <c r="AB65" i="23"/>
  <c r="AA66" i="23"/>
  <c r="E66" i="23"/>
  <c r="AB66" i="23"/>
  <c r="AA67" i="23"/>
  <c r="E67" i="23"/>
  <c r="AB67" i="23"/>
  <c r="AA68" i="23"/>
  <c r="E68" i="23"/>
  <c r="AB68" i="23"/>
  <c r="AA69" i="23"/>
  <c r="E69" i="23"/>
  <c r="AB69" i="23"/>
  <c r="AA70" i="23"/>
  <c r="E70" i="23"/>
  <c r="AB70" i="23"/>
  <c r="AA71" i="23"/>
  <c r="E71" i="23"/>
  <c r="AB71" i="23"/>
  <c r="AA72" i="23"/>
  <c r="E72" i="23"/>
  <c r="AB72" i="23"/>
  <c r="AA73" i="23"/>
  <c r="E73" i="23"/>
  <c r="AB73" i="23"/>
  <c r="AA74" i="23"/>
  <c r="E74" i="23"/>
  <c r="AB74" i="23"/>
  <c r="AA75" i="23"/>
  <c r="E75" i="23"/>
  <c r="AB75" i="23"/>
  <c r="AA76" i="23"/>
  <c r="E76" i="23"/>
  <c r="AB76" i="23"/>
  <c r="AA77" i="23"/>
  <c r="E77" i="23"/>
  <c r="AB77" i="23"/>
  <c r="AA78" i="23"/>
  <c r="E78" i="23"/>
  <c r="AB78" i="23"/>
  <c r="AA79" i="23"/>
  <c r="E79" i="23"/>
  <c r="AB79" i="23"/>
  <c r="AA80" i="23"/>
  <c r="E80" i="23"/>
  <c r="AB80" i="23"/>
  <c r="AA81" i="23"/>
  <c r="E81" i="23"/>
  <c r="AB81" i="23"/>
  <c r="AA82" i="23"/>
  <c r="E82" i="23"/>
  <c r="AB82" i="23"/>
  <c r="AA83" i="23"/>
  <c r="E83" i="23"/>
  <c r="AB83" i="23"/>
  <c r="AA84" i="23"/>
  <c r="E84" i="23"/>
  <c r="AB84" i="23"/>
  <c r="AA85" i="23"/>
  <c r="E85" i="23"/>
  <c r="AB85" i="23"/>
  <c r="AA86" i="23"/>
  <c r="E86" i="23"/>
  <c r="AB86" i="23"/>
  <c r="AA87" i="23"/>
  <c r="E87" i="23"/>
  <c r="AB87" i="23"/>
  <c r="AA88" i="23"/>
  <c r="E88" i="23"/>
  <c r="AB88" i="23"/>
  <c r="AA89" i="23"/>
  <c r="E89" i="23"/>
  <c r="AB89" i="23"/>
  <c r="AA90" i="23"/>
  <c r="E90" i="23"/>
  <c r="AB90" i="23"/>
  <c r="AA91" i="23"/>
  <c r="E91" i="23"/>
  <c r="AB91" i="23"/>
  <c r="AA92" i="23"/>
  <c r="E92" i="23"/>
  <c r="AB92" i="23"/>
  <c r="AA93" i="23"/>
  <c r="E93" i="23"/>
  <c r="AB93" i="23"/>
  <c r="AA94" i="23"/>
  <c r="E94" i="23"/>
  <c r="AB94" i="23"/>
  <c r="AA95" i="23"/>
  <c r="E95" i="23"/>
  <c r="AB95" i="23"/>
  <c r="AA96" i="23"/>
  <c r="E96" i="23"/>
  <c r="AB96" i="23"/>
  <c r="AA97" i="23"/>
  <c r="E97" i="23"/>
  <c r="AB97" i="23"/>
  <c r="AA98" i="23"/>
  <c r="E98" i="23"/>
  <c r="AB98" i="23"/>
  <c r="AA99" i="23"/>
  <c r="E99" i="23"/>
  <c r="AB99" i="23"/>
  <c r="AA100" i="23"/>
  <c r="E100" i="23"/>
  <c r="AB100" i="23"/>
  <c r="AA101" i="23"/>
  <c r="E101" i="23"/>
  <c r="AB101" i="23"/>
  <c r="AA102" i="23"/>
  <c r="E102" i="23"/>
  <c r="AB102" i="23"/>
  <c r="AA103" i="23"/>
  <c r="E103" i="23"/>
  <c r="AB103" i="23"/>
  <c r="AA104" i="23"/>
  <c r="E104" i="23"/>
  <c r="AB104" i="23"/>
  <c r="AA105" i="23"/>
  <c r="E105" i="23"/>
  <c r="AB105" i="23"/>
  <c r="AA106" i="23"/>
  <c r="E106" i="23"/>
  <c r="AB106" i="23"/>
  <c r="AA107" i="23"/>
  <c r="E107" i="23"/>
  <c r="AB107" i="23"/>
  <c r="AA108" i="23"/>
  <c r="E108" i="23"/>
  <c r="AB108" i="23"/>
  <c r="AA109" i="23"/>
  <c r="E109" i="23"/>
  <c r="AB109" i="23"/>
  <c r="AA110" i="23"/>
  <c r="E110" i="23"/>
  <c r="AB110" i="23"/>
  <c r="AA111" i="23"/>
  <c r="E111" i="23"/>
  <c r="AB111" i="23"/>
  <c r="AA112" i="23"/>
  <c r="E112" i="23"/>
  <c r="AB112" i="23"/>
  <c r="AA113" i="23"/>
  <c r="E113" i="23"/>
  <c r="AB113" i="23"/>
  <c r="AA114" i="23"/>
  <c r="E114" i="23"/>
  <c r="AB114" i="23"/>
  <c r="AA115" i="23"/>
  <c r="E115" i="23"/>
  <c r="AB115" i="23"/>
  <c r="AA116" i="23"/>
  <c r="E116" i="23"/>
  <c r="AB116" i="23"/>
  <c r="AA117" i="23"/>
  <c r="E117" i="23"/>
  <c r="AB117" i="23"/>
  <c r="AA118" i="23"/>
  <c r="E118" i="23"/>
  <c r="AB118" i="23"/>
  <c r="AA119" i="23"/>
  <c r="E119" i="23"/>
  <c r="AB119" i="23"/>
  <c r="AA120" i="23"/>
  <c r="E120" i="23"/>
  <c r="AB120" i="23"/>
  <c r="AA121" i="23"/>
  <c r="E121" i="23"/>
  <c r="AB121" i="23"/>
  <c r="AA122" i="23"/>
  <c r="E122" i="23"/>
  <c r="AB122" i="23"/>
  <c r="AA123" i="23"/>
  <c r="E123" i="23"/>
  <c r="AB123" i="23"/>
  <c r="AA124" i="23"/>
  <c r="E124" i="23"/>
  <c r="AB124" i="23"/>
  <c r="AA125" i="23"/>
  <c r="E125" i="23"/>
  <c r="AB125" i="23"/>
  <c r="AA126" i="23"/>
  <c r="E126" i="23"/>
  <c r="AB126" i="23"/>
  <c r="AA127" i="23"/>
  <c r="E127" i="23"/>
  <c r="AB127" i="23"/>
  <c r="AA128" i="23"/>
  <c r="E128" i="23"/>
  <c r="AB128" i="23"/>
  <c r="AA129" i="23"/>
  <c r="E129" i="23"/>
  <c r="AB129" i="23"/>
  <c r="AA130" i="23"/>
  <c r="E130" i="23"/>
  <c r="AB130" i="23"/>
  <c r="AA131" i="23"/>
  <c r="E131" i="23"/>
  <c r="AB131" i="23"/>
  <c r="AA132" i="23"/>
  <c r="E132" i="23"/>
  <c r="AB132" i="23"/>
  <c r="AA133" i="23"/>
  <c r="E133" i="23"/>
  <c r="AB133" i="23"/>
  <c r="AA134" i="23"/>
  <c r="E134" i="23"/>
  <c r="AB134" i="23"/>
  <c r="AA135" i="23"/>
  <c r="E135" i="23"/>
  <c r="AB135" i="23"/>
  <c r="AA136" i="23"/>
  <c r="E136" i="23"/>
  <c r="AB136" i="23"/>
  <c r="AA137" i="23"/>
  <c r="E137" i="23"/>
  <c r="AB137" i="23"/>
  <c r="AA138" i="23"/>
  <c r="E138" i="23"/>
  <c r="AB138" i="23"/>
  <c r="AA139" i="23"/>
  <c r="E139" i="23"/>
  <c r="AB139" i="23"/>
  <c r="AA140" i="23"/>
  <c r="E140" i="23"/>
  <c r="AB140" i="23"/>
  <c r="AA141" i="23"/>
  <c r="E141" i="23"/>
  <c r="AB141" i="23"/>
  <c r="AA142" i="23"/>
  <c r="E142" i="23"/>
  <c r="AB142" i="23"/>
  <c r="AA143" i="23"/>
  <c r="E143" i="23"/>
  <c r="AB143" i="23"/>
  <c r="AA144" i="23"/>
  <c r="E144" i="23"/>
  <c r="AB144" i="23"/>
  <c r="AA145" i="23"/>
  <c r="E145" i="23"/>
  <c r="AB145" i="23"/>
  <c r="AA146" i="23"/>
  <c r="E146" i="23"/>
  <c r="AB146" i="23"/>
  <c r="AA147" i="23"/>
  <c r="E147" i="23"/>
  <c r="AB147" i="23"/>
  <c r="AA148" i="23"/>
  <c r="E148" i="23"/>
  <c r="AB148" i="23"/>
  <c r="AA149" i="23"/>
  <c r="E149" i="23"/>
  <c r="AB149" i="23"/>
  <c r="AA150" i="23"/>
  <c r="E150" i="23"/>
  <c r="AB150" i="23"/>
  <c r="AA151" i="23"/>
  <c r="E151" i="23"/>
  <c r="AB151" i="23"/>
  <c r="AA152" i="23"/>
  <c r="E152" i="23"/>
  <c r="AB152" i="23"/>
  <c r="AA153" i="23"/>
  <c r="E153" i="23"/>
  <c r="AB153" i="23"/>
  <c r="AA154" i="23"/>
  <c r="E154" i="23"/>
  <c r="AB154" i="23"/>
  <c r="AA155" i="23"/>
  <c r="E155" i="23"/>
  <c r="AB155" i="23"/>
  <c r="AA156" i="23"/>
  <c r="E156" i="23"/>
  <c r="AB156" i="23"/>
  <c r="AA157" i="23"/>
  <c r="E157" i="23"/>
  <c r="AB157" i="23"/>
  <c r="AA158" i="23"/>
  <c r="E158" i="23"/>
  <c r="AB158" i="23"/>
  <c r="AA159" i="23"/>
  <c r="E159" i="23"/>
  <c r="AB159" i="23"/>
  <c r="AA160" i="23"/>
  <c r="E160" i="23"/>
  <c r="AB160" i="23"/>
  <c r="AA161" i="23"/>
  <c r="E161" i="23"/>
  <c r="AB161" i="23"/>
  <c r="AA162" i="23"/>
  <c r="E162" i="23"/>
  <c r="AB162" i="23"/>
  <c r="AA163" i="23"/>
  <c r="E163" i="23"/>
  <c r="AB163" i="23"/>
  <c r="AA164" i="23"/>
  <c r="E164" i="23"/>
  <c r="AB164" i="23"/>
  <c r="AA11" i="23"/>
  <c r="E11" i="23"/>
  <c r="AB11" i="23"/>
  <c r="R12" i="23"/>
  <c r="R13" i="23"/>
  <c r="R14" i="23"/>
  <c r="R15" i="23"/>
  <c r="R16" i="23"/>
  <c r="R17" i="23"/>
  <c r="R18" i="23"/>
  <c r="R19" i="23"/>
  <c r="R20" i="23"/>
  <c r="R21" i="23"/>
  <c r="R22" i="23"/>
  <c r="R23" i="23"/>
  <c r="R24" i="23"/>
  <c r="R25" i="23"/>
  <c r="R26" i="23"/>
  <c r="R27" i="23"/>
  <c r="R28" i="23"/>
  <c r="R29" i="23"/>
  <c r="R30" i="23"/>
  <c r="R31" i="23"/>
  <c r="R32" i="23"/>
  <c r="R33" i="23"/>
  <c r="R34" i="23"/>
  <c r="R35" i="23"/>
  <c r="R36" i="23"/>
  <c r="R37" i="23"/>
  <c r="R38" i="23"/>
  <c r="R39" i="23"/>
  <c r="R40" i="23"/>
  <c r="R41" i="23"/>
  <c r="R42" i="23"/>
  <c r="R43" i="23"/>
  <c r="R44" i="23"/>
  <c r="R45" i="23"/>
  <c r="R46" i="23"/>
  <c r="R47" i="23"/>
  <c r="R48" i="23"/>
  <c r="R49" i="23"/>
  <c r="R50" i="23"/>
  <c r="R51" i="23"/>
  <c r="R52" i="23"/>
  <c r="R53" i="23"/>
  <c r="R54" i="23"/>
  <c r="R55" i="23"/>
  <c r="R56" i="23"/>
  <c r="R57" i="23"/>
  <c r="R58" i="23"/>
  <c r="R59" i="23"/>
  <c r="R60" i="23"/>
  <c r="R61" i="23"/>
  <c r="R62" i="23"/>
  <c r="R63" i="23"/>
  <c r="R64" i="23"/>
  <c r="R65" i="23"/>
  <c r="R66" i="23"/>
  <c r="R67" i="23"/>
  <c r="R68" i="23"/>
  <c r="R69" i="23"/>
  <c r="R70" i="23"/>
  <c r="R71" i="23"/>
  <c r="R72" i="23"/>
  <c r="R73" i="23"/>
  <c r="R74" i="23"/>
  <c r="R75" i="23"/>
  <c r="R76" i="23"/>
  <c r="R77" i="23"/>
  <c r="R78" i="23"/>
  <c r="R79" i="23"/>
  <c r="R80" i="23"/>
  <c r="R81" i="23"/>
  <c r="R82" i="23"/>
  <c r="R83" i="23"/>
  <c r="R84" i="23"/>
  <c r="R85" i="23"/>
  <c r="R86" i="23"/>
  <c r="R87" i="23"/>
  <c r="R88" i="23"/>
  <c r="R89" i="23"/>
  <c r="R90" i="23"/>
  <c r="R91" i="23"/>
  <c r="R92" i="23"/>
  <c r="R93" i="23"/>
  <c r="R94" i="23"/>
  <c r="R95" i="23"/>
  <c r="R96" i="23"/>
  <c r="R97" i="23"/>
  <c r="R98" i="23"/>
  <c r="R99" i="23"/>
  <c r="R100" i="23"/>
  <c r="R101" i="23"/>
  <c r="R102" i="23"/>
  <c r="R103" i="23"/>
  <c r="R104" i="23"/>
  <c r="R105" i="23"/>
  <c r="R106" i="23"/>
  <c r="R107" i="23"/>
  <c r="R108" i="23"/>
  <c r="R109" i="23"/>
  <c r="R110" i="23"/>
  <c r="R111" i="23"/>
  <c r="R112" i="23"/>
  <c r="R113" i="23"/>
  <c r="R114" i="23"/>
  <c r="R115" i="23"/>
  <c r="R116" i="23"/>
  <c r="R117" i="23"/>
  <c r="R118" i="23"/>
  <c r="R119" i="23"/>
  <c r="R120" i="23"/>
  <c r="R121" i="23"/>
  <c r="R122" i="23"/>
  <c r="R123" i="23"/>
  <c r="R124" i="23"/>
  <c r="R125" i="23"/>
  <c r="R126" i="23"/>
  <c r="R127" i="23"/>
  <c r="R128" i="23"/>
  <c r="R129" i="23"/>
  <c r="R130" i="23"/>
  <c r="R131" i="23"/>
  <c r="R132" i="23"/>
  <c r="R133" i="23"/>
  <c r="R134" i="23"/>
  <c r="R135" i="23"/>
  <c r="R136" i="23"/>
  <c r="R137" i="23"/>
  <c r="R138" i="23"/>
  <c r="R139" i="23"/>
  <c r="R140" i="23"/>
  <c r="R141" i="23"/>
  <c r="R142" i="23"/>
  <c r="R143" i="23"/>
  <c r="R144" i="23"/>
  <c r="R145" i="23"/>
  <c r="R146" i="23"/>
  <c r="R147" i="23"/>
  <c r="R148" i="23"/>
  <c r="R149" i="23"/>
  <c r="R150" i="23"/>
  <c r="R151" i="23"/>
  <c r="R152" i="23"/>
  <c r="R153" i="23"/>
  <c r="R154" i="23"/>
  <c r="R155" i="23"/>
  <c r="R156" i="23"/>
  <c r="R157" i="23"/>
  <c r="R158" i="23"/>
  <c r="R159" i="23"/>
  <c r="R160" i="23"/>
  <c r="R161" i="23"/>
  <c r="R162" i="23"/>
  <c r="R163" i="23"/>
  <c r="R164" i="23"/>
  <c r="R165" i="23"/>
  <c r="R166" i="23"/>
  <c r="R167" i="23"/>
  <c r="R168" i="23"/>
  <c r="R169" i="23"/>
  <c r="R170" i="23"/>
  <c r="R171" i="23"/>
  <c r="R172" i="23"/>
  <c r="R173" i="23"/>
  <c r="R174" i="23"/>
  <c r="R175" i="23"/>
  <c r="R176" i="23"/>
  <c r="R177" i="23"/>
  <c r="R178" i="23"/>
  <c r="R179" i="23"/>
  <c r="R180" i="23"/>
  <c r="R181" i="23"/>
  <c r="R182" i="23"/>
  <c r="R183" i="23"/>
  <c r="R184" i="23"/>
  <c r="R185" i="23"/>
  <c r="R186" i="23"/>
  <c r="R187" i="23"/>
  <c r="R188" i="23"/>
  <c r="R189" i="23"/>
  <c r="R190" i="23"/>
  <c r="R191" i="23"/>
  <c r="R192" i="23"/>
  <c r="R193" i="23"/>
  <c r="R194" i="23"/>
  <c r="R195" i="23"/>
  <c r="R196" i="23"/>
  <c r="R197" i="23"/>
  <c r="R198" i="23"/>
  <c r="R199" i="23"/>
  <c r="R200" i="23"/>
  <c r="R201" i="23"/>
  <c r="R202" i="23"/>
  <c r="R203" i="23"/>
  <c r="R204" i="23"/>
  <c r="R205" i="23"/>
  <c r="R206" i="23"/>
  <c r="R207" i="23"/>
  <c r="R208" i="23"/>
  <c r="R209" i="23"/>
  <c r="R210" i="23"/>
  <c r="R211" i="23"/>
  <c r="R212" i="23"/>
  <c r="R213" i="23"/>
  <c r="R214" i="23"/>
  <c r="R215" i="23"/>
  <c r="R216" i="23"/>
  <c r="R217" i="23"/>
  <c r="R218" i="23"/>
  <c r="R219" i="23"/>
  <c r="R220" i="23"/>
  <c r="R221" i="23"/>
  <c r="R222" i="23"/>
  <c r="R223" i="23"/>
  <c r="R224" i="23"/>
  <c r="R225" i="23"/>
  <c r="R226" i="23"/>
  <c r="R227" i="23"/>
  <c r="R228" i="23"/>
  <c r="R229" i="23"/>
  <c r="R230" i="23"/>
  <c r="R231" i="23"/>
  <c r="R232" i="23"/>
  <c r="R233" i="23"/>
  <c r="R234" i="23"/>
  <c r="R235" i="23"/>
  <c r="R236" i="23"/>
  <c r="R237" i="23"/>
  <c r="R238" i="23"/>
  <c r="R239" i="23"/>
  <c r="R240" i="23"/>
  <c r="R241" i="23"/>
  <c r="R242" i="23"/>
  <c r="R243" i="23"/>
  <c r="R244" i="23"/>
  <c r="R245" i="23"/>
  <c r="R246" i="23"/>
  <c r="R247" i="23"/>
  <c r="R248" i="23"/>
  <c r="R249" i="23"/>
  <c r="R250" i="23"/>
  <c r="R251" i="23"/>
  <c r="R252" i="23"/>
  <c r="R253" i="23"/>
  <c r="R254" i="23"/>
  <c r="R255" i="23"/>
  <c r="R11" i="23"/>
  <c r="O13" i="23"/>
  <c r="S13" i="23"/>
  <c r="T13" i="23"/>
  <c r="O15" i="23"/>
  <c r="S15" i="23"/>
  <c r="O21" i="23"/>
  <c r="T21" i="23"/>
  <c r="O60" i="23"/>
  <c r="U60" i="23"/>
  <c r="O63" i="23"/>
  <c r="T63" i="23"/>
  <c r="U63" i="23"/>
  <c r="O74" i="23"/>
  <c r="S74" i="23"/>
  <c r="O77" i="23"/>
  <c r="T77" i="23"/>
  <c r="O79" i="23"/>
  <c r="U79" i="23"/>
  <c r="O91" i="23"/>
  <c r="S91" i="23"/>
  <c r="T91" i="23"/>
  <c r="O93" i="23"/>
  <c r="T93" i="23"/>
  <c r="U93" i="23"/>
  <c r="O108" i="23"/>
  <c r="U108" i="23"/>
  <c r="O109" i="23"/>
  <c r="U109" i="23"/>
  <c r="O116" i="23"/>
  <c r="U116" i="23"/>
  <c r="O117" i="23"/>
  <c r="T117" i="23"/>
  <c r="O119" i="23"/>
  <c r="S119" i="23"/>
  <c r="U119" i="23"/>
  <c r="O132" i="23"/>
  <c r="U132" i="23"/>
  <c r="O140" i="23"/>
  <c r="U140" i="23"/>
  <c r="O141" i="23"/>
  <c r="S141" i="23"/>
  <c r="U141" i="23"/>
  <c r="O156" i="23"/>
  <c r="T156" i="23"/>
  <c r="U156" i="23"/>
  <c r="O164" i="23"/>
  <c r="U164" i="23"/>
  <c r="O11" i="23"/>
  <c r="S11" i="23"/>
  <c r="T11" i="23"/>
  <c r="O12" i="23"/>
  <c r="O14" i="23"/>
  <c r="O16" i="23"/>
  <c r="O17" i="23"/>
  <c r="O18" i="23"/>
  <c r="O19" i="23"/>
  <c r="O20" i="23"/>
  <c r="O22" i="23"/>
  <c r="S22" i="23"/>
  <c r="O23" i="23"/>
  <c r="U23" i="23"/>
  <c r="O24" i="23"/>
  <c r="U24" i="23"/>
  <c r="O25" i="23"/>
  <c r="O26" i="23"/>
  <c r="O27" i="23"/>
  <c r="O28" i="23"/>
  <c r="O29" i="23"/>
  <c r="O30" i="23"/>
  <c r="S30" i="23"/>
  <c r="O31" i="23"/>
  <c r="O32" i="23"/>
  <c r="S32" i="23"/>
  <c r="O33" i="23"/>
  <c r="O34" i="23"/>
  <c r="O35" i="23"/>
  <c r="O36" i="23"/>
  <c r="T36" i="23"/>
  <c r="O37" i="23"/>
  <c r="O38" i="23"/>
  <c r="O39" i="23"/>
  <c r="U39" i="23"/>
  <c r="O40" i="23"/>
  <c r="O41" i="23"/>
  <c r="O42" i="23"/>
  <c r="O43" i="23"/>
  <c r="O44" i="23"/>
  <c r="T44" i="23"/>
  <c r="O45" i="23"/>
  <c r="S45" i="23"/>
  <c r="O46" i="23"/>
  <c r="O47" i="23"/>
  <c r="O48" i="23"/>
  <c r="U48" i="23"/>
  <c r="O49" i="23"/>
  <c r="U49" i="23"/>
  <c r="O50" i="23"/>
  <c r="O51" i="23"/>
  <c r="O52" i="23"/>
  <c r="U52" i="23"/>
  <c r="O53" i="23"/>
  <c r="O54" i="23"/>
  <c r="O55" i="23"/>
  <c r="O56" i="23"/>
  <c r="S56" i="23"/>
  <c r="O57" i="23"/>
  <c r="O58" i="23"/>
  <c r="O59" i="23"/>
  <c r="S60" i="23"/>
  <c r="O61" i="23"/>
  <c r="T61" i="23"/>
  <c r="O62" i="23"/>
  <c r="O64" i="23"/>
  <c r="S64" i="23"/>
  <c r="O65" i="23"/>
  <c r="U65" i="23"/>
  <c r="O66" i="23"/>
  <c r="O67" i="23"/>
  <c r="O68" i="23"/>
  <c r="U68" i="23"/>
  <c r="O69" i="23"/>
  <c r="S69" i="23"/>
  <c r="O70" i="23"/>
  <c r="O71" i="23"/>
  <c r="T71" i="23"/>
  <c r="O72" i="23"/>
  <c r="O73" i="23"/>
  <c r="O75" i="23"/>
  <c r="O76" i="23"/>
  <c r="S77" i="23"/>
  <c r="O78" i="23"/>
  <c r="O80" i="23"/>
  <c r="S80" i="23"/>
  <c r="O81" i="23"/>
  <c r="U81" i="23"/>
  <c r="O82" i="23"/>
  <c r="O83" i="23"/>
  <c r="O84" i="23"/>
  <c r="S84" i="23"/>
  <c r="O85" i="23"/>
  <c r="S85" i="23"/>
  <c r="O86" i="23"/>
  <c r="O87" i="23"/>
  <c r="S87" i="23"/>
  <c r="O88" i="23"/>
  <c r="O89" i="23"/>
  <c r="O90" i="23"/>
  <c r="T90" i="23"/>
  <c r="O92" i="23"/>
  <c r="O94" i="23"/>
  <c r="O95" i="23"/>
  <c r="U95" i="23"/>
  <c r="O96" i="23"/>
  <c r="S96" i="23"/>
  <c r="O97" i="23"/>
  <c r="U97" i="23"/>
  <c r="O98" i="23"/>
  <c r="O99" i="23"/>
  <c r="O100" i="23"/>
  <c r="U100" i="23"/>
  <c r="O101" i="23"/>
  <c r="T101" i="23"/>
  <c r="O102" i="23"/>
  <c r="O103" i="23"/>
  <c r="T103" i="23"/>
  <c r="O104" i="23"/>
  <c r="O105" i="23"/>
  <c r="O106" i="23"/>
  <c r="T106" i="23"/>
  <c r="O107" i="23"/>
  <c r="T108" i="23"/>
  <c r="O110" i="23"/>
  <c r="O111" i="23"/>
  <c r="O112" i="23"/>
  <c r="O113" i="23"/>
  <c r="U113" i="23"/>
  <c r="O114" i="23"/>
  <c r="O115" i="23"/>
  <c r="S116" i="23"/>
  <c r="O118" i="23"/>
  <c r="S118" i="23"/>
  <c r="T119" i="23"/>
  <c r="O120" i="23"/>
  <c r="O121" i="23"/>
  <c r="O122" i="23"/>
  <c r="O123" i="23"/>
  <c r="T123" i="23"/>
  <c r="O124" i="23"/>
  <c r="T124" i="23"/>
  <c r="O125" i="23"/>
  <c r="U125" i="23"/>
  <c r="O126" i="23"/>
  <c r="S126" i="23"/>
  <c r="O127" i="23"/>
  <c r="O128" i="23"/>
  <c r="S128" i="23"/>
  <c r="O129" i="23"/>
  <c r="O130" i="23"/>
  <c r="O131" i="23"/>
  <c r="O133" i="23"/>
  <c r="U133" i="23"/>
  <c r="O134" i="23"/>
  <c r="S134" i="23"/>
  <c r="O135" i="23"/>
  <c r="S135" i="23"/>
  <c r="O136" i="23"/>
  <c r="O137" i="23"/>
  <c r="O138" i="23"/>
  <c r="O139" i="23"/>
  <c r="O142" i="23"/>
  <c r="O143" i="23"/>
  <c r="O144" i="23"/>
  <c r="U144" i="23"/>
  <c r="O145" i="23"/>
  <c r="O146" i="23"/>
  <c r="O147" i="23"/>
  <c r="O148" i="23"/>
  <c r="O149" i="23"/>
  <c r="O150" i="23"/>
  <c r="O151" i="23"/>
  <c r="T151" i="23"/>
  <c r="O152" i="23"/>
  <c r="O153" i="23"/>
  <c r="O154" i="23"/>
  <c r="O155" i="23"/>
  <c r="S156" i="23"/>
  <c r="O157" i="23"/>
  <c r="T157" i="23"/>
  <c r="O158" i="23"/>
  <c r="S158" i="23"/>
  <c r="O159" i="23"/>
  <c r="S159" i="23"/>
  <c r="O160" i="23"/>
  <c r="U160" i="23"/>
  <c r="O161" i="23"/>
  <c r="U161" i="23"/>
  <c r="O162" i="23"/>
  <c r="U162" i="23"/>
  <c r="O163" i="23"/>
  <c r="U11" i="23"/>
  <c r="A19" i="10"/>
  <c r="B12" i="23"/>
  <c r="H12" i="23"/>
  <c r="C12" i="23"/>
  <c r="I12" i="23"/>
  <c r="D12" i="23"/>
  <c r="C2" i="23"/>
  <c r="J12" i="23"/>
  <c r="A20" i="10"/>
  <c r="B13" i="23"/>
  <c r="H13" i="23"/>
  <c r="C13" i="23"/>
  <c r="I13" i="23"/>
  <c r="K13" i="23"/>
  <c r="N13" i="23"/>
  <c r="W13" i="23"/>
  <c r="A21" i="10"/>
  <c r="B14" i="23"/>
  <c r="H14" i="23"/>
  <c r="C14" i="23"/>
  <c r="I14" i="23"/>
  <c r="A22" i="10"/>
  <c r="B15" i="23"/>
  <c r="H15" i="23"/>
  <c r="C15" i="23"/>
  <c r="I15" i="23"/>
  <c r="K15" i="23"/>
  <c r="N15" i="23"/>
  <c r="W15" i="23"/>
  <c r="A23" i="10"/>
  <c r="B16" i="23"/>
  <c r="H16" i="23"/>
  <c r="C16" i="23"/>
  <c r="I16" i="23"/>
  <c r="A24" i="10"/>
  <c r="B17" i="23"/>
  <c r="H17" i="23"/>
  <c r="C17" i="23"/>
  <c r="I17" i="23"/>
  <c r="A25" i="10"/>
  <c r="B18" i="23"/>
  <c r="H18" i="23"/>
  <c r="C18" i="23"/>
  <c r="I18" i="23"/>
  <c r="A26" i="10"/>
  <c r="B19" i="23"/>
  <c r="H19" i="23"/>
  <c r="C19" i="23"/>
  <c r="I19" i="23"/>
  <c r="A27" i="10"/>
  <c r="B20" i="23"/>
  <c r="H20" i="23"/>
  <c r="C20" i="23"/>
  <c r="I20" i="23"/>
  <c r="A28" i="10"/>
  <c r="B21" i="23"/>
  <c r="H21" i="23"/>
  <c r="C21" i="23"/>
  <c r="I21" i="23"/>
  <c r="A29" i="10"/>
  <c r="B22" i="23"/>
  <c r="H22" i="23"/>
  <c r="C22" i="23"/>
  <c r="I22" i="23"/>
  <c r="B23" i="23"/>
  <c r="H23" i="23"/>
  <c r="C23" i="23"/>
  <c r="I23" i="23"/>
  <c r="B24" i="23"/>
  <c r="H24" i="23"/>
  <c r="C24" i="23"/>
  <c r="I24" i="23"/>
  <c r="B25" i="23"/>
  <c r="H25" i="23"/>
  <c r="C25" i="23"/>
  <c r="I25" i="23"/>
  <c r="B26" i="23"/>
  <c r="H26" i="23"/>
  <c r="C26" i="23"/>
  <c r="I26" i="23"/>
  <c r="B27" i="23"/>
  <c r="H27" i="23"/>
  <c r="C27" i="23"/>
  <c r="I27" i="23"/>
  <c r="F27" i="23"/>
  <c r="L27" i="23"/>
  <c r="B28" i="23"/>
  <c r="H28" i="23"/>
  <c r="C28" i="23"/>
  <c r="I28" i="23"/>
  <c r="B29" i="23"/>
  <c r="H29" i="23"/>
  <c r="C29" i="23"/>
  <c r="I29" i="23"/>
  <c r="F29" i="23"/>
  <c r="L29" i="23"/>
  <c r="B30" i="23"/>
  <c r="H30" i="23"/>
  <c r="C30" i="23"/>
  <c r="I30" i="23"/>
  <c r="B31" i="23"/>
  <c r="H31" i="23"/>
  <c r="C31" i="23"/>
  <c r="I31" i="23"/>
  <c r="B32" i="23"/>
  <c r="H32" i="23"/>
  <c r="C32" i="23"/>
  <c r="I32" i="23"/>
  <c r="B33" i="23"/>
  <c r="H33" i="23"/>
  <c r="C33" i="23"/>
  <c r="I33" i="23"/>
  <c r="B34" i="23"/>
  <c r="H34" i="23"/>
  <c r="C34" i="23"/>
  <c r="I34" i="23"/>
  <c r="K34" i="23"/>
  <c r="N34" i="23"/>
  <c r="W34" i="23"/>
  <c r="B35" i="23"/>
  <c r="H35" i="23"/>
  <c r="C35" i="23"/>
  <c r="I35" i="23"/>
  <c r="B36" i="23"/>
  <c r="H36" i="23"/>
  <c r="C36" i="23"/>
  <c r="I36" i="23"/>
  <c r="B37" i="23"/>
  <c r="H37" i="23"/>
  <c r="C37" i="23"/>
  <c r="I37" i="23"/>
  <c r="B38" i="23"/>
  <c r="H38" i="23"/>
  <c r="C38" i="23"/>
  <c r="I38" i="23"/>
  <c r="B39" i="23"/>
  <c r="H39" i="23"/>
  <c r="C39" i="23"/>
  <c r="I39" i="23"/>
  <c r="B40" i="23"/>
  <c r="H40" i="23"/>
  <c r="C40" i="23"/>
  <c r="I40" i="23"/>
  <c r="B41" i="23"/>
  <c r="H41" i="23"/>
  <c r="C41" i="23"/>
  <c r="I41" i="23"/>
  <c r="B42" i="23"/>
  <c r="H42" i="23"/>
  <c r="C42" i="23"/>
  <c r="I42" i="23"/>
  <c r="B43" i="23"/>
  <c r="H43" i="23"/>
  <c r="C43" i="23"/>
  <c r="I43" i="23"/>
  <c r="B44" i="23"/>
  <c r="H44" i="23"/>
  <c r="C44" i="23"/>
  <c r="I44" i="23"/>
  <c r="B45" i="23"/>
  <c r="H45" i="23"/>
  <c r="C45" i="23"/>
  <c r="I45" i="23"/>
  <c r="D45" i="23"/>
  <c r="J45" i="23"/>
  <c r="B46" i="23"/>
  <c r="H46" i="23"/>
  <c r="C46" i="23"/>
  <c r="I46" i="23"/>
  <c r="B47" i="23"/>
  <c r="H47" i="23"/>
  <c r="C47" i="23"/>
  <c r="I47" i="23"/>
  <c r="B48" i="23"/>
  <c r="H48" i="23"/>
  <c r="C48" i="23"/>
  <c r="I48" i="23"/>
  <c r="B49" i="23"/>
  <c r="H49" i="23"/>
  <c r="C49" i="23"/>
  <c r="I49" i="23"/>
  <c r="B50" i="23"/>
  <c r="H50" i="23"/>
  <c r="C50" i="23"/>
  <c r="I50" i="23"/>
  <c r="B51" i="23"/>
  <c r="H51" i="23"/>
  <c r="C51" i="23"/>
  <c r="I51" i="23"/>
  <c r="B52" i="23"/>
  <c r="H52" i="23"/>
  <c r="C52" i="23"/>
  <c r="I52" i="23"/>
  <c r="D52" i="23"/>
  <c r="J52" i="23"/>
  <c r="B53" i="23"/>
  <c r="H53" i="23"/>
  <c r="C53" i="23"/>
  <c r="I53" i="23"/>
  <c r="B54" i="23"/>
  <c r="H54" i="23"/>
  <c r="C54" i="23"/>
  <c r="I54" i="23"/>
  <c r="B55" i="23"/>
  <c r="H55" i="23"/>
  <c r="C55" i="23"/>
  <c r="I55" i="23"/>
  <c r="B56" i="23"/>
  <c r="H56" i="23"/>
  <c r="C56" i="23"/>
  <c r="I56" i="23"/>
  <c r="B57" i="23"/>
  <c r="H57" i="23"/>
  <c r="C57" i="23"/>
  <c r="I57" i="23"/>
  <c r="B58" i="23"/>
  <c r="H58" i="23"/>
  <c r="C58" i="23"/>
  <c r="I58" i="23"/>
  <c r="B59" i="23"/>
  <c r="H59" i="23"/>
  <c r="C59" i="23"/>
  <c r="I59" i="23"/>
  <c r="B60" i="23"/>
  <c r="H60" i="23"/>
  <c r="C60" i="23"/>
  <c r="I60" i="23"/>
  <c r="B61" i="23"/>
  <c r="H61" i="23"/>
  <c r="C61" i="23"/>
  <c r="I61" i="23"/>
  <c r="B62" i="23"/>
  <c r="H62" i="23"/>
  <c r="C62" i="23"/>
  <c r="I62" i="23"/>
  <c r="B63" i="23"/>
  <c r="H63" i="23"/>
  <c r="C63" i="23"/>
  <c r="I63" i="23"/>
  <c r="B64" i="23"/>
  <c r="H64" i="23"/>
  <c r="C64" i="23"/>
  <c r="I64" i="23"/>
  <c r="B65" i="23"/>
  <c r="H65" i="23"/>
  <c r="C65" i="23"/>
  <c r="I65" i="23"/>
  <c r="B66" i="23"/>
  <c r="H66" i="23"/>
  <c r="C66" i="23"/>
  <c r="I66" i="23"/>
  <c r="B67" i="23"/>
  <c r="H67" i="23"/>
  <c r="C67" i="23"/>
  <c r="I67" i="23"/>
  <c r="B68" i="23"/>
  <c r="H68" i="23"/>
  <c r="C68" i="23"/>
  <c r="I68" i="23"/>
  <c r="B69" i="23"/>
  <c r="H69" i="23"/>
  <c r="C69" i="23"/>
  <c r="I69" i="23"/>
  <c r="B70" i="23"/>
  <c r="H70" i="23"/>
  <c r="C70" i="23"/>
  <c r="I70" i="23"/>
  <c r="B71" i="23"/>
  <c r="H71" i="23"/>
  <c r="C71" i="23"/>
  <c r="I71" i="23"/>
  <c r="B72" i="23"/>
  <c r="H72" i="23"/>
  <c r="C72" i="23"/>
  <c r="I72" i="23"/>
  <c r="B73" i="23"/>
  <c r="H73" i="23"/>
  <c r="C73" i="23"/>
  <c r="I73" i="23"/>
  <c r="B74" i="23"/>
  <c r="H74" i="23"/>
  <c r="C74" i="23"/>
  <c r="I74" i="23"/>
  <c r="B75" i="23"/>
  <c r="H75" i="23"/>
  <c r="C75" i="23"/>
  <c r="I75" i="23"/>
  <c r="B76" i="23"/>
  <c r="H76" i="23"/>
  <c r="C76" i="23"/>
  <c r="I76" i="23"/>
  <c r="B77" i="23"/>
  <c r="H77" i="23"/>
  <c r="C77" i="23"/>
  <c r="I77" i="23"/>
  <c r="D77" i="23"/>
  <c r="J77" i="23"/>
  <c r="B78" i="23"/>
  <c r="H78" i="23"/>
  <c r="C78" i="23"/>
  <c r="I78" i="23"/>
  <c r="B79" i="23"/>
  <c r="H79" i="23"/>
  <c r="C79" i="23"/>
  <c r="I79" i="23"/>
  <c r="B80" i="23"/>
  <c r="H80" i="23"/>
  <c r="C80" i="23"/>
  <c r="I80" i="23"/>
  <c r="B81" i="23"/>
  <c r="H81" i="23"/>
  <c r="C81" i="23"/>
  <c r="I81" i="23"/>
  <c r="B82" i="23"/>
  <c r="H82" i="23"/>
  <c r="C82" i="23"/>
  <c r="I82" i="23"/>
  <c r="B83" i="23"/>
  <c r="H83" i="23"/>
  <c r="C83" i="23"/>
  <c r="I83" i="23"/>
  <c r="B84" i="23"/>
  <c r="H84" i="23"/>
  <c r="C84" i="23"/>
  <c r="I84" i="23"/>
  <c r="B85" i="23"/>
  <c r="H85" i="23"/>
  <c r="C85" i="23"/>
  <c r="I85" i="23"/>
  <c r="B86" i="23"/>
  <c r="H86" i="23"/>
  <c r="C86" i="23"/>
  <c r="I86" i="23"/>
  <c r="B87" i="23"/>
  <c r="H87" i="23"/>
  <c r="C87" i="23"/>
  <c r="I87" i="23"/>
  <c r="B88" i="23"/>
  <c r="H88" i="23"/>
  <c r="C88" i="23"/>
  <c r="I88" i="23"/>
  <c r="B89" i="23"/>
  <c r="H89" i="23"/>
  <c r="C89" i="23"/>
  <c r="I89" i="23"/>
  <c r="B90" i="23"/>
  <c r="H90" i="23"/>
  <c r="C90" i="23"/>
  <c r="I90" i="23"/>
  <c r="B91" i="23"/>
  <c r="H91" i="23"/>
  <c r="C91" i="23"/>
  <c r="I91" i="23"/>
  <c r="F91" i="23"/>
  <c r="L91" i="23"/>
  <c r="B92" i="23"/>
  <c r="H92" i="23"/>
  <c r="C92" i="23"/>
  <c r="I92" i="23"/>
  <c r="B93" i="23"/>
  <c r="H93" i="23"/>
  <c r="C93" i="23"/>
  <c r="I93" i="23"/>
  <c r="B94" i="23"/>
  <c r="H94" i="23"/>
  <c r="C94" i="23"/>
  <c r="I94" i="23"/>
  <c r="B95" i="23"/>
  <c r="H95" i="23"/>
  <c r="C95" i="23"/>
  <c r="I95" i="23"/>
  <c r="B96" i="23"/>
  <c r="H96" i="23"/>
  <c r="C96" i="23"/>
  <c r="I96" i="23"/>
  <c r="B97" i="23"/>
  <c r="H97" i="23"/>
  <c r="C97" i="23"/>
  <c r="I97" i="23"/>
  <c r="B98" i="23"/>
  <c r="H98" i="23"/>
  <c r="C98" i="23"/>
  <c r="I98" i="23"/>
  <c r="B99" i="23"/>
  <c r="H99" i="23"/>
  <c r="C99" i="23"/>
  <c r="I99" i="23"/>
  <c r="B100" i="23"/>
  <c r="H100" i="23"/>
  <c r="C100" i="23"/>
  <c r="I100" i="23"/>
  <c r="B101" i="23"/>
  <c r="H101" i="23"/>
  <c r="C101" i="23"/>
  <c r="I101" i="23"/>
  <c r="B102" i="23"/>
  <c r="H102" i="23"/>
  <c r="C102" i="23"/>
  <c r="I102" i="23"/>
  <c r="B103" i="23"/>
  <c r="H103" i="23"/>
  <c r="C103" i="23"/>
  <c r="I103" i="23"/>
  <c r="K103" i="23"/>
  <c r="N103" i="23"/>
  <c r="W103" i="23"/>
  <c r="B104" i="23"/>
  <c r="H104" i="23"/>
  <c r="C104" i="23"/>
  <c r="I104" i="23"/>
  <c r="B105" i="23"/>
  <c r="H105" i="23"/>
  <c r="C105" i="23"/>
  <c r="I105" i="23"/>
  <c r="B106" i="23"/>
  <c r="H106" i="23"/>
  <c r="C106" i="23"/>
  <c r="I106" i="23"/>
  <c r="B107" i="23"/>
  <c r="H107" i="23"/>
  <c r="C107" i="23"/>
  <c r="I107" i="23"/>
  <c r="B108" i="23"/>
  <c r="H108" i="23"/>
  <c r="C108" i="23"/>
  <c r="I108" i="23"/>
  <c r="B109" i="23"/>
  <c r="H109" i="23"/>
  <c r="C109" i="23"/>
  <c r="I109" i="23"/>
  <c r="D109" i="23"/>
  <c r="J109" i="23"/>
  <c r="B110" i="23"/>
  <c r="H110" i="23"/>
  <c r="C110" i="23"/>
  <c r="I110" i="23"/>
  <c r="B111" i="23"/>
  <c r="H111" i="23"/>
  <c r="C111" i="23"/>
  <c r="I111" i="23"/>
  <c r="B112" i="23"/>
  <c r="H112" i="23"/>
  <c r="C112" i="23"/>
  <c r="I112" i="23"/>
  <c r="D112" i="23"/>
  <c r="J112" i="23"/>
  <c r="K112" i="23"/>
  <c r="N112" i="23"/>
  <c r="W112" i="23"/>
  <c r="B113" i="23"/>
  <c r="H113" i="23"/>
  <c r="C113" i="23"/>
  <c r="I113" i="23"/>
  <c r="B114" i="23"/>
  <c r="H114" i="23"/>
  <c r="C114" i="23"/>
  <c r="I114" i="23"/>
  <c r="B115" i="23"/>
  <c r="H115" i="23"/>
  <c r="C115" i="23"/>
  <c r="I115" i="23"/>
  <c r="B116" i="23"/>
  <c r="H116" i="23"/>
  <c r="C116" i="23"/>
  <c r="I116" i="23"/>
  <c r="B117" i="23"/>
  <c r="H117" i="23"/>
  <c r="C117" i="23"/>
  <c r="I117" i="23"/>
  <c r="B118" i="23"/>
  <c r="H118" i="23"/>
  <c r="C118" i="23"/>
  <c r="I118" i="23"/>
  <c r="B119" i="23"/>
  <c r="H119" i="23"/>
  <c r="C119" i="23"/>
  <c r="I119" i="23"/>
  <c r="B120" i="23"/>
  <c r="H120" i="23"/>
  <c r="C120" i="23"/>
  <c r="I120" i="23"/>
  <c r="K120" i="23"/>
  <c r="N120" i="23"/>
  <c r="W120" i="23"/>
  <c r="B121" i="23"/>
  <c r="H121" i="23"/>
  <c r="C121" i="23"/>
  <c r="I121" i="23"/>
  <c r="B122" i="23"/>
  <c r="H122" i="23"/>
  <c r="C122" i="23"/>
  <c r="I122" i="23"/>
  <c r="B123" i="23"/>
  <c r="H123" i="23"/>
  <c r="C123" i="23"/>
  <c r="I123" i="23"/>
  <c r="B124" i="23"/>
  <c r="H124" i="23"/>
  <c r="C124" i="23"/>
  <c r="I124" i="23"/>
  <c r="B125" i="23"/>
  <c r="H125" i="23"/>
  <c r="C125" i="23"/>
  <c r="I125" i="23"/>
  <c r="B126" i="23"/>
  <c r="H126" i="23"/>
  <c r="C126" i="23"/>
  <c r="I126" i="23"/>
  <c r="B127" i="23"/>
  <c r="H127" i="23"/>
  <c r="C127" i="23"/>
  <c r="I127" i="23"/>
  <c r="B128" i="23"/>
  <c r="H128" i="23"/>
  <c r="C128" i="23"/>
  <c r="I128" i="23"/>
  <c r="B129" i="23"/>
  <c r="H129" i="23"/>
  <c r="C129" i="23"/>
  <c r="I129" i="23"/>
  <c r="B130" i="23"/>
  <c r="H130" i="23"/>
  <c r="C130" i="23"/>
  <c r="I130" i="23"/>
  <c r="D130" i="23"/>
  <c r="J130" i="23"/>
  <c r="B131" i="23"/>
  <c r="H131" i="23"/>
  <c r="C131" i="23"/>
  <c r="I131" i="23"/>
  <c r="B132" i="23"/>
  <c r="H132" i="23"/>
  <c r="C132" i="23"/>
  <c r="I132" i="23"/>
  <c r="B133" i="23"/>
  <c r="H133" i="23"/>
  <c r="C133" i="23"/>
  <c r="I133" i="23"/>
  <c r="B134" i="23"/>
  <c r="H134" i="23"/>
  <c r="C134" i="23"/>
  <c r="I134" i="23"/>
  <c r="B135" i="23"/>
  <c r="H135" i="23"/>
  <c r="C135" i="23"/>
  <c r="I135" i="23"/>
  <c r="B136" i="23"/>
  <c r="H136" i="23"/>
  <c r="C136" i="23"/>
  <c r="I136" i="23"/>
  <c r="B137" i="23"/>
  <c r="H137" i="23"/>
  <c r="C137" i="23"/>
  <c r="I137" i="23"/>
  <c r="B138" i="23"/>
  <c r="H138" i="23"/>
  <c r="C138" i="23"/>
  <c r="I138" i="23"/>
  <c r="B139" i="23"/>
  <c r="H139" i="23"/>
  <c r="C139" i="23"/>
  <c r="I139" i="23"/>
  <c r="K139" i="23"/>
  <c r="N139" i="23"/>
  <c r="W139" i="23"/>
  <c r="B140" i="23"/>
  <c r="H140" i="23"/>
  <c r="C140" i="23"/>
  <c r="I140" i="23"/>
  <c r="B141" i="23"/>
  <c r="H141" i="23"/>
  <c r="C141" i="23"/>
  <c r="I141" i="23"/>
  <c r="B142" i="23"/>
  <c r="H142" i="23"/>
  <c r="C142" i="23"/>
  <c r="I142" i="23"/>
  <c r="B143" i="23"/>
  <c r="H143" i="23"/>
  <c r="C143" i="23"/>
  <c r="I143" i="23"/>
  <c r="B144" i="23"/>
  <c r="H144" i="23"/>
  <c r="C144" i="23"/>
  <c r="I144" i="23"/>
  <c r="B145" i="23"/>
  <c r="H145" i="23"/>
  <c r="C145" i="23"/>
  <c r="I145" i="23"/>
  <c r="B146" i="23"/>
  <c r="H146" i="23"/>
  <c r="C146" i="23"/>
  <c r="I146" i="23"/>
  <c r="B147" i="23"/>
  <c r="H147" i="23"/>
  <c r="C147" i="23"/>
  <c r="I147" i="23"/>
  <c r="B148" i="23"/>
  <c r="H148" i="23"/>
  <c r="C148" i="23"/>
  <c r="I148" i="23"/>
  <c r="B149" i="23"/>
  <c r="H149" i="23"/>
  <c r="C149" i="23"/>
  <c r="I149" i="23"/>
  <c r="B150" i="23"/>
  <c r="H150" i="23"/>
  <c r="C150" i="23"/>
  <c r="I150" i="23"/>
  <c r="B151" i="23"/>
  <c r="H151" i="23"/>
  <c r="C151" i="23"/>
  <c r="I151" i="23"/>
  <c r="B152" i="23"/>
  <c r="H152" i="23"/>
  <c r="C152" i="23"/>
  <c r="I152" i="23"/>
  <c r="B153" i="23"/>
  <c r="H153" i="23"/>
  <c r="C153" i="23"/>
  <c r="I153" i="23"/>
  <c r="B154" i="23"/>
  <c r="H154" i="23"/>
  <c r="C154" i="23"/>
  <c r="I154" i="23"/>
  <c r="F154" i="23"/>
  <c r="L154" i="23"/>
  <c r="B155" i="23"/>
  <c r="H155" i="23"/>
  <c r="C155" i="23"/>
  <c r="I155" i="23"/>
  <c r="B156" i="23"/>
  <c r="H156" i="23"/>
  <c r="C156" i="23"/>
  <c r="I156" i="23"/>
  <c r="B157" i="23"/>
  <c r="H157" i="23"/>
  <c r="C157" i="23"/>
  <c r="I157" i="23"/>
  <c r="B158" i="23"/>
  <c r="H158" i="23"/>
  <c r="C158" i="23"/>
  <c r="I158" i="23"/>
  <c r="B159" i="23"/>
  <c r="H159" i="23"/>
  <c r="C159" i="23"/>
  <c r="I159" i="23"/>
  <c r="B160" i="23"/>
  <c r="H160" i="23"/>
  <c r="C160" i="23"/>
  <c r="I160" i="23"/>
  <c r="B161" i="23"/>
  <c r="H161" i="23"/>
  <c r="C161" i="23"/>
  <c r="I161" i="23"/>
  <c r="B162" i="23"/>
  <c r="H162" i="23"/>
  <c r="C162" i="23"/>
  <c r="I162" i="23"/>
  <c r="B163" i="23"/>
  <c r="H163" i="23"/>
  <c r="C163" i="23"/>
  <c r="I163" i="23"/>
  <c r="B164" i="23"/>
  <c r="H164" i="23"/>
  <c r="C164" i="23"/>
  <c r="I164" i="23"/>
  <c r="B165" i="23"/>
  <c r="H165" i="23"/>
  <c r="C165" i="23"/>
  <c r="I165" i="23"/>
  <c r="B166" i="23"/>
  <c r="H166" i="23"/>
  <c r="C166" i="23"/>
  <c r="I166" i="23"/>
  <c r="B167" i="23"/>
  <c r="H167" i="23"/>
  <c r="C167" i="23"/>
  <c r="I167" i="23"/>
  <c r="B168" i="23"/>
  <c r="H168" i="23"/>
  <c r="C168" i="23"/>
  <c r="I168" i="23"/>
  <c r="B169" i="23"/>
  <c r="H169" i="23"/>
  <c r="C169" i="23"/>
  <c r="I169" i="23"/>
  <c r="B170" i="23"/>
  <c r="H170" i="23"/>
  <c r="C170" i="23"/>
  <c r="I170" i="23"/>
  <c r="B171" i="23"/>
  <c r="H171" i="23"/>
  <c r="C171" i="23"/>
  <c r="I171" i="23"/>
  <c r="B172" i="23"/>
  <c r="H172" i="23"/>
  <c r="C172" i="23"/>
  <c r="I172" i="23"/>
  <c r="B173" i="23"/>
  <c r="H173" i="23"/>
  <c r="C173" i="23"/>
  <c r="I173" i="23"/>
  <c r="B174" i="23"/>
  <c r="H174" i="23"/>
  <c r="C174" i="23"/>
  <c r="I174" i="23"/>
  <c r="B175" i="23"/>
  <c r="H175" i="23"/>
  <c r="C175" i="23"/>
  <c r="I175" i="23"/>
  <c r="B176" i="23"/>
  <c r="H176" i="23"/>
  <c r="C176" i="23"/>
  <c r="I176" i="23"/>
  <c r="B177" i="23"/>
  <c r="H177" i="23"/>
  <c r="C177" i="23"/>
  <c r="I177" i="23"/>
  <c r="B178" i="23"/>
  <c r="H178" i="23"/>
  <c r="C178" i="23"/>
  <c r="I178" i="23"/>
  <c r="B179" i="23"/>
  <c r="H179" i="23"/>
  <c r="C179" i="23"/>
  <c r="I179" i="23"/>
  <c r="B180" i="23"/>
  <c r="H180" i="23"/>
  <c r="C180" i="23"/>
  <c r="I180" i="23"/>
  <c r="B181" i="23"/>
  <c r="H181" i="23"/>
  <c r="C181" i="23"/>
  <c r="I181" i="23"/>
  <c r="B182" i="23"/>
  <c r="H182" i="23"/>
  <c r="C182" i="23"/>
  <c r="I182" i="23"/>
  <c r="B183" i="23"/>
  <c r="H183" i="23"/>
  <c r="C183" i="23"/>
  <c r="I183" i="23"/>
  <c r="B184" i="23"/>
  <c r="H184" i="23"/>
  <c r="C184" i="23"/>
  <c r="I184" i="23"/>
  <c r="B185" i="23"/>
  <c r="H185" i="23"/>
  <c r="C185" i="23"/>
  <c r="I185" i="23"/>
  <c r="B186" i="23"/>
  <c r="H186" i="23"/>
  <c r="C186" i="23"/>
  <c r="I186" i="23"/>
  <c r="F186" i="23"/>
  <c r="L186" i="23"/>
  <c r="B187" i="23"/>
  <c r="H187" i="23"/>
  <c r="C187" i="23"/>
  <c r="I187" i="23"/>
  <c r="B188" i="23"/>
  <c r="H188" i="23"/>
  <c r="C188" i="23"/>
  <c r="I188" i="23"/>
  <c r="B189" i="23"/>
  <c r="H189" i="23"/>
  <c r="C189" i="23"/>
  <c r="I189" i="23"/>
  <c r="B190" i="23"/>
  <c r="H190" i="23"/>
  <c r="C190" i="23"/>
  <c r="I190" i="23"/>
  <c r="B191" i="23"/>
  <c r="H191" i="23"/>
  <c r="C191" i="23"/>
  <c r="I191" i="23"/>
  <c r="B192" i="23"/>
  <c r="H192" i="23"/>
  <c r="C192" i="23"/>
  <c r="I192" i="23"/>
  <c r="D192" i="23"/>
  <c r="J192" i="23"/>
  <c r="B193" i="23"/>
  <c r="H193" i="23"/>
  <c r="C193" i="23"/>
  <c r="I193" i="23"/>
  <c r="B194" i="23"/>
  <c r="H194" i="23"/>
  <c r="C194" i="23"/>
  <c r="I194" i="23"/>
  <c r="B195" i="23"/>
  <c r="H195" i="23"/>
  <c r="C195" i="23"/>
  <c r="I195" i="23"/>
  <c r="E195" i="23"/>
  <c r="K195" i="23"/>
  <c r="N195" i="23"/>
  <c r="W195" i="23"/>
  <c r="B196" i="23"/>
  <c r="H196" i="23"/>
  <c r="C196" i="23"/>
  <c r="I196" i="23"/>
  <c r="B197" i="23"/>
  <c r="H197" i="23"/>
  <c r="C197" i="23"/>
  <c r="I197" i="23"/>
  <c r="B198" i="23"/>
  <c r="H198" i="23"/>
  <c r="C198" i="23"/>
  <c r="I198" i="23"/>
  <c r="B199" i="23"/>
  <c r="H199" i="23"/>
  <c r="C199" i="23"/>
  <c r="I199" i="23"/>
  <c r="D199" i="23"/>
  <c r="J199" i="23"/>
  <c r="B200" i="23"/>
  <c r="H200" i="23"/>
  <c r="C200" i="23"/>
  <c r="I200" i="23"/>
  <c r="B201" i="23"/>
  <c r="H201" i="23"/>
  <c r="C201" i="23"/>
  <c r="I201" i="23"/>
  <c r="B202" i="23"/>
  <c r="H202" i="23"/>
  <c r="C202" i="23"/>
  <c r="I202" i="23"/>
  <c r="E203" i="10"/>
  <c r="E204" i="10"/>
  <c r="E205" i="10"/>
  <c r="E206" i="10"/>
  <c r="E207" i="10"/>
  <c r="E208" i="10"/>
  <c r="E209" i="10"/>
  <c r="F202" i="23"/>
  <c r="L202" i="23"/>
  <c r="B203" i="23"/>
  <c r="H203" i="23"/>
  <c r="C203" i="23"/>
  <c r="I203" i="23"/>
  <c r="B204" i="23"/>
  <c r="H204" i="23"/>
  <c r="C204" i="23"/>
  <c r="I204" i="23"/>
  <c r="B205" i="23"/>
  <c r="H205" i="23"/>
  <c r="C205" i="23"/>
  <c r="I205" i="23"/>
  <c r="D205" i="23"/>
  <c r="J205" i="23"/>
  <c r="B206" i="23"/>
  <c r="H206" i="23"/>
  <c r="C206" i="23"/>
  <c r="I206" i="23"/>
  <c r="B207" i="23"/>
  <c r="H207" i="23"/>
  <c r="C207" i="23"/>
  <c r="I207" i="23"/>
  <c r="B208" i="23"/>
  <c r="H208" i="23"/>
  <c r="C208" i="23"/>
  <c r="I208" i="23"/>
  <c r="B209" i="23"/>
  <c r="H209" i="23"/>
  <c r="C209" i="23"/>
  <c r="I209" i="23"/>
  <c r="B210" i="23"/>
  <c r="H210" i="23"/>
  <c r="C210" i="23"/>
  <c r="I210" i="23"/>
  <c r="B211" i="23"/>
  <c r="H211" i="23"/>
  <c r="C211" i="23"/>
  <c r="I211" i="23"/>
  <c r="B212" i="23"/>
  <c r="H212" i="23"/>
  <c r="C212" i="23"/>
  <c r="I212" i="23"/>
  <c r="B213" i="23"/>
  <c r="H213" i="23"/>
  <c r="C213" i="23"/>
  <c r="I213" i="23"/>
  <c r="B214" i="23"/>
  <c r="H214" i="23"/>
  <c r="C214" i="23"/>
  <c r="I214" i="23"/>
  <c r="B215" i="23"/>
  <c r="H215" i="23"/>
  <c r="C215" i="23"/>
  <c r="I215" i="23"/>
  <c r="B216" i="23"/>
  <c r="H216" i="23"/>
  <c r="C216" i="23"/>
  <c r="I216" i="23"/>
  <c r="B217" i="23"/>
  <c r="H217" i="23"/>
  <c r="C217" i="23"/>
  <c r="I217" i="23"/>
  <c r="B218" i="23"/>
  <c r="H218" i="23"/>
  <c r="C218" i="23"/>
  <c r="I218" i="23"/>
  <c r="E218" i="23"/>
  <c r="K218" i="23"/>
  <c r="N218" i="23"/>
  <c r="W218" i="23"/>
  <c r="B219" i="23"/>
  <c r="H219" i="23"/>
  <c r="C219" i="23"/>
  <c r="I219" i="23"/>
  <c r="E210" i="10"/>
  <c r="E211" i="10"/>
  <c r="E212" i="10"/>
  <c r="E213" i="10"/>
  <c r="E214" i="10"/>
  <c r="E215" i="10"/>
  <c r="E216" i="10"/>
  <c r="E217" i="10"/>
  <c r="E218" i="10"/>
  <c r="E219" i="10"/>
  <c r="E220" i="10"/>
  <c r="E221" i="10"/>
  <c r="E222" i="10"/>
  <c r="E223" i="10"/>
  <c r="E224" i="10"/>
  <c r="E225" i="10"/>
  <c r="E226" i="10"/>
  <c r="F219" i="23"/>
  <c r="L219" i="23"/>
  <c r="B220" i="23"/>
  <c r="H220" i="23"/>
  <c r="C220" i="23"/>
  <c r="I220" i="23"/>
  <c r="B221" i="23"/>
  <c r="H221" i="23"/>
  <c r="C221" i="23"/>
  <c r="I221" i="23"/>
  <c r="D221" i="23"/>
  <c r="J221" i="23"/>
  <c r="B222" i="23"/>
  <c r="H222" i="23"/>
  <c r="C222" i="23"/>
  <c r="I222" i="23"/>
  <c r="B223" i="23"/>
  <c r="H223" i="23"/>
  <c r="C223" i="23"/>
  <c r="I223" i="23"/>
  <c r="B224" i="23"/>
  <c r="H224" i="23"/>
  <c r="C224" i="23"/>
  <c r="I224" i="23"/>
  <c r="B225" i="23"/>
  <c r="H225" i="23"/>
  <c r="C225" i="23"/>
  <c r="I225" i="23"/>
  <c r="B226" i="23"/>
  <c r="H226" i="23"/>
  <c r="C226" i="23"/>
  <c r="I226" i="23"/>
  <c r="B227" i="23"/>
  <c r="H227" i="23"/>
  <c r="C227" i="23"/>
  <c r="I227" i="23"/>
  <c r="B228" i="23"/>
  <c r="H228" i="23"/>
  <c r="C228" i="23"/>
  <c r="I228" i="23"/>
  <c r="B229" i="23"/>
  <c r="H229" i="23"/>
  <c r="C229" i="23"/>
  <c r="I229" i="23"/>
  <c r="B230" i="23"/>
  <c r="H230" i="23"/>
  <c r="C230" i="23"/>
  <c r="I230" i="23"/>
  <c r="B231" i="23"/>
  <c r="H231" i="23"/>
  <c r="C231" i="23"/>
  <c r="I231" i="23"/>
  <c r="B232" i="23"/>
  <c r="H232" i="23"/>
  <c r="C232" i="23"/>
  <c r="I232" i="23"/>
  <c r="B233" i="23"/>
  <c r="H233" i="23"/>
  <c r="C233" i="23"/>
  <c r="I233" i="23"/>
  <c r="B234" i="23"/>
  <c r="H234" i="23"/>
  <c r="C234" i="23"/>
  <c r="I234" i="23"/>
  <c r="B235" i="23"/>
  <c r="H235" i="23"/>
  <c r="C235" i="23"/>
  <c r="I235" i="23"/>
  <c r="B236" i="23"/>
  <c r="H236" i="23"/>
  <c r="C236" i="23"/>
  <c r="I236" i="23"/>
  <c r="B237" i="23"/>
  <c r="H237" i="23"/>
  <c r="C237" i="23"/>
  <c r="I237" i="23"/>
  <c r="B238" i="23"/>
  <c r="H238" i="23"/>
  <c r="C238" i="23"/>
  <c r="I238" i="23"/>
  <c r="B239" i="23"/>
  <c r="H239" i="23"/>
  <c r="C239" i="23"/>
  <c r="I239" i="23"/>
  <c r="B240" i="23"/>
  <c r="H240" i="23"/>
  <c r="C240" i="23"/>
  <c r="I240" i="23"/>
  <c r="B241" i="23"/>
  <c r="H241" i="23"/>
  <c r="C241" i="23"/>
  <c r="I241" i="23"/>
  <c r="B242" i="23"/>
  <c r="H242" i="23"/>
  <c r="C242" i="23"/>
  <c r="I242" i="23"/>
  <c r="B243" i="23"/>
  <c r="H243" i="23"/>
  <c r="C243" i="23"/>
  <c r="I243" i="23"/>
  <c r="B244" i="23"/>
  <c r="H244" i="23"/>
  <c r="C244" i="23"/>
  <c r="I244" i="23"/>
  <c r="D244" i="23"/>
  <c r="J244" i="23"/>
  <c r="B245" i="23"/>
  <c r="H245" i="23"/>
  <c r="C245" i="23"/>
  <c r="I245" i="23"/>
  <c r="B246" i="23"/>
  <c r="H246" i="23"/>
  <c r="C246" i="23"/>
  <c r="I246" i="23"/>
  <c r="E227" i="10"/>
  <c r="E228" i="10"/>
  <c r="E229" i="10"/>
  <c r="E230" i="10"/>
  <c r="E231" i="10"/>
  <c r="E232" i="10"/>
  <c r="E233" i="10"/>
  <c r="E234" i="10"/>
  <c r="E235" i="10"/>
  <c r="E236" i="10"/>
  <c r="E237" i="10"/>
  <c r="E238" i="10"/>
  <c r="E239" i="10"/>
  <c r="E240" i="10"/>
  <c r="E241" i="10"/>
  <c r="E242" i="10"/>
  <c r="E243" i="10"/>
  <c r="E244" i="10"/>
  <c r="E245" i="10"/>
  <c r="E246" i="10"/>
  <c r="E247" i="10"/>
  <c r="E248" i="10"/>
  <c r="E249" i="10"/>
  <c r="E250" i="10"/>
  <c r="E251" i="10"/>
  <c r="E252" i="10"/>
  <c r="E253" i="10"/>
  <c r="F246" i="23"/>
  <c r="L246" i="23"/>
  <c r="B247" i="23"/>
  <c r="H247" i="23"/>
  <c r="C247" i="23"/>
  <c r="I247" i="23"/>
  <c r="B248" i="23"/>
  <c r="H248" i="23"/>
  <c r="C248" i="23"/>
  <c r="I248" i="23"/>
  <c r="B249" i="23"/>
  <c r="H249" i="23"/>
  <c r="C249" i="23"/>
  <c r="I249" i="23"/>
  <c r="B250" i="23"/>
  <c r="H250" i="23"/>
  <c r="C250" i="23"/>
  <c r="I250" i="23"/>
  <c r="D250" i="23"/>
  <c r="J250" i="23"/>
  <c r="B251" i="23"/>
  <c r="H251" i="23"/>
  <c r="C251" i="23"/>
  <c r="I251" i="23"/>
  <c r="B252" i="23"/>
  <c r="H252" i="23"/>
  <c r="C252" i="23"/>
  <c r="I252" i="23"/>
  <c r="B253" i="23"/>
  <c r="H253" i="23"/>
  <c r="C253" i="23"/>
  <c r="I253" i="23"/>
  <c r="B254" i="23"/>
  <c r="H254" i="23"/>
  <c r="C254" i="23"/>
  <c r="I254" i="23"/>
  <c r="B255" i="23"/>
  <c r="H255" i="23"/>
  <c r="C255" i="23"/>
  <c r="I255" i="23"/>
  <c r="F11" i="23"/>
  <c r="L11" i="23"/>
  <c r="C11" i="23"/>
  <c r="I11" i="23"/>
  <c r="A18" i="10"/>
  <c r="B11" i="23"/>
  <c r="H11" i="23"/>
  <c r="C9" i="23"/>
  <c r="I9" i="23"/>
  <c r="D9" i="23"/>
  <c r="J9" i="23"/>
  <c r="E9" i="23"/>
  <c r="K9" i="23"/>
  <c r="F9" i="23"/>
  <c r="L9" i="23"/>
  <c r="B9" i="23"/>
  <c r="H9" i="23"/>
  <c r="A174" i="23"/>
  <c r="D174" i="23"/>
  <c r="E174" i="23"/>
  <c r="F174" i="23"/>
  <c r="A175" i="23"/>
  <c r="D175" i="23"/>
  <c r="E175" i="23"/>
  <c r="F175" i="23"/>
  <c r="A176" i="23"/>
  <c r="D176" i="23"/>
  <c r="E176" i="23"/>
  <c r="F176" i="23"/>
  <c r="A177" i="23"/>
  <c r="D177" i="23"/>
  <c r="E177" i="23"/>
  <c r="F177" i="23"/>
  <c r="A178" i="23"/>
  <c r="D178" i="23"/>
  <c r="E178" i="23"/>
  <c r="F178" i="23"/>
  <c r="A179" i="23"/>
  <c r="D179" i="23"/>
  <c r="E179" i="23"/>
  <c r="F179" i="23"/>
  <c r="A180" i="23"/>
  <c r="D180" i="23"/>
  <c r="E180" i="23"/>
  <c r="F180" i="23"/>
  <c r="A181" i="23"/>
  <c r="D181" i="23"/>
  <c r="E181" i="23"/>
  <c r="F181" i="23"/>
  <c r="A182" i="23"/>
  <c r="D182" i="23"/>
  <c r="E182" i="23"/>
  <c r="F182" i="23"/>
  <c r="A183" i="23"/>
  <c r="D183" i="23"/>
  <c r="E183" i="23"/>
  <c r="F183" i="23"/>
  <c r="A184" i="23"/>
  <c r="D184" i="23"/>
  <c r="E184" i="23"/>
  <c r="F184" i="23"/>
  <c r="A185" i="23"/>
  <c r="D185" i="23"/>
  <c r="E185" i="23"/>
  <c r="F185" i="23"/>
  <c r="A186" i="23"/>
  <c r="D186" i="23"/>
  <c r="E186" i="23"/>
  <c r="A187" i="23"/>
  <c r="D187" i="23"/>
  <c r="E187" i="23"/>
  <c r="F187" i="23"/>
  <c r="A188" i="23"/>
  <c r="D188" i="23"/>
  <c r="E188" i="23"/>
  <c r="F188" i="23"/>
  <c r="A189" i="23"/>
  <c r="D189" i="23"/>
  <c r="E189" i="23"/>
  <c r="F189" i="23"/>
  <c r="A190" i="23"/>
  <c r="D190" i="23"/>
  <c r="E190" i="23"/>
  <c r="F190" i="23"/>
  <c r="A191" i="23"/>
  <c r="D191" i="23"/>
  <c r="E191" i="23"/>
  <c r="F191" i="23"/>
  <c r="A192" i="23"/>
  <c r="E192" i="23"/>
  <c r="F192" i="23"/>
  <c r="A193" i="23"/>
  <c r="D193" i="23"/>
  <c r="E193" i="23"/>
  <c r="F193" i="23"/>
  <c r="A194" i="23"/>
  <c r="D194" i="23"/>
  <c r="E194" i="23"/>
  <c r="F194" i="23"/>
  <c r="A195" i="23"/>
  <c r="D195" i="23"/>
  <c r="F195" i="23"/>
  <c r="A196" i="23"/>
  <c r="D196" i="23"/>
  <c r="E196" i="23"/>
  <c r="F196" i="23"/>
  <c r="A197" i="23"/>
  <c r="D197" i="23"/>
  <c r="E197" i="23"/>
  <c r="F197" i="23"/>
  <c r="A198" i="23"/>
  <c r="D198" i="23"/>
  <c r="E198" i="23"/>
  <c r="F198" i="23"/>
  <c r="A199" i="23"/>
  <c r="E199" i="23"/>
  <c r="F199" i="23"/>
  <c r="A200" i="23"/>
  <c r="D200" i="23"/>
  <c r="E200" i="23"/>
  <c r="F200" i="23"/>
  <c r="A201" i="23"/>
  <c r="D201" i="23"/>
  <c r="E201" i="23"/>
  <c r="F201" i="23"/>
  <c r="A202" i="23"/>
  <c r="D202" i="23"/>
  <c r="E202" i="23"/>
  <c r="A203" i="23"/>
  <c r="D203" i="23"/>
  <c r="E203" i="23"/>
  <c r="F203" i="23"/>
  <c r="A204" i="23"/>
  <c r="D204" i="23"/>
  <c r="E204" i="23"/>
  <c r="F204" i="23"/>
  <c r="A205" i="23"/>
  <c r="E205" i="23"/>
  <c r="F205" i="23"/>
  <c r="A206" i="23"/>
  <c r="D206" i="23"/>
  <c r="E206" i="23"/>
  <c r="F206" i="23"/>
  <c r="A207" i="23"/>
  <c r="D207" i="23"/>
  <c r="E207" i="23"/>
  <c r="F207" i="23"/>
  <c r="A208" i="23"/>
  <c r="D208" i="23"/>
  <c r="E208" i="23"/>
  <c r="F208" i="23"/>
  <c r="A209" i="23"/>
  <c r="D209" i="23"/>
  <c r="E209" i="23"/>
  <c r="F209" i="23"/>
  <c r="A210" i="23"/>
  <c r="D210" i="23"/>
  <c r="E210" i="23"/>
  <c r="F210" i="23"/>
  <c r="A211" i="23"/>
  <c r="D211" i="23"/>
  <c r="E211" i="23"/>
  <c r="F211" i="23"/>
  <c r="A212" i="23"/>
  <c r="D212" i="23"/>
  <c r="E212" i="23"/>
  <c r="F212" i="23"/>
  <c r="A213" i="23"/>
  <c r="D213" i="23"/>
  <c r="E213" i="23"/>
  <c r="F213" i="23"/>
  <c r="A214" i="23"/>
  <c r="D214" i="23"/>
  <c r="E214" i="23"/>
  <c r="F214" i="23"/>
  <c r="A215" i="23"/>
  <c r="D215" i="23"/>
  <c r="E215" i="23"/>
  <c r="F215" i="23"/>
  <c r="A216" i="23"/>
  <c r="D216" i="23"/>
  <c r="E216" i="23"/>
  <c r="F216" i="23"/>
  <c r="A217" i="23"/>
  <c r="D217" i="23"/>
  <c r="E217" i="23"/>
  <c r="F217" i="23"/>
  <c r="A218" i="23"/>
  <c r="D218" i="23"/>
  <c r="F218" i="23"/>
  <c r="A219" i="23"/>
  <c r="D219" i="23"/>
  <c r="E219" i="23"/>
  <c r="A220" i="23"/>
  <c r="D220" i="23"/>
  <c r="E220" i="23"/>
  <c r="F220" i="23"/>
  <c r="A221" i="23"/>
  <c r="E221" i="23"/>
  <c r="F221" i="23"/>
  <c r="A222" i="23"/>
  <c r="D222" i="23"/>
  <c r="E222" i="23"/>
  <c r="F222" i="23"/>
  <c r="A223" i="23"/>
  <c r="D223" i="23"/>
  <c r="E223" i="23"/>
  <c r="F223" i="23"/>
  <c r="A224" i="23"/>
  <c r="D224" i="23"/>
  <c r="E224" i="23"/>
  <c r="F224" i="23"/>
  <c r="A225" i="23"/>
  <c r="D225" i="23"/>
  <c r="E225" i="23"/>
  <c r="F225" i="23"/>
  <c r="A226" i="23"/>
  <c r="D226" i="23"/>
  <c r="E226" i="23"/>
  <c r="F226" i="23"/>
  <c r="A227" i="23"/>
  <c r="D227" i="23"/>
  <c r="E227" i="23"/>
  <c r="F227" i="23"/>
  <c r="A228" i="23"/>
  <c r="D228" i="23"/>
  <c r="E228" i="23"/>
  <c r="F228" i="23"/>
  <c r="A229" i="23"/>
  <c r="D229" i="23"/>
  <c r="E229" i="23"/>
  <c r="F229" i="23"/>
  <c r="A230" i="23"/>
  <c r="D230" i="23"/>
  <c r="E230" i="23"/>
  <c r="F230" i="23"/>
  <c r="A231" i="23"/>
  <c r="D231" i="23"/>
  <c r="E231" i="23"/>
  <c r="F231" i="23"/>
  <c r="A232" i="23"/>
  <c r="D232" i="23"/>
  <c r="E232" i="23"/>
  <c r="F232" i="23"/>
  <c r="A233" i="23"/>
  <c r="D233" i="23"/>
  <c r="E233" i="23"/>
  <c r="F233" i="23"/>
  <c r="A234" i="23"/>
  <c r="D234" i="23"/>
  <c r="E234" i="23"/>
  <c r="F234" i="23"/>
  <c r="A235" i="23"/>
  <c r="D235" i="23"/>
  <c r="E235" i="23"/>
  <c r="F235" i="23"/>
  <c r="A236" i="23"/>
  <c r="D236" i="23"/>
  <c r="E236" i="23"/>
  <c r="F236" i="23"/>
  <c r="A237" i="23"/>
  <c r="D237" i="23"/>
  <c r="E237" i="23"/>
  <c r="F237" i="23"/>
  <c r="A238" i="23"/>
  <c r="D238" i="23"/>
  <c r="E238" i="23"/>
  <c r="F238" i="23"/>
  <c r="A239" i="23"/>
  <c r="D239" i="23"/>
  <c r="E239" i="23"/>
  <c r="F239" i="23"/>
  <c r="A240" i="23"/>
  <c r="D240" i="23"/>
  <c r="E240" i="23"/>
  <c r="F240" i="23"/>
  <c r="A241" i="23"/>
  <c r="D241" i="23"/>
  <c r="E241" i="23"/>
  <c r="F241" i="23"/>
  <c r="A242" i="23"/>
  <c r="D242" i="23"/>
  <c r="E242" i="23"/>
  <c r="F242" i="23"/>
  <c r="A243" i="23"/>
  <c r="D243" i="23"/>
  <c r="E243" i="23"/>
  <c r="F243" i="23"/>
  <c r="A244" i="23"/>
  <c r="E244" i="23"/>
  <c r="F244" i="23"/>
  <c r="A245" i="23"/>
  <c r="D245" i="23"/>
  <c r="E245" i="23"/>
  <c r="F245" i="23"/>
  <c r="A246" i="23"/>
  <c r="D246" i="23"/>
  <c r="E246" i="23"/>
  <c r="A247" i="23"/>
  <c r="D247" i="23"/>
  <c r="E247" i="23"/>
  <c r="E254" i="10"/>
  <c r="F247" i="23"/>
  <c r="A248" i="23"/>
  <c r="D248" i="23"/>
  <c r="E248" i="23"/>
  <c r="E255" i="10"/>
  <c r="F248" i="23"/>
  <c r="A249" i="23"/>
  <c r="D249" i="23"/>
  <c r="E249" i="23"/>
  <c r="E256" i="10"/>
  <c r="F249" i="23"/>
  <c r="A250" i="23"/>
  <c r="E250" i="23"/>
  <c r="E257" i="10"/>
  <c r="F250" i="23"/>
  <c r="A251" i="23"/>
  <c r="D251" i="23"/>
  <c r="E251" i="23"/>
  <c r="E258" i="10"/>
  <c r="F251" i="23"/>
  <c r="A252" i="23"/>
  <c r="D252" i="23"/>
  <c r="E252" i="23"/>
  <c r="E259" i="10"/>
  <c r="F252" i="23"/>
  <c r="A253" i="23"/>
  <c r="D253" i="23"/>
  <c r="E253" i="23"/>
  <c r="E260" i="10"/>
  <c r="F253" i="23"/>
  <c r="A254" i="23"/>
  <c r="D254" i="23"/>
  <c r="E254" i="23"/>
  <c r="E261" i="10"/>
  <c r="F254" i="23"/>
  <c r="A255" i="23"/>
  <c r="D255" i="23"/>
  <c r="E255" i="23"/>
  <c r="E262" i="10"/>
  <c r="F255" i="23"/>
  <c r="A12" i="23"/>
  <c r="F12" i="23"/>
  <c r="A13" i="23"/>
  <c r="D13" i="23"/>
  <c r="F13" i="23"/>
  <c r="A14" i="23"/>
  <c r="D14" i="23"/>
  <c r="F14" i="23"/>
  <c r="A15" i="23"/>
  <c r="D15" i="23"/>
  <c r="F15" i="23"/>
  <c r="A16" i="23"/>
  <c r="D16" i="23"/>
  <c r="F16" i="23"/>
  <c r="A17" i="23"/>
  <c r="D17" i="23"/>
  <c r="F17" i="23"/>
  <c r="A18" i="23"/>
  <c r="D18" i="23"/>
  <c r="F18" i="23"/>
  <c r="A19" i="23"/>
  <c r="D19" i="23"/>
  <c r="F19" i="23"/>
  <c r="A20" i="23"/>
  <c r="D20" i="23"/>
  <c r="F20" i="23"/>
  <c r="A21" i="23"/>
  <c r="D21" i="23"/>
  <c r="F21" i="23"/>
  <c r="A22" i="23"/>
  <c r="D22" i="23"/>
  <c r="F22" i="23"/>
  <c r="A23" i="23"/>
  <c r="D23" i="23"/>
  <c r="F23" i="23"/>
  <c r="A24" i="23"/>
  <c r="D24" i="23"/>
  <c r="F24" i="23"/>
  <c r="A25" i="23"/>
  <c r="D25" i="23"/>
  <c r="F25" i="23"/>
  <c r="A26" i="23"/>
  <c r="D26" i="23"/>
  <c r="F26" i="23"/>
  <c r="A27" i="23"/>
  <c r="D27" i="23"/>
  <c r="A28" i="23"/>
  <c r="D28" i="23"/>
  <c r="F28" i="23"/>
  <c r="A29" i="23"/>
  <c r="D29" i="23"/>
  <c r="A30" i="23"/>
  <c r="D30" i="23"/>
  <c r="F30" i="23"/>
  <c r="A31" i="23"/>
  <c r="D31" i="23"/>
  <c r="F31" i="23"/>
  <c r="A32" i="23"/>
  <c r="D32" i="23"/>
  <c r="F32" i="23"/>
  <c r="A33" i="23"/>
  <c r="D33" i="23"/>
  <c r="F33" i="23"/>
  <c r="A34" i="23"/>
  <c r="D34" i="23"/>
  <c r="F34" i="23"/>
  <c r="A35" i="23"/>
  <c r="D35" i="23"/>
  <c r="F35" i="23"/>
  <c r="A36" i="23"/>
  <c r="D36" i="23"/>
  <c r="F36" i="23"/>
  <c r="A37" i="23"/>
  <c r="D37" i="23"/>
  <c r="F37" i="23"/>
  <c r="A38" i="23"/>
  <c r="D38" i="23"/>
  <c r="F38" i="23"/>
  <c r="A39" i="23"/>
  <c r="D39" i="23"/>
  <c r="F39" i="23"/>
  <c r="A40" i="23"/>
  <c r="D40" i="23"/>
  <c r="F40" i="23"/>
  <c r="A41" i="23"/>
  <c r="D41" i="23"/>
  <c r="F41" i="23"/>
  <c r="A42" i="23"/>
  <c r="D42" i="23"/>
  <c r="F42" i="23"/>
  <c r="A43" i="23"/>
  <c r="D43" i="23"/>
  <c r="F43" i="23"/>
  <c r="A44" i="23"/>
  <c r="D44" i="23"/>
  <c r="F44" i="23"/>
  <c r="A45" i="23"/>
  <c r="F45" i="23"/>
  <c r="A46" i="23"/>
  <c r="D46" i="23"/>
  <c r="F46" i="23"/>
  <c r="A47" i="23"/>
  <c r="D47" i="23"/>
  <c r="F47" i="23"/>
  <c r="A48" i="23"/>
  <c r="D48" i="23"/>
  <c r="F48" i="23"/>
  <c r="A49" i="23"/>
  <c r="D49" i="23"/>
  <c r="F49" i="23"/>
  <c r="A50" i="23"/>
  <c r="D50" i="23"/>
  <c r="F50" i="23"/>
  <c r="A51" i="23"/>
  <c r="D51" i="23"/>
  <c r="F51" i="23"/>
  <c r="A52" i="23"/>
  <c r="F52" i="23"/>
  <c r="A53" i="23"/>
  <c r="D53" i="23"/>
  <c r="F53" i="23"/>
  <c r="A54" i="23"/>
  <c r="D54" i="23"/>
  <c r="F54" i="23"/>
  <c r="A55" i="23"/>
  <c r="D55" i="23"/>
  <c r="F55" i="23"/>
  <c r="A56" i="23"/>
  <c r="D56" i="23"/>
  <c r="F56" i="23"/>
  <c r="A57" i="23"/>
  <c r="D57" i="23"/>
  <c r="F57" i="23"/>
  <c r="A58" i="23"/>
  <c r="D58" i="23"/>
  <c r="F58" i="23"/>
  <c r="A59" i="23"/>
  <c r="D59" i="23"/>
  <c r="F59" i="23"/>
  <c r="A60" i="23"/>
  <c r="D60" i="23"/>
  <c r="F60" i="23"/>
  <c r="A61" i="23"/>
  <c r="D61" i="23"/>
  <c r="F61" i="23"/>
  <c r="A62" i="23"/>
  <c r="D62" i="23"/>
  <c r="F62" i="23"/>
  <c r="A63" i="23"/>
  <c r="D63" i="23"/>
  <c r="F63" i="23"/>
  <c r="A64" i="23"/>
  <c r="D64" i="23"/>
  <c r="F64" i="23"/>
  <c r="A65" i="23"/>
  <c r="D65" i="23"/>
  <c r="F65" i="23"/>
  <c r="A66" i="23"/>
  <c r="D66" i="23"/>
  <c r="F66" i="23"/>
  <c r="A67" i="23"/>
  <c r="D67" i="23"/>
  <c r="F67" i="23"/>
  <c r="A68" i="23"/>
  <c r="D68" i="23"/>
  <c r="F68" i="23"/>
  <c r="A69" i="23"/>
  <c r="D69" i="23"/>
  <c r="F69" i="23"/>
  <c r="A70" i="23"/>
  <c r="D70" i="23"/>
  <c r="F70" i="23"/>
  <c r="A71" i="23"/>
  <c r="D71" i="23"/>
  <c r="F71" i="23"/>
  <c r="A72" i="23"/>
  <c r="D72" i="23"/>
  <c r="F72" i="23"/>
  <c r="A73" i="23"/>
  <c r="D73" i="23"/>
  <c r="F73" i="23"/>
  <c r="A74" i="23"/>
  <c r="D74" i="23"/>
  <c r="F74" i="23"/>
  <c r="A75" i="23"/>
  <c r="D75" i="23"/>
  <c r="F75" i="23"/>
  <c r="A76" i="23"/>
  <c r="D76" i="23"/>
  <c r="F76" i="23"/>
  <c r="A77" i="23"/>
  <c r="F77" i="23"/>
  <c r="A78" i="23"/>
  <c r="D78" i="23"/>
  <c r="F78" i="23"/>
  <c r="A79" i="23"/>
  <c r="D79" i="23"/>
  <c r="F79" i="23"/>
  <c r="A80" i="23"/>
  <c r="D80" i="23"/>
  <c r="F80" i="23"/>
  <c r="A81" i="23"/>
  <c r="D81" i="23"/>
  <c r="F81" i="23"/>
  <c r="A82" i="23"/>
  <c r="D82" i="23"/>
  <c r="F82" i="23"/>
  <c r="A83" i="23"/>
  <c r="D83" i="23"/>
  <c r="F83" i="23"/>
  <c r="A84" i="23"/>
  <c r="D84" i="23"/>
  <c r="F84" i="23"/>
  <c r="A85" i="23"/>
  <c r="D85" i="23"/>
  <c r="F85" i="23"/>
  <c r="A86" i="23"/>
  <c r="D86" i="23"/>
  <c r="F86" i="23"/>
  <c r="A87" i="23"/>
  <c r="D87" i="23"/>
  <c r="F87" i="23"/>
  <c r="A88" i="23"/>
  <c r="D88" i="23"/>
  <c r="F88" i="23"/>
  <c r="A89" i="23"/>
  <c r="D89" i="23"/>
  <c r="F89" i="23"/>
  <c r="A90" i="23"/>
  <c r="D90" i="23"/>
  <c r="F90" i="23"/>
  <c r="A91" i="23"/>
  <c r="D91" i="23"/>
  <c r="A92" i="23"/>
  <c r="D92" i="23"/>
  <c r="F92" i="23"/>
  <c r="A93" i="23"/>
  <c r="D93" i="23"/>
  <c r="F93" i="23"/>
  <c r="A94" i="23"/>
  <c r="D94" i="23"/>
  <c r="F94" i="23"/>
  <c r="A95" i="23"/>
  <c r="D95" i="23"/>
  <c r="F95" i="23"/>
  <c r="A96" i="23"/>
  <c r="D96" i="23"/>
  <c r="F96" i="23"/>
  <c r="A97" i="23"/>
  <c r="D97" i="23"/>
  <c r="F97" i="23"/>
  <c r="A98" i="23"/>
  <c r="D98" i="23"/>
  <c r="F98" i="23"/>
  <c r="A99" i="23"/>
  <c r="D99" i="23"/>
  <c r="F99" i="23"/>
  <c r="A100" i="23"/>
  <c r="D100" i="23"/>
  <c r="F100" i="23"/>
  <c r="A101" i="23"/>
  <c r="D101" i="23"/>
  <c r="F101" i="23"/>
  <c r="A102" i="23"/>
  <c r="D102" i="23"/>
  <c r="F102" i="23"/>
  <c r="A103" i="23"/>
  <c r="D103" i="23"/>
  <c r="F103" i="23"/>
  <c r="A104" i="23"/>
  <c r="D104" i="23"/>
  <c r="F104" i="23"/>
  <c r="A105" i="23"/>
  <c r="D105" i="23"/>
  <c r="F105" i="23"/>
  <c r="A106" i="23"/>
  <c r="D106" i="23"/>
  <c r="F106" i="23"/>
  <c r="A107" i="23"/>
  <c r="D107" i="23"/>
  <c r="F107" i="23"/>
  <c r="A108" i="23"/>
  <c r="D108" i="23"/>
  <c r="F108" i="23"/>
  <c r="A109" i="23"/>
  <c r="F109" i="23"/>
  <c r="A110" i="23"/>
  <c r="D110" i="23"/>
  <c r="F110" i="23"/>
  <c r="A111" i="23"/>
  <c r="D111" i="23"/>
  <c r="F111" i="23"/>
  <c r="A112" i="23"/>
  <c r="F112" i="23"/>
  <c r="A113" i="23"/>
  <c r="D113" i="23"/>
  <c r="F113" i="23"/>
  <c r="A114" i="23"/>
  <c r="D114" i="23"/>
  <c r="F114" i="23"/>
  <c r="A115" i="23"/>
  <c r="D115" i="23"/>
  <c r="F115" i="23"/>
  <c r="A116" i="23"/>
  <c r="D116" i="23"/>
  <c r="F116" i="23"/>
  <c r="A117" i="23"/>
  <c r="D117" i="23"/>
  <c r="F117" i="23"/>
  <c r="A118" i="23"/>
  <c r="D118" i="23"/>
  <c r="F118" i="23"/>
  <c r="A119" i="23"/>
  <c r="D119" i="23"/>
  <c r="F119" i="23"/>
  <c r="A120" i="23"/>
  <c r="D120" i="23"/>
  <c r="F120" i="23"/>
  <c r="A121" i="23"/>
  <c r="D121" i="23"/>
  <c r="F121" i="23"/>
  <c r="A122" i="23"/>
  <c r="D122" i="23"/>
  <c r="F122" i="23"/>
  <c r="A123" i="23"/>
  <c r="D123" i="23"/>
  <c r="F123" i="23"/>
  <c r="A124" i="23"/>
  <c r="D124" i="23"/>
  <c r="F124" i="23"/>
  <c r="A125" i="23"/>
  <c r="D125" i="23"/>
  <c r="F125" i="23"/>
  <c r="A126" i="23"/>
  <c r="D126" i="23"/>
  <c r="F126" i="23"/>
  <c r="A127" i="23"/>
  <c r="D127" i="23"/>
  <c r="F127" i="23"/>
  <c r="A128" i="23"/>
  <c r="D128" i="23"/>
  <c r="F128" i="23"/>
  <c r="A129" i="23"/>
  <c r="D129" i="23"/>
  <c r="F129" i="23"/>
  <c r="A130" i="23"/>
  <c r="F130" i="23"/>
  <c r="A131" i="23"/>
  <c r="D131" i="23"/>
  <c r="F131" i="23"/>
  <c r="A132" i="23"/>
  <c r="D132" i="23"/>
  <c r="F132" i="23"/>
  <c r="A133" i="23"/>
  <c r="D133" i="23"/>
  <c r="F133" i="23"/>
  <c r="A134" i="23"/>
  <c r="D134" i="23"/>
  <c r="F134" i="23"/>
  <c r="A135" i="23"/>
  <c r="D135" i="23"/>
  <c r="F135" i="23"/>
  <c r="A136" i="23"/>
  <c r="D136" i="23"/>
  <c r="F136" i="23"/>
  <c r="A137" i="23"/>
  <c r="D137" i="23"/>
  <c r="F137" i="23"/>
  <c r="A138" i="23"/>
  <c r="D138" i="23"/>
  <c r="F138" i="23"/>
  <c r="A139" i="23"/>
  <c r="D139" i="23"/>
  <c r="F139" i="23"/>
  <c r="A140" i="23"/>
  <c r="D140" i="23"/>
  <c r="F140" i="23"/>
  <c r="A141" i="23"/>
  <c r="D141" i="23"/>
  <c r="F141" i="23"/>
  <c r="A142" i="23"/>
  <c r="D142" i="23"/>
  <c r="F142" i="23"/>
  <c r="A143" i="23"/>
  <c r="D143" i="23"/>
  <c r="F143" i="23"/>
  <c r="A144" i="23"/>
  <c r="D144" i="23"/>
  <c r="F144" i="23"/>
  <c r="A145" i="23"/>
  <c r="D145" i="23"/>
  <c r="F145" i="23"/>
  <c r="A146" i="23"/>
  <c r="D146" i="23"/>
  <c r="F146" i="23"/>
  <c r="A147" i="23"/>
  <c r="D147" i="23"/>
  <c r="F147" i="23"/>
  <c r="A148" i="23"/>
  <c r="D148" i="23"/>
  <c r="F148" i="23"/>
  <c r="A149" i="23"/>
  <c r="D149" i="23"/>
  <c r="F149" i="23"/>
  <c r="A150" i="23"/>
  <c r="D150" i="23"/>
  <c r="F150" i="23"/>
  <c r="A151" i="23"/>
  <c r="D151" i="23"/>
  <c r="F151" i="23"/>
  <c r="A152" i="23"/>
  <c r="D152" i="23"/>
  <c r="F152" i="23"/>
  <c r="A153" i="23"/>
  <c r="D153" i="23"/>
  <c r="F153" i="23"/>
  <c r="A154" i="23"/>
  <c r="D154" i="23"/>
  <c r="A155" i="23"/>
  <c r="D155" i="23"/>
  <c r="F155" i="23"/>
  <c r="A156" i="23"/>
  <c r="D156" i="23"/>
  <c r="F156" i="23"/>
  <c r="A157" i="23"/>
  <c r="D157" i="23"/>
  <c r="F157" i="23"/>
  <c r="A158" i="23"/>
  <c r="D158" i="23"/>
  <c r="F158" i="23"/>
  <c r="A159" i="23"/>
  <c r="D159" i="23"/>
  <c r="F159" i="23"/>
  <c r="A160" i="23"/>
  <c r="D160" i="23"/>
  <c r="F160" i="23"/>
  <c r="A161" i="23"/>
  <c r="D161" i="23"/>
  <c r="F161" i="23"/>
  <c r="A162" i="23"/>
  <c r="D162" i="23"/>
  <c r="F162" i="23"/>
  <c r="A163" i="23"/>
  <c r="D163" i="23"/>
  <c r="F163" i="23"/>
  <c r="A164" i="23"/>
  <c r="D164" i="23"/>
  <c r="F164" i="23"/>
  <c r="A165" i="23"/>
  <c r="D165" i="23"/>
  <c r="E165" i="23"/>
  <c r="F165" i="23"/>
  <c r="A166" i="23"/>
  <c r="D166" i="23"/>
  <c r="E166" i="23"/>
  <c r="F166" i="23"/>
  <c r="A167" i="23"/>
  <c r="D167" i="23"/>
  <c r="E167" i="23"/>
  <c r="F167" i="23"/>
  <c r="A168" i="23"/>
  <c r="D168" i="23"/>
  <c r="E168" i="23"/>
  <c r="F168" i="23"/>
  <c r="A169" i="23"/>
  <c r="D169" i="23"/>
  <c r="E169" i="23"/>
  <c r="F169" i="23"/>
  <c r="A170" i="23"/>
  <c r="D170" i="23"/>
  <c r="E170" i="23"/>
  <c r="F170" i="23"/>
  <c r="A171" i="23"/>
  <c r="D171" i="23"/>
  <c r="E171" i="23"/>
  <c r="F171" i="23"/>
  <c r="A172" i="23"/>
  <c r="D172" i="23"/>
  <c r="E172" i="23"/>
  <c r="F172" i="23"/>
  <c r="A173" i="23"/>
  <c r="D173" i="23"/>
  <c r="E173" i="23"/>
  <c r="F173" i="23"/>
  <c r="A11" i="23"/>
  <c r="D11" i="23"/>
  <c r="L51" i="23"/>
  <c r="A5" i="23"/>
  <c r="Y13" i="23"/>
  <c r="B9" i="8"/>
  <c r="A2" i="23"/>
  <c r="AA11" i="22"/>
  <c r="AA12" i="22"/>
  <c r="AA13" i="22"/>
  <c r="AA14" i="22"/>
  <c r="AA15" i="22"/>
  <c r="AA16" i="22"/>
  <c r="AA17" i="22"/>
  <c r="AA18" i="22"/>
  <c r="AA19" i="22"/>
  <c r="AA20" i="22"/>
  <c r="AA21" i="22"/>
  <c r="AA22" i="22"/>
  <c r="AA23" i="22"/>
  <c r="AA24" i="22"/>
  <c r="AA25" i="22"/>
  <c r="AA26" i="22"/>
  <c r="AA27" i="22"/>
  <c r="AA28" i="22"/>
  <c r="AA29" i="22"/>
  <c r="AA30" i="22"/>
  <c r="AA31" i="22"/>
  <c r="AA32" i="22"/>
  <c r="AA33" i="22"/>
  <c r="AA34" i="22"/>
  <c r="AA35" i="22"/>
  <c r="AA36" i="22"/>
  <c r="AA37" i="22"/>
  <c r="AA38" i="22"/>
  <c r="AA39" i="22"/>
  <c r="AA40" i="22"/>
  <c r="AA41" i="22"/>
  <c r="AA42" i="22"/>
  <c r="AA43" i="22"/>
  <c r="AA44" i="22"/>
  <c r="AA45" i="22"/>
  <c r="AA46" i="22"/>
  <c r="AA47" i="22"/>
  <c r="AA48" i="22"/>
  <c r="AA49" i="22"/>
  <c r="AA50" i="22"/>
  <c r="AA51" i="22"/>
  <c r="AA52" i="22"/>
  <c r="AA53" i="22"/>
  <c r="AA54" i="22"/>
  <c r="AA55" i="22"/>
  <c r="AA56" i="22"/>
  <c r="AA57" i="22"/>
  <c r="AA58" i="22"/>
  <c r="AA59" i="22"/>
  <c r="AA60" i="22"/>
  <c r="AA61" i="22"/>
  <c r="AA62" i="22"/>
  <c r="AA63" i="22"/>
  <c r="AA64" i="22"/>
  <c r="AA65" i="22"/>
  <c r="AA66" i="22"/>
  <c r="AA67" i="22"/>
  <c r="AA68" i="22"/>
  <c r="AA69" i="22"/>
  <c r="AA70" i="22"/>
  <c r="AA71" i="22"/>
  <c r="AA72" i="22"/>
  <c r="AA73" i="22"/>
  <c r="AA74" i="22"/>
  <c r="AA75" i="22"/>
  <c r="AA76" i="22"/>
  <c r="AA77" i="22"/>
  <c r="AA78" i="22"/>
  <c r="AA79" i="22"/>
  <c r="AA80" i="22"/>
  <c r="AA81" i="22"/>
  <c r="AA82" i="22"/>
  <c r="AA83" i="22"/>
  <c r="AA84" i="22"/>
  <c r="AA85" i="22"/>
  <c r="AA86" i="22"/>
  <c r="AA87" i="22"/>
  <c r="AA88" i="22"/>
  <c r="AA89" i="22"/>
  <c r="AA90" i="22"/>
  <c r="AA91" i="22"/>
  <c r="AA92" i="22"/>
  <c r="AA93" i="22"/>
  <c r="AA94" i="22"/>
  <c r="AA95" i="22"/>
  <c r="AA96" i="22"/>
  <c r="AA97" i="22"/>
  <c r="AA98" i="22"/>
  <c r="AA99" i="22"/>
  <c r="AA100" i="22"/>
  <c r="AA101" i="22"/>
  <c r="AA102" i="22"/>
  <c r="AA103" i="22"/>
  <c r="AA104" i="22"/>
  <c r="AA105" i="22"/>
  <c r="AA106" i="22"/>
  <c r="AA107" i="22"/>
  <c r="AA108" i="22"/>
  <c r="AA109" i="22"/>
  <c r="AA110" i="22"/>
  <c r="AA111" i="22"/>
  <c r="AA112" i="22"/>
  <c r="AA113" i="22"/>
  <c r="AA114" i="22"/>
  <c r="AA115" i="22"/>
  <c r="AA116" i="22"/>
  <c r="AA117" i="22"/>
  <c r="AA118" i="22"/>
  <c r="AA119" i="22"/>
  <c r="AA120" i="22"/>
  <c r="AA121" i="22"/>
  <c r="AA122" i="22"/>
  <c r="AA123" i="22"/>
  <c r="AA124" i="22"/>
  <c r="AA125" i="22"/>
  <c r="AA126" i="22"/>
  <c r="AA127" i="22"/>
  <c r="AA128" i="22"/>
  <c r="AA129" i="22"/>
  <c r="AA130" i="22"/>
  <c r="AA131" i="22"/>
  <c r="AA132" i="22"/>
  <c r="AA133" i="22"/>
  <c r="AA134" i="22"/>
  <c r="AA135" i="22"/>
  <c r="AA136" i="22"/>
  <c r="AA137" i="22"/>
  <c r="AA138" i="22"/>
  <c r="AA139" i="22"/>
  <c r="AA140" i="22"/>
  <c r="AA141" i="22"/>
  <c r="AA142" i="22"/>
  <c r="AA143" i="22"/>
  <c r="AA144" i="22"/>
  <c r="AA145" i="22"/>
  <c r="AA146" i="22"/>
  <c r="AA147" i="22"/>
  <c r="AA148" i="22"/>
  <c r="AA149" i="22"/>
  <c r="AA150" i="22"/>
  <c r="AA151" i="22"/>
  <c r="AA152" i="22"/>
  <c r="AA153" i="22"/>
  <c r="AA154" i="22"/>
  <c r="AA155" i="22"/>
  <c r="AA156" i="22"/>
  <c r="AA157" i="22"/>
  <c r="AA158" i="22"/>
  <c r="AA159" i="22"/>
  <c r="AA160" i="22"/>
  <c r="AA161" i="22"/>
  <c r="AA162" i="22"/>
  <c r="AA163" i="22"/>
  <c r="AA164" i="22"/>
  <c r="C12" i="22"/>
  <c r="A5" i="22"/>
  <c r="Y12" i="22"/>
  <c r="C15" i="22"/>
  <c r="Y15" i="22"/>
  <c r="C16" i="22"/>
  <c r="Y16" i="22"/>
  <c r="C19" i="22"/>
  <c r="Y19" i="22"/>
  <c r="C20" i="22"/>
  <c r="Y20" i="22"/>
  <c r="C23" i="22"/>
  <c r="Y23" i="22"/>
  <c r="C24" i="22"/>
  <c r="Y24" i="22"/>
  <c r="C27" i="22"/>
  <c r="Y27" i="22"/>
  <c r="C28" i="22"/>
  <c r="Y28" i="22"/>
  <c r="C31" i="22"/>
  <c r="Y31" i="22"/>
  <c r="C32" i="22"/>
  <c r="Y32" i="22"/>
  <c r="C35" i="22"/>
  <c r="Y35" i="22"/>
  <c r="C36" i="22"/>
  <c r="Y36" i="22"/>
  <c r="C13" i="22"/>
  <c r="Y13" i="22"/>
  <c r="R12" i="22"/>
  <c r="R13" i="22"/>
  <c r="R14" i="22"/>
  <c r="R15" i="22"/>
  <c r="R16" i="22"/>
  <c r="R17" i="22"/>
  <c r="R18" i="22"/>
  <c r="R19" i="22"/>
  <c r="R20" i="22"/>
  <c r="R21" i="22"/>
  <c r="R22" i="22"/>
  <c r="R23" i="22"/>
  <c r="R24" i="22"/>
  <c r="R25" i="22"/>
  <c r="R26" i="22"/>
  <c r="R27" i="22"/>
  <c r="R28" i="22"/>
  <c r="R29" i="22"/>
  <c r="R30" i="22"/>
  <c r="R31" i="22"/>
  <c r="R32" i="22"/>
  <c r="R33" i="22"/>
  <c r="R34" i="22"/>
  <c r="R35" i="22"/>
  <c r="R36" i="22"/>
  <c r="R37" i="22"/>
  <c r="R38" i="22"/>
  <c r="R39" i="22"/>
  <c r="R40" i="22"/>
  <c r="R41" i="22"/>
  <c r="R42" i="22"/>
  <c r="R43" i="22"/>
  <c r="R44" i="22"/>
  <c r="R45" i="22"/>
  <c r="R46" i="22"/>
  <c r="R47" i="22"/>
  <c r="R48" i="22"/>
  <c r="R49" i="22"/>
  <c r="R50" i="22"/>
  <c r="R51" i="22"/>
  <c r="R52" i="22"/>
  <c r="R53" i="22"/>
  <c r="R54" i="22"/>
  <c r="R55" i="22"/>
  <c r="R56" i="22"/>
  <c r="R57" i="22"/>
  <c r="R58" i="22"/>
  <c r="R59" i="22"/>
  <c r="R60" i="22"/>
  <c r="R61" i="22"/>
  <c r="R62" i="22"/>
  <c r="R63" i="22"/>
  <c r="R64" i="22"/>
  <c r="R65" i="22"/>
  <c r="R66" i="22"/>
  <c r="R67" i="22"/>
  <c r="R68" i="22"/>
  <c r="R69" i="22"/>
  <c r="R70" i="22"/>
  <c r="R71" i="22"/>
  <c r="R72" i="22"/>
  <c r="R73" i="22"/>
  <c r="R74" i="22"/>
  <c r="R75" i="22"/>
  <c r="R76" i="22"/>
  <c r="R77" i="22"/>
  <c r="R78" i="22"/>
  <c r="R79" i="22"/>
  <c r="R80" i="22"/>
  <c r="R81" i="22"/>
  <c r="R82" i="22"/>
  <c r="R83" i="22"/>
  <c r="R84" i="22"/>
  <c r="R85" i="22"/>
  <c r="R86" i="22"/>
  <c r="R87" i="22"/>
  <c r="R88" i="22"/>
  <c r="R89" i="22"/>
  <c r="R90" i="22"/>
  <c r="R91" i="22"/>
  <c r="R92" i="22"/>
  <c r="R93" i="22"/>
  <c r="R94" i="22"/>
  <c r="R95" i="22"/>
  <c r="R96" i="22"/>
  <c r="R97" i="22"/>
  <c r="R98" i="22"/>
  <c r="R99" i="22"/>
  <c r="R100" i="22"/>
  <c r="R101" i="22"/>
  <c r="R102" i="22"/>
  <c r="R103" i="22"/>
  <c r="R104" i="22"/>
  <c r="R105" i="22"/>
  <c r="R106" i="22"/>
  <c r="R107" i="22"/>
  <c r="R108" i="22"/>
  <c r="R109" i="22"/>
  <c r="R110" i="22"/>
  <c r="R111" i="22"/>
  <c r="R112" i="22"/>
  <c r="R113" i="22"/>
  <c r="R114" i="22"/>
  <c r="R115" i="22"/>
  <c r="R116" i="22"/>
  <c r="R117" i="22"/>
  <c r="R118" i="22"/>
  <c r="R119" i="22"/>
  <c r="R120" i="22"/>
  <c r="R121" i="22"/>
  <c r="R122" i="22"/>
  <c r="R123" i="22"/>
  <c r="R124" i="22"/>
  <c r="R125" i="22"/>
  <c r="R126" i="22"/>
  <c r="R127" i="22"/>
  <c r="R128" i="22"/>
  <c r="R129" i="22"/>
  <c r="R130" i="22"/>
  <c r="R131" i="22"/>
  <c r="R132" i="22"/>
  <c r="R133" i="22"/>
  <c r="R134" i="22"/>
  <c r="R135" i="22"/>
  <c r="R136" i="22"/>
  <c r="R137" i="22"/>
  <c r="R138" i="22"/>
  <c r="R139" i="22"/>
  <c r="R140" i="22"/>
  <c r="R141" i="22"/>
  <c r="R142" i="22"/>
  <c r="R143" i="22"/>
  <c r="R144" i="22"/>
  <c r="R145" i="22"/>
  <c r="R146" i="22"/>
  <c r="R147" i="22"/>
  <c r="R148" i="22"/>
  <c r="R149" i="22"/>
  <c r="R150" i="22"/>
  <c r="R151" i="22"/>
  <c r="R152" i="22"/>
  <c r="R153" i="22"/>
  <c r="R154" i="22"/>
  <c r="R155" i="22"/>
  <c r="R156" i="22"/>
  <c r="R157" i="22"/>
  <c r="R158" i="22"/>
  <c r="R159" i="22"/>
  <c r="R160" i="22"/>
  <c r="R161" i="22"/>
  <c r="R162" i="22"/>
  <c r="R163" i="22"/>
  <c r="R164" i="22"/>
  <c r="R165" i="22"/>
  <c r="R166" i="22"/>
  <c r="R167" i="22"/>
  <c r="R168" i="22"/>
  <c r="R169" i="22"/>
  <c r="R170" i="22"/>
  <c r="R171" i="22"/>
  <c r="R172" i="22"/>
  <c r="R173" i="22"/>
  <c r="R174" i="22"/>
  <c r="R175" i="22"/>
  <c r="R176" i="22"/>
  <c r="R177" i="22"/>
  <c r="R178" i="22"/>
  <c r="R179" i="22"/>
  <c r="R180" i="22"/>
  <c r="R181" i="22"/>
  <c r="R182" i="22"/>
  <c r="R183" i="22"/>
  <c r="R184" i="22"/>
  <c r="R185" i="22"/>
  <c r="R186" i="22"/>
  <c r="R187" i="22"/>
  <c r="R188" i="22"/>
  <c r="R189" i="22"/>
  <c r="R190" i="22"/>
  <c r="R191" i="22"/>
  <c r="R192" i="22"/>
  <c r="R193" i="22"/>
  <c r="R194" i="22"/>
  <c r="R195" i="22"/>
  <c r="R196" i="22"/>
  <c r="R197" i="22"/>
  <c r="R198" i="22"/>
  <c r="R199" i="22"/>
  <c r="R200" i="22"/>
  <c r="R201" i="22"/>
  <c r="R202" i="22"/>
  <c r="R203" i="22"/>
  <c r="R204" i="22"/>
  <c r="R205" i="22"/>
  <c r="R206" i="22"/>
  <c r="R207" i="22"/>
  <c r="R208" i="22"/>
  <c r="R209" i="22"/>
  <c r="R210" i="22"/>
  <c r="R211" i="22"/>
  <c r="R212" i="22"/>
  <c r="R213" i="22"/>
  <c r="R214" i="22"/>
  <c r="R215" i="22"/>
  <c r="R216" i="22"/>
  <c r="R217" i="22"/>
  <c r="R218" i="22"/>
  <c r="R219" i="22"/>
  <c r="R220" i="22"/>
  <c r="R221" i="22"/>
  <c r="R222" i="22"/>
  <c r="R223" i="22"/>
  <c r="R224" i="22"/>
  <c r="R225" i="22"/>
  <c r="R226" i="22"/>
  <c r="R227" i="22"/>
  <c r="R228" i="22"/>
  <c r="R229" i="22"/>
  <c r="R230" i="22"/>
  <c r="R231" i="22"/>
  <c r="R232" i="22"/>
  <c r="R233" i="22"/>
  <c r="R234" i="22"/>
  <c r="R235" i="22"/>
  <c r="R236" i="22"/>
  <c r="R237" i="22"/>
  <c r="R238" i="22"/>
  <c r="R239" i="22"/>
  <c r="R240" i="22"/>
  <c r="R241" i="22"/>
  <c r="R242" i="22"/>
  <c r="R243" i="22"/>
  <c r="R244" i="22"/>
  <c r="R245" i="22"/>
  <c r="R246" i="22"/>
  <c r="R247" i="22"/>
  <c r="R248" i="22"/>
  <c r="R249" i="22"/>
  <c r="R250" i="22"/>
  <c r="R251" i="22"/>
  <c r="R252" i="22"/>
  <c r="R253" i="22"/>
  <c r="R254" i="22"/>
  <c r="R255" i="22"/>
  <c r="R11" i="22"/>
  <c r="D58" i="22"/>
  <c r="C2" i="22"/>
  <c r="J58" i="22"/>
  <c r="D104" i="22"/>
  <c r="J104" i="22"/>
  <c r="D125" i="22"/>
  <c r="J125" i="22"/>
  <c r="D220" i="22"/>
  <c r="J220" i="22"/>
  <c r="B2" i="14"/>
  <c r="B2" i="22"/>
  <c r="O88" i="22"/>
  <c r="B1" i="22"/>
  <c r="A251" i="14"/>
  <c r="A252" i="14"/>
  <c r="A253" i="14"/>
  <c r="A254" i="14"/>
  <c r="A255" i="14"/>
  <c r="B251" i="22"/>
  <c r="H251" i="22"/>
  <c r="C251" i="22"/>
  <c r="I251" i="22"/>
  <c r="B252" i="22"/>
  <c r="H252" i="22"/>
  <c r="C252" i="22"/>
  <c r="I252" i="22"/>
  <c r="B253" i="22"/>
  <c r="H253" i="22"/>
  <c r="C253" i="22"/>
  <c r="I253" i="22"/>
  <c r="B254" i="22"/>
  <c r="H254" i="22"/>
  <c r="C254" i="22"/>
  <c r="I254" i="22"/>
  <c r="B255" i="22"/>
  <c r="H255" i="22"/>
  <c r="C255" i="22"/>
  <c r="I255" i="22"/>
  <c r="A255" i="22"/>
  <c r="D255" i="22"/>
  <c r="E255" i="22"/>
  <c r="F255" i="22"/>
  <c r="A254" i="22"/>
  <c r="D254" i="22"/>
  <c r="E254" i="22"/>
  <c r="F254" i="22"/>
  <c r="A251" i="22"/>
  <c r="D251" i="22"/>
  <c r="E251" i="22"/>
  <c r="F251" i="22"/>
  <c r="A252" i="22"/>
  <c r="D252" i="22"/>
  <c r="E252" i="22"/>
  <c r="F252" i="22"/>
  <c r="A253" i="22"/>
  <c r="D253" i="22"/>
  <c r="E253" i="22"/>
  <c r="F253" i="22"/>
  <c r="B12" i="22"/>
  <c r="H12" i="22"/>
  <c r="I12" i="22"/>
  <c r="B13" i="22"/>
  <c r="H13" i="22"/>
  <c r="I13" i="22"/>
  <c r="B14" i="22"/>
  <c r="H14" i="22"/>
  <c r="C14" i="22"/>
  <c r="I14" i="22"/>
  <c r="B15" i="22"/>
  <c r="H15" i="22"/>
  <c r="I15" i="22"/>
  <c r="B16" i="22"/>
  <c r="H16" i="22"/>
  <c r="I16" i="22"/>
  <c r="B17" i="22"/>
  <c r="H17" i="22"/>
  <c r="C17" i="22"/>
  <c r="I17" i="22"/>
  <c r="B18" i="22"/>
  <c r="H18" i="22"/>
  <c r="C18" i="22"/>
  <c r="I18" i="22"/>
  <c r="B19" i="22"/>
  <c r="H19" i="22"/>
  <c r="I19" i="22"/>
  <c r="B20" i="22"/>
  <c r="H20" i="22"/>
  <c r="I20" i="22"/>
  <c r="B21" i="22"/>
  <c r="H21" i="22"/>
  <c r="C21" i="22"/>
  <c r="I21" i="22"/>
  <c r="B22" i="22"/>
  <c r="H22" i="22"/>
  <c r="C22" i="22"/>
  <c r="I22" i="22"/>
  <c r="B23" i="22"/>
  <c r="H23" i="22"/>
  <c r="I23" i="22"/>
  <c r="B24" i="22"/>
  <c r="H24" i="22"/>
  <c r="I24" i="22"/>
  <c r="B25" i="22"/>
  <c r="H25" i="22"/>
  <c r="C25" i="22"/>
  <c r="I25" i="22"/>
  <c r="B26" i="22"/>
  <c r="H26" i="22"/>
  <c r="C26" i="22"/>
  <c r="I26" i="22"/>
  <c r="B27" i="22"/>
  <c r="H27" i="22"/>
  <c r="I27" i="22"/>
  <c r="B28" i="22"/>
  <c r="H28" i="22"/>
  <c r="I28" i="22"/>
  <c r="B29" i="22"/>
  <c r="H29" i="22"/>
  <c r="C29" i="22"/>
  <c r="I29" i="22"/>
  <c r="B30" i="22"/>
  <c r="H30" i="22"/>
  <c r="C30" i="22"/>
  <c r="I30" i="22"/>
  <c r="B31" i="22"/>
  <c r="H31" i="22"/>
  <c r="I31" i="22"/>
  <c r="B32" i="22"/>
  <c r="H32" i="22"/>
  <c r="I32" i="22"/>
  <c r="B33" i="22"/>
  <c r="H33" i="22"/>
  <c r="C33" i="22"/>
  <c r="I33" i="22"/>
  <c r="B34" i="22"/>
  <c r="H34" i="22"/>
  <c r="C34" i="22"/>
  <c r="I34" i="22"/>
  <c r="B35" i="22"/>
  <c r="H35" i="22"/>
  <c r="I35" i="22"/>
  <c r="B36" i="22"/>
  <c r="H36" i="22"/>
  <c r="I36" i="22"/>
  <c r="B37" i="22"/>
  <c r="H37" i="22"/>
  <c r="C37" i="22"/>
  <c r="I37" i="22"/>
  <c r="B38" i="22"/>
  <c r="H38" i="22"/>
  <c r="C38" i="22"/>
  <c r="I38" i="22"/>
  <c r="B39" i="22"/>
  <c r="H39" i="22"/>
  <c r="C39" i="22"/>
  <c r="I39" i="22"/>
  <c r="B40" i="22"/>
  <c r="H40" i="22"/>
  <c r="C40" i="22"/>
  <c r="I40" i="22"/>
  <c r="B41" i="22"/>
  <c r="H41" i="22"/>
  <c r="C41" i="22"/>
  <c r="I41" i="22"/>
  <c r="B42" i="22"/>
  <c r="H42" i="22"/>
  <c r="C42" i="22"/>
  <c r="I42" i="22"/>
  <c r="B43" i="22"/>
  <c r="H43" i="22"/>
  <c r="C43" i="22"/>
  <c r="I43" i="22"/>
  <c r="B44" i="22"/>
  <c r="H44" i="22"/>
  <c r="C44" i="22"/>
  <c r="I44" i="22"/>
  <c r="B45" i="22"/>
  <c r="H45" i="22"/>
  <c r="C45" i="22"/>
  <c r="I45" i="22"/>
  <c r="B46" i="22"/>
  <c r="H46" i="22"/>
  <c r="C46" i="22"/>
  <c r="I46" i="22"/>
  <c r="B47" i="22"/>
  <c r="H47" i="22"/>
  <c r="C47" i="22"/>
  <c r="I47" i="22"/>
  <c r="B48" i="22"/>
  <c r="H48" i="22"/>
  <c r="C48" i="22"/>
  <c r="I48" i="22"/>
  <c r="B49" i="22"/>
  <c r="H49" i="22"/>
  <c r="C49" i="22"/>
  <c r="I49" i="22"/>
  <c r="B50" i="22"/>
  <c r="H50" i="22"/>
  <c r="C50" i="22"/>
  <c r="I50" i="22"/>
  <c r="B51" i="22"/>
  <c r="H51" i="22"/>
  <c r="C51" i="22"/>
  <c r="I51" i="22"/>
  <c r="B52" i="22"/>
  <c r="H52" i="22"/>
  <c r="C52" i="22"/>
  <c r="I52" i="22"/>
  <c r="B53" i="22"/>
  <c r="H53" i="22"/>
  <c r="C53" i="22"/>
  <c r="I53" i="22"/>
  <c r="B54" i="22"/>
  <c r="H54" i="22"/>
  <c r="C54" i="22"/>
  <c r="I54" i="22"/>
  <c r="B55" i="22"/>
  <c r="H55" i="22"/>
  <c r="C55" i="22"/>
  <c r="I55" i="22"/>
  <c r="B56" i="22"/>
  <c r="H56" i="22"/>
  <c r="C56" i="22"/>
  <c r="I56" i="22"/>
  <c r="B57" i="22"/>
  <c r="H57" i="22"/>
  <c r="C57" i="22"/>
  <c r="I57" i="22"/>
  <c r="B58" i="22"/>
  <c r="H58" i="22"/>
  <c r="C58" i="22"/>
  <c r="I58" i="22"/>
  <c r="B59" i="22"/>
  <c r="H59" i="22"/>
  <c r="C59" i="22"/>
  <c r="I59" i="22"/>
  <c r="B60" i="22"/>
  <c r="H60" i="22"/>
  <c r="C60" i="22"/>
  <c r="I60" i="22"/>
  <c r="B61" i="22"/>
  <c r="H61" i="22"/>
  <c r="C61" i="22"/>
  <c r="I61" i="22"/>
  <c r="B62" i="22"/>
  <c r="H62" i="22"/>
  <c r="C62" i="22"/>
  <c r="I62" i="22"/>
  <c r="B63" i="22"/>
  <c r="H63" i="22"/>
  <c r="C63" i="22"/>
  <c r="I63" i="22"/>
  <c r="B64" i="22"/>
  <c r="H64" i="22"/>
  <c r="C64" i="22"/>
  <c r="I64" i="22"/>
  <c r="B65" i="22"/>
  <c r="H65" i="22"/>
  <c r="C65" i="22"/>
  <c r="I65" i="22"/>
  <c r="B66" i="22"/>
  <c r="H66" i="22"/>
  <c r="C66" i="22"/>
  <c r="I66" i="22"/>
  <c r="B67" i="22"/>
  <c r="H67" i="22"/>
  <c r="C67" i="22"/>
  <c r="I67" i="22"/>
  <c r="B68" i="22"/>
  <c r="H68" i="22"/>
  <c r="C68" i="22"/>
  <c r="I68" i="22"/>
  <c r="B69" i="22"/>
  <c r="H69" i="22"/>
  <c r="C69" i="22"/>
  <c r="I69" i="22"/>
  <c r="B70" i="22"/>
  <c r="H70" i="22"/>
  <c r="C70" i="22"/>
  <c r="I70" i="22"/>
  <c r="B71" i="22"/>
  <c r="H71" i="22"/>
  <c r="C71" i="22"/>
  <c r="I71" i="22"/>
  <c r="B72" i="22"/>
  <c r="H72" i="22"/>
  <c r="C72" i="22"/>
  <c r="I72" i="22"/>
  <c r="B73" i="22"/>
  <c r="H73" i="22"/>
  <c r="C73" i="22"/>
  <c r="I73" i="22"/>
  <c r="B74" i="22"/>
  <c r="H74" i="22"/>
  <c r="C74" i="22"/>
  <c r="I74" i="22"/>
  <c r="B75" i="22"/>
  <c r="H75" i="22"/>
  <c r="C75" i="22"/>
  <c r="I75" i="22"/>
  <c r="B76" i="22"/>
  <c r="H76" i="22"/>
  <c r="C76" i="22"/>
  <c r="I76" i="22"/>
  <c r="B77" i="22"/>
  <c r="H77" i="22"/>
  <c r="C77" i="22"/>
  <c r="I77" i="22"/>
  <c r="B78" i="22"/>
  <c r="H78" i="22"/>
  <c r="C78" i="22"/>
  <c r="I78" i="22"/>
  <c r="B79" i="22"/>
  <c r="H79" i="22"/>
  <c r="C79" i="22"/>
  <c r="I79" i="22"/>
  <c r="B80" i="22"/>
  <c r="H80" i="22"/>
  <c r="C80" i="22"/>
  <c r="I80" i="22"/>
  <c r="B81" i="22"/>
  <c r="H81" i="22"/>
  <c r="C81" i="22"/>
  <c r="I81" i="22"/>
  <c r="B82" i="22"/>
  <c r="H82" i="22"/>
  <c r="C82" i="22"/>
  <c r="I82" i="22"/>
  <c r="B83" i="22"/>
  <c r="H83" i="22"/>
  <c r="C83" i="22"/>
  <c r="I83" i="22"/>
  <c r="B84" i="22"/>
  <c r="H84" i="22"/>
  <c r="C84" i="22"/>
  <c r="I84" i="22"/>
  <c r="B85" i="22"/>
  <c r="H85" i="22"/>
  <c r="C85" i="22"/>
  <c r="I85" i="22"/>
  <c r="B86" i="22"/>
  <c r="H86" i="22"/>
  <c r="C86" i="22"/>
  <c r="I86" i="22"/>
  <c r="B87" i="22"/>
  <c r="H87" i="22"/>
  <c r="C87" i="22"/>
  <c r="I87" i="22"/>
  <c r="B88" i="22"/>
  <c r="H88" i="22"/>
  <c r="C88" i="22"/>
  <c r="I88" i="22"/>
  <c r="B89" i="22"/>
  <c r="H89" i="22"/>
  <c r="C89" i="22"/>
  <c r="I89" i="22"/>
  <c r="B90" i="22"/>
  <c r="H90" i="22"/>
  <c r="C90" i="22"/>
  <c r="I90" i="22"/>
  <c r="B91" i="22"/>
  <c r="H91" i="22"/>
  <c r="C91" i="22"/>
  <c r="I91" i="22"/>
  <c r="B92" i="22"/>
  <c r="H92" i="22"/>
  <c r="C92" i="22"/>
  <c r="I92" i="22"/>
  <c r="B93" i="22"/>
  <c r="H93" i="22"/>
  <c r="C93" i="22"/>
  <c r="I93" i="22"/>
  <c r="B94" i="22"/>
  <c r="H94" i="22"/>
  <c r="C94" i="22"/>
  <c r="I94" i="22"/>
  <c r="B95" i="22"/>
  <c r="H95" i="22"/>
  <c r="C95" i="22"/>
  <c r="I95" i="22"/>
  <c r="B96" i="22"/>
  <c r="H96" i="22"/>
  <c r="C96" i="22"/>
  <c r="I96" i="22"/>
  <c r="B97" i="22"/>
  <c r="H97" i="22"/>
  <c r="C97" i="22"/>
  <c r="I97" i="22"/>
  <c r="B98" i="22"/>
  <c r="H98" i="22"/>
  <c r="C98" i="22"/>
  <c r="I98" i="22"/>
  <c r="B99" i="22"/>
  <c r="H99" i="22"/>
  <c r="C99" i="22"/>
  <c r="I99" i="22"/>
  <c r="B100" i="22"/>
  <c r="H100" i="22"/>
  <c r="C100" i="22"/>
  <c r="I100" i="22"/>
  <c r="B101" i="22"/>
  <c r="H101" i="22"/>
  <c r="C101" i="22"/>
  <c r="I101" i="22"/>
  <c r="B102" i="22"/>
  <c r="H102" i="22"/>
  <c r="C102" i="22"/>
  <c r="I102" i="22"/>
  <c r="B103" i="22"/>
  <c r="H103" i="22"/>
  <c r="C103" i="22"/>
  <c r="I103" i="22"/>
  <c r="B104" i="22"/>
  <c r="H104" i="22"/>
  <c r="C104" i="22"/>
  <c r="I104" i="22"/>
  <c r="B105" i="22"/>
  <c r="H105" i="22"/>
  <c r="C105" i="22"/>
  <c r="I105" i="22"/>
  <c r="B106" i="22"/>
  <c r="H106" i="22"/>
  <c r="C106" i="22"/>
  <c r="I106" i="22"/>
  <c r="B107" i="22"/>
  <c r="H107" i="22"/>
  <c r="C107" i="22"/>
  <c r="I107" i="22"/>
  <c r="B108" i="22"/>
  <c r="H108" i="22"/>
  <c r="C108" i="22"/>
  <c r="I108" i="22"/>
  <c r="B109" i="22"/>
  <c r="H109" i="22"/>
  <c r="C109" i="22"/>
  <c r="I109" i="22"/>
  <c r="B110" i="22"/>
  <c r="H110" i="22"/>
  <c r="C110" i="22"/>
  <c r="I110" i="22"/>
  <c r="B111" i="22"/>
  <c r="H111" i="22"/>
  <c r="C111" i="22"/>
  <c r="I111" i="22"/>
  <c r="B112" i="22"/>
  <c r="H112" i="22"/>
  <c r="C112" i="22"/>
  <c r="I112" i="22"/>
  <c r="B113" i="22"/>
  <c r="H113" i="22"/>
  <c r="C113" i="22"/>
  <c r="I113" i="22"/>
  <c r="B114" i="22"/>
  <c r="H114" i="22"/>
  <c r="C114" i="22"/>
  <c r="I114" i="22"/>
  <c r="B115" i="22"/>
  <c r="H115" i="22"/>
  <c r="C115" i="22"/>
  <c r="I115" i="22"/>
  <c r="B116" i="22"/>
  <c r="H116" i="22"/>
  <c r="C116" i="22"/>
  <c r="I116" i="22"/>
  <c r="B117" i="22"/>
  <c r="H117" i="22"/>
  <c r="C117" i="22"/>
  <c r="I117" i="22"/>
  <c r="B118" i="22"/>
  <c r="H118" i="22"/>
  <c r="C118" i="22"/>
  <c r="I118" i="22"/>
  <c r="B119" i="22"/>
  <c r="H119" i="22"/>
  <c r="C119" i="22"/>
  <c r="I119" i="22"/>
  <c r="B120" i="22"/>
  <c r="H120" i="22"/>
  <c r="C120" i="22"/>
  <c r="I120" i="22"/>
  <c r="B121" i="22"/>
  <c r="H121" i="22"/>
  <c r="C121" i="22"/>
  <c r="I121" i="22"/>
  <c r="B122" i="22"/>
  <c r="H122" i="22"/>
  <c r="C122" i="22"/>
  <c r="I122" i="22"/>
  <c r="B123" i="22"/>
  <c r="H123" i="22"/>
  <c r="C123" i="22"/>
  <c r="I123" i="22"/>
  <c r="B124" i="22"/>
  <c r="H124" i="22"/>
  <c r="C124" i="22"/>
  <c r="I124" i="22"/>
  <c r="B125" i="22"/>
  <c r="H125" i="22"/>
  <c r="C125" i="22"/>
  <c r="I125" i="22"/>
  <c r="B126" i="22"/>
  <c r="H126" i="22"/>
  <c r="C126" i="22"/>
  <c r="I126" i="22"/>
  <c r="B127" i="22"/>
  <c r="H127" i="22"/>
  <c r="C127" i="22"/>
  <c r="I127" i="22"/>
  <c r="B128" i="22"/>
  <c r="H128" i="22"/>
  <c r="C128" i="22"/>
  <c r="I128" i="22"/>
  <c r="B129" i="22"/>
  <c r="H129" i="22"/>
  <c r="C129" i="22"/>
  <c r="I129" i="22"/>
  <c r="B130" i="22"/>
  <c r="H130" i="22"/>
  <c r="C130" i="22"/>
  <c r="I130" i="22"/>
  <c r="B131" i="22"/>
  <c r="H131" i="22"/>
  <c r="C131" i="22"/>
  <c r="I131" i="22"/>
  <c r="B132" i="22"/>
  <c r="H132" i="22"/>
  <c r="C132" i="22"/>
  <c r="I132" i="22"/>
  <c r="B133" i="22"/>
  <c r="H133" i="22"/>
  <c r="C133" i="22"/>
  <c r="I133" i="22"/>
  <c r="B134" i="22"/>
  <c r="H134" i="22"/>
  <c r="C134" i="22"/>
  <c r="I134" i="22"/>
  <c r="B135" i="22"/>
  <c r="H135" i="22"/>
  <c r="C135" i="22"/>
  <c r="I135" i="22"/>
  <c r="B136" i="22"/>
  <c r="H136" i="22"/>
  <c r="C136" i="22"/>
  <c r="I136" i="22"/>
  <c r="B137" i="22"/>
  <c r="H137" i="22"/>
  <c r="C137" i="22"/>
  <c r="I137" i="22"/>
  <c r="B138" i="22"/>
  <c r="H138" i="22"/>
  <c r="C138" i="22"/>
  <c r="I138" i="22"/>
  <c r="B139" i="22"/>
  <c r="H139" i="22"/>
  <c r="C139" i="22"/>
  <c r="I139" i="22"/>
  <c r="B140" i="22"/>
  <c r="H140" i="22"/>
  <c r="C140" i="22"/>
  <c r="I140" i="22"/>
  <c r="B141" i="22"/>
  <c r="H141" i="22"/>
  <c r="C141" i="22"/>
  <c r="I141" i="22"/>
  <c r="B142" i="22"/>
  <c r="H142" i="22"/>
  <c r="C142" i="22"/>
  <c r="I142" i="22"/>
  <c r="B143" i="22"/>
  <c r="H143" i="22"/>
  <c r="C143" i="22"/>
  <c r="I143" i="22"/>
  <c r="B144" i="22"/>
  <c r="H144" i="22"/>
  <c r="C144" i="22"/>
  <c r="I144" i="22"/>
  <c r="B145" i="22"/>
  <c r="H145" i="22"/>
  <c r="C145" i="22"/>
  <c r="I145" i="22"/>
  <c r="B146" i="22"/>
  <c r="H146" i="22"/>
  <c r="C146" i="22"/>
  <c r="I146" i="22"/>
  <c r="B147" i="22"/>
  <c r="H147" i="22"/>
  <c r="C147" i="22"/>
  <c r="I147" i="22"/>
  <c r="B148" i="22"/>
  <c r="H148" i="22"/>
  <c r="C148" i="22"/>
  <c r="I148" i="22"/>
  <c r="B149" i="22"/>
  <c r="H149" i="22"/>
  <c r="C149" i="22"/>
  <c r="I149" i="22"/>
  <c r="B150" i="22"/>
  <c r="H150" i="22"/>
  <c r="C150" i="22"/>
  <c r="I150" i="22"/>
  <c r="B151" i="22"/>
  <c r="H151" i="22"/>
  <c r="C151" i="22"/>
  <c r="I151" i="22"/>
  <c r="B152" i="22"/>
  <c r="H152" i="22"/>
  <c r="C152" i="22"/>
  <c r="I152" i="22"/>
  <c r="B153" i="22"/>
  <c r="H153" i="22"/>
  <c r="C153" i="22"/>
  <c r="I153" i="22"/>
  <c r="B154" i="22"/>
  <c r="H154" i="22"/>
  <c r="C154" i="22"/>
  <c r="I154" i="22"/>
  <c r="B155" i="22"/>
  <c r="H155" i="22"/>
  <c r="C155" i="22"/>
  <c r="I155" i="22"/>
  <c r="B156" i="22"/>
  <c r="H156" i="22"/>
  <c r="C156" i="22"/>
  <c r="I156" i="22"/>
  <c r="B157" i="22"/>
  <c r="H157" i="22"/>
  <c r="C157" i="22"/>
  <c r="I157" i="22"/>
  <c r="B158" i="22"/>
  <c r="H158" i="22"/>
  <c r="C158" i="22"/>
  <c r="I158" i="22"/>
  <c r="B159" i="22"/>
  <c r="H159" i="22"/>
  <c r="C159" i="22"/>
  <c r="I159" i="22"/>
  <c r="B160" i="22"/>
  <c r="H160" i="22"/>
  <c r="C160" i="22"/>
  <c r="I160" i="22"/>
  <c r="B161" i="22"/>
  <c r="H161" i="22"/>
  <c r="C161" i="22"/>
  <c r="I161" i="22"/>
  <c r="B162" i="22"/>
  <c r="H162" i="22"/>
  <c r="C162" i="22"/>
  <c r="I162" i="22"/>
  <c r="B163" i="22"/>
  <c r="H163" i="22"/>
  <c r="C163" i="22"/>
  <c r="I163" i="22"/>
  <c r="B164" i="22"/>
  <c r="H164" i="22"/>
  <c r="C164" i="22"/>
  <c r="I164" i="22"/>
  <c r="B165" i="22"/>
  <c r="H165" i="22"/>
  <c r="C165" i="22"/>
  <c r="I165" i="22"/>
  <c r="B166" i="22"/>
  <c r="H166" i="22"/>
  <c r="C166" i="22"/>
  <c r="I166" i="22"/>
  <c r="B167" i="22"/>
  <c r="H167" i="22"/>
  <c r="C167" i="22"/>
  <c r="I167" i="22"/>
  <c r="B168" i="22"/>
  <c r="H168" i="22"/>
  <c r="C168" i="22"/>
  <c r="I168" i="22"/>
  <c r="B169" i="22"/>
  <c r="H169" i="22"/>
  <c r="C169" i="22"/>
  <c r="I169" i="22"/>
  <c r="B170" i="22"/>
  <c r="H170" i="22"/>
  <c r="C170" i="22"/>
  <c r="I170" i="22"/>
  <c r="B171" i="22"/>
  <c r="H171" i="22"/>
  <c r="C171" i="22"/>
  <c r="I171" i="22"/>
  <c r="B172" i="22"/>
  <c r="H172" i="22"/>
  <c r="C172" i="22"/>
  <c r="I172" i="22"/>
  <c r="B173" i="22"/>
  <c r="H173" i="22"/>
  <c r="C173" i="22"/>
  <c r="I173" i="22"/>
  <c r="B174" i="22"/>
  <c r="H174" i="22"/>
  <c r="C174" i="22"/>
  <c r="I174" i="22"/>
  <c r="B175" i="22"/>
  <c r="H175" i="22"/>
  <c r="C175" i="22"/>
  <c r="I175" i="22"/>
  <c r="B176" i="22"/>
  <c r="H176" i="22"/>
  <c r="C176" i="22"/>
  <c r="I176" i="22"/>
  <c r="B177" i="22"/>
  <c r="H177" i="22"/>
  <c r="C177" i="22"/>
  <c r="I177" i="22"/>
  <c r="B178" i="22"/>
  <c r="H178" i="22"/>
  <c r="C178" i="22"/>
  <c r="I178" i="22"/>
  <c r="B179" i="22"/>
  <c r="H179" i="22"/>
  <c r="C179" i="22"/>
  <c r="I179" i="22"/>
  <c r="B180" i="22"/>
  <c r="H180" i="22"/>
  <c r="C180" i="22"/>
  <c r="I180" i="22"/>
  <c r="B181" i="22"/>
  <c r="H181" i="22"/>
  <c r="C181" i="22"/>
  <c r="I181" i="22"/>
  <c r="B182" i="22"/>
  <c r="H182" i="22"/>
  <c r="C182" i="22"/>
  <c r="I182" i="22"/>
  <c r="B183" i="22"/>
  <c r="H183" i="22"/>
  <c r="C183" i="22"/>
  <c r="I183" i="22"/>
  <c r="B184" i="22"/>
  <c r="H184" i="22"/>
  <c r="C184" i="22"/>
  <c r="I184" i="22"/>
  <c r="B185" i="22"/>
  <c r="H185" i="22"/>
  <c r="C185" i="22"/>
  <c r="I185" i="22"/>
  <c r="B186" i="22"/>
  <c r="H186" i="22"/>
  <c r="C186" i="22"/>
  <c r="I186" i="22"/>
  <c r="B187" i="22"/>
  <c r="H187" i="22"/>
  <c r="C187" i="22"/>
  <c r="I187" i="22"/>
  <c r="B188" i="22"/>
  <c r="H188" i="22"/>
  <c r="C188" i="22"/>
  <c r="I188" i="22"/>
  <c r="B189" i="22"/>
  <c r="H189" i="22"/>
  <c r="C189" i="22"/>
  <c r="I189" i="22"/>
  <c r="B190" i="22"/>
  <c r="H190" i="22"/>
  <c r="C190" i="22"/>
  <c r="I190" i="22"/>
  <c r="B191" i="22"/>
  <c r="H191" i="22"/>
  <c r="C191" i="22"/>
  <c r="I191" i="22"/>
  <c r="B192" i="22"/>
  <c r="H192" i="22"/>
  <c r="C192" i="22"/>
  <c r="I192" i="22"/>
  <c r="B193" i="22"/>
  <c r="H193" i="22"/>
  <c r="C193" i="22"/>
  <c r="I193" i="22"/>
  <c r="B194" i="22"/>
  <c r="H194" i="22"/>
  <c r="C194" i="22"/>
  <c r="I194" i="22"/>
  <c r="B195" i="22"/>
  <c r="H195" i="22"/>
  <c r="C195" i="22"/>
  <c r="I195" i="22"/>
  <c r="B196" i="22"/>
  <c r="H196" i="22"/>
  <c r="C196" i="22"/>
  <c r="I196" i="22"/>
  <c r="B197" i="22"/>
  <c r="H197" i="22"/>
  <c r="C197" i="22"/>
  <c r="I197" i="22"/>
  <c r="B198" i="22"/>
  <c r="H198" i="22"/>
  <c r="C198" i="22"/>
  <c r="I198" i="22"/>
  <c r="B199" i="22"/>
  <c r="H199" i="22"/>
  <c r="C199" i="22"/>
  <c r="I199" i="22"/>
  <c r="B200" i="22"/>
  <c r="H200" i="22"/>
  <c r="C200" i="22"/>
  <c r="I200" i="22"/>
  <c r="B201" i="22"/>
  <c r="H201" i="22"/>
  <c r="C201" i="22"/>
  <c r="I201" i="22"/>
  <c r="B202" i="22"/>
  <c r="H202" i="22"/>
  <c r="C202" i="22"/>
  <c r="I202" i="22"/>
  <c r="B203" i="22"/>
  <c r="H203" i="22"/>
  <c r="C203" i="22"/>
  <c r="I203" i="22"/>
  <c r="B204" i="22"/>
  <c r="H204" i="22"/>
  <c r="C204" i="22"/>
  <c r="I204" i="22"/>
  <c r="B205" i="22"/>
  <c r="H205" i="22"/>
  <c r="C205" i="22"/>
  <c r="I205" i="22"/>
  <c r="B206" i="22"/>
  <c r="H206" i="22"/>
  <c r="C206" i="22"/>
  <c r="I206" i="22"/>
  <c r="B207" i="22"/>
  <c r="H207" i="22"/>
  <c r="C207" i="22"/>
  <c r="I207" i="22"/>
  <c r="B208" i="22"/>
  <c r="H208" i="22"/>
  <c r="C208" i="22"/>
  <c r="I208" i="22"/>
  <c r="B209" i="22"/>
  <c r="H209" i="22"/>
  <c r="C209" i="22"/>
  <c r="I209" i="22"/>
  <c r="B210" i="22"/>
  <c r="H210" i="22"/>
  <c r="C210" i="22"/>
  <c r="I210" i="22"/>
  <c r="B211" i="22"/>
  <c r="H211" i="22"/>
  <c r="C211" i="22"/>
  <c r="I211" i="22"/>
  <c r="B212" i="22"/>
  <c r="H212" i="22"/>
  <c r="C212" i="22"/>
  <c r="I212" i="22"/>
  <c r="B213" i="22"/>
  <c r="H213" i="22"/>
  <c r="C213" i="22"/>
  <c r="I213" i="22"/>
  <c r="B214" i="22"/>
  <c r="H214" i="22"/>
  <c r="C214" i="22"/>
  <c r="I214" i="22"/>
  <c r="B215" i="22"/>
  <c r="H215" i="22"/>
  <c r="C215" i="22"/>
  <c r="I215" i="22"/>
  <c r="B216" i="22"/>
  <c r="H216" i="22"/>
  <c r="C216" i="22"/>
  <c r="I216" i="22"/>
  <c r="B217" i="22"/>
  <c r="H217" i="22"/>
  <c r="C217" i="22"/>
  <c r="I217" i="22"/>
  <c r="B218" i="22"/>
  <c r="H218" i="22"/>
  <c r="C218" i="22"/>
  <c r="I218" i="22"/>
  <c r="B219" i="22"/>
  <c r="H219" i="22"/>
  <c r="C219" i="22"/>
  <c r="I219" i="22"/>
  <c r="B220" i="22"/>
  <c r="H220" i="22"/>
  <c r="C220" i="22"/>
  <c r="I220" i="22"/>
  <c r="B221" i="22"/>
  <c r="H221" i="22"/>
  <c r="C221" i="22"/>
  <c r="I221" i="22"/>
  <c r="B222" i="22"/>
  <c r="H222" i="22"/>
  <c r="C222" i="22"/>
  <c r="I222" i="22"/>
  <c r="B223" i="22"/>
  <c r="H223" i="22"/>
  <c r="C223" i="22"/>
  <c r="I223" i="22"/>
  <c r="B224" i="22"/>
  <c r="H224" i="22"/>
  <c r="C224" i="22"/>
  <c r="I224" i="22"/>
  <c r="B225" i="22"/>
  <c r="H225" i="22"/>
  <c r="C225" i="22"/>
  <c r="I225" i="22"/>
  <c r="B226" i="22"/>
  <c r="H226" i="22"/>
  <c r="C226" i="22"/>
  <c r="I226" i="22"/>
  <c r="B227" i="22"/>
  <c r="H227" i="22"/>
  <c r="C227" i="22"/>
  <c r="I227" i="22"/>
  <c r="B228" i="22"/>
  <c r="H228" i="22"/>
  <c r="C228" i="22"/>
  <c r="I228" i="22"/>
  <c r="B229" i="22"/>
  <c r="H229" i="22"/>
  <c r="C229" i="22"/>
  <c r="I229" i="22"/>
  <c r="B230" i="22"/>
  <c r="H230" i="22"/>
  <c r="C230" i="22"/>
  <c r="I230" i="22"/>
  <c r="B231" i="22"/>
  <c r="H231" i="22"/>
  <c r="C231" i="22"/>
  <c r="I231" i="22"/>
  <c r="B232" i="22"/>
  <c r="H232" i="22"/>
  <c r="C232" i="22"/>
  <c r="I232" i="22"/>
  <c r="B233" i="22"/>
  <c r="H233" i="22"/>
  <c r="C233" i="22"/>
  <c r="I233" i="22"/>
  <c r="B234" i="22"/>
  <c r="H234" i="22"/>
  <c r="C234" i="22"/>
  <c r="I234" i="22"/>
  <c r="B235" i="22"/>
  <c r="H235" i="22"/>
  <c r="C235" i="22"/>
  <c r="I235" i="22"/>
  <c r="B236" i="22"/>
  <c r="H236" i="22"/>
  <c r="C236" i="22"/>
  <c r="I236" i="22"/>
  <c r="B237" i="22"/>
  <c r="H237" i="22"/>
  <c r="C237" i="22"/>
  <c r="I237" i="22"/>
  <c r="B238" i="22"/>
  <c r="H238" i="22"/>
  <c r="C238" i="22"/>
  <c r="I238" i="22"/>
  <c r="B239" i="22"/>
  <c r="H239" i="22"/>
  <c r="C239" i="22"/>
  <c r="I239" i="22"/>
  <c r="B240" i="22"/>
  <c r="H240" i="22"/>
  <c r="C240" i="22"/>
  <c r="I240" i="22"/>
  <c r="B241" i="22"/>
  <c r="H241" i="22"/>
  <c r="C241" i="22"/>
  <c r="I241" i="22"/>
  <c r="B242" i="22"/>
  <c r="H242" i="22"/>
  <c r="C242" i="22"/>
  <c r="I242" i="22"/>
  <c r="B243" i="22"/>
  <c r="H243" i="22"/>
  <c r="C243" i="22"/>
  <c r="I243" i="22"/>
  <c r="B244" i="22"/>
  <c r="H244" i="22"/>
  <c r="C244" i="22"/>
  <c r="I244" i="22"/>
  <c r="B245" i="22"/>
  <c r="H245" i="22"/>
  <c r="C245" i="22"/>
  <c r="I245" i="22"/>
  <c r="B246" i="22"/>
  <c r="H246" i="22"/>
  <c r="C246" i="22"/>
  <c r="I246" i="22"/>
  <c r="B247" i="22"/>
  <c r="H247" i="22"/>
  <c r="C247" i="22"/>
  <c r="I247" i="22"/>
  <c r="B248" i="22"/>
  <c r="H248" i="22"/>
  <c r="C248" i="22"/>
  <c r="I248" i="22"/>
  <c r="B249" i="22"/>
  <c r="H249" i="22"/>
  <c r="C249" i="22"/>
  <c r="I249" i="22"/>
  <c r="B250" i="22"/>
  <c r="H250" i="22"/>
  <c r="C250" i="22"/>
  <c r="I250" i="22"/>
  <c r="C11" i="22"/>
  <c r="I11" i="22"/>
  <c r="B11" i="22"/>
  <c r="H11" i="22"/>
  <c r="F250" i="22"/>
  <c r="E250" i="22"/>
  <c r="D250" i="22"/>
  <c r="A250" i="22"/>
  <c r="F249" i="22"/>
  <c r="E249" i="22"/>
  <c r="D249" i="22"/>
  <c r="A249" i="22"/>
  <c r="F248" i="22"/>
  <c r="E248" i="22"/>
  <c r="D248" i="22"/>
  <c r="A248" i="22"/>
  <c r="F247" i="22"/>
  <c r="E247" i="22"/>
  <c r="D247" i="22"/>
  <c r="A247" i="22"/>
  <c r="F246" i="22"/>
  <c r="E246" i="22"/>
  <c r="D246" i="22"/>
  <c r="A246" i="22"/>
  <c r="F245" i="22"/>
  <c r="E245" i="22"/>
  <c r="D245" i="22"/>
  <c r="A245" i="22"/>
  <c r="F244" i="22"/>
  <c r="E244" i="22"/>
  <c r="D244" i="22"/>
  <c r="A244" i="22"/>
  <c r="F243" i="22"/>
  <c r="E243" i="22"/>
  <c r="D243" i="22"/>
  <c r="A243" i="22"/>
  <c r="F242" i="22"/>
  <c r="E242" i="22"/>
  <c r="D242" i="22"/>
  <c r="A242" i="22"/>
  <c r="F241" i="22"/>
  <c r="E241" i="22"/>
  <c r="D241" i="22"/>
  <c r="A241" i="22"/>
  <c r="F240" i="22"/>
  <c r="E240" i="22"/>
  <c r="D240" i="22"/>
  <c r="A240" i="22"/>
  <c r="F239" i="22"/>
  <c r="E239" i="22"/>
  <c r="D239" i="22"/>
  <c r="A239" i="22"/>
  <c r="F238" i="22"/>
  <c r="E238" i="22"/>
  <c r="D238" i="22"/>
  <c r="A238" i="22"/>
  <c r="F237" i="22"/>
  <c r="E237" i="22"/>
  <c r="D237" i="22"/>
  <c r="A237" i="22"/>
  <c r="F236" i="22"/>
  <c r="E236" i="22"/>
  <c r="D236" i="22"/>
  <c r="A236" i="22"/>
  <c r="F235" i="22"/>
  <c r="E235" i="22"/>
  <c r="D235" i="22"/>
  <c r="A235" i="22"/>
  <c r="F234" i="22"/>
  <c r="E234" i="22"/>
  <c r="D234" i="22"/>
  <c r="A234" i="22"/>
  <c r="F233" i="22"/>
  <c r="E233" i="22"/>
  <c r="D233" i="22"/>
  <c r="A233" i="22"/>
  <c r="F232" i="22"/>
  <c r="E232" i="22"/>
  <c r="D232" i="22"/>
  <c r="A232" i="22"/>
  <c r="F231" i="22"/>
  <c r="E231" i="22"/>
  <c r="D231" i="22"/>
  <c r="A231" i="22"/>
  <c r="F230" i="22"/>
  <c r="E230" i="22"/>
  <c r="D230" i="22"/>
  <c r="A230" i="22"/>
  <c r="F229" i="22"/>
  <c r="E229" i="22"/>
  <c r="D229" i="22"/>
  <c r="A229" i="22"/>
  <c r="F228" i="22"/>
  <c r="E228" i="22"/>
  <c r="D228" i="22"/>
  <c r="A228" i="22"/>
  <c r="F227" i="22"/>
  <c r="E227" i="22"/>
  <c r="D227" i="22"/>
  <c r="A227" i="22"/>
  <c r="F226" i="22"/>
  <c r="E226" i="22"/>
  <c r="D226" i="22"/>
  <c r="A226" i="22"/>
  <c r="F225" i="22"/>
  <c r="E225" i="22"/>
  <c r="D225" i="22"/>
  <c r="A225" i="22"/>
  <c r="F224" i="22"/>
  <c r="E224" i="22"/>
  <c r="D224" i="22"/>
  <c r="A224" i="22"/>
  <c r="F223" i="22"/>
  <c r="E223" i="22"/>
  <c r="D223" i="22"/>
  <c r="A223" i="22"/>
  <c r="F222" i="22"/>
  <c r="E222" i="22"/>
  <c r="D222" i="22"/>
  <c r="A222" i="22"/>
  <c r="F221" i="22"/>
  <c r="E221" i="22"/>
  <c r="D221" i="22"/>
  <c r="A221" i="22"/>
  <c r="F220" i="22"/>
  <c r="E220" i="22"/>
  <c r="A220" i="22"/>
  <c r="F219" i="22"/>
  <c r="E219" i="22"/>
  <c r="D219" i="22"/>
  <c r="A219" i="22"/>
  <c r="F218" i="22"/>
  <c r="E218" i="22"/>
  <c r="D218" i="22"/>
  <c r="A218" i="22"/>
  <c r="F217" i="22"/>
  <c r="E217" i="22"/>
  <c r="D217" i="22"/>
  <c r="A217" i="22"/>
  <c r="F216" i="22"/>
  <c r="E216" i="22"/>
  <c r="D216" i="22"/>
  <c r="A216" i="22"/>
  <c r="F215" i="22"/>
  <c r="E215" i="22"/>
  <c r="D215" i="22"/>
  <c r="A215" i="22"/>
  <c r="F214" i="22"/>
  <c r="E214" i="22"/>
  <c r="D214" i="22"/>
  <c r="A214" i="22"/>
  <c r="F213" i="22"/>
  <c r="E213" i="22"/>
  <c r="D213" i="22"/>
  <c r="A213" i="22"/>
  <c r="F212" i="22"/>
  <c r="E212" i="22"/>
  <c r="D212" i="22"/>
  <c r="A212" i="22"/>
  <c r="F211" i="22"/>
  <c r="E211" i="22"/>
  <c r="D211" i="22"/>
  <c r="A211" i="22"/>
  <c r="F210" i="22"/>
  <c r="E210" i="22"/>
  <c r="D210" i="22"/>
  <c r="A210" i="22"/>
  <c r="F209" i="22"/>
  <c r="E209" i="22"/>
  <c r="D209" i="22"/>
  <c r="A209" i="22"/>
  <c r="F208" i="22"/>
  <c r="E208" i="22"/>
  <c r="D208" i="22"/>
  <c r="A208" i="22"/>
  <c r="F207" i="22"/>
  <c r="E207" i="22"/>
  <c r="D207" i="22"/>
  <c r="A207" i="22"/>
  <c r="F206" i="22"/>
  <c r="E206" i="22"/>
  <c r="D206" i="22"/>
  <c r="A206" i="22"/>
  <c r="F205" i="22"/>
  <c r="E205" i="22"/>
  <c r="D205" i="22"/>
  <c r="A205" i="22"/>
  <c r="F204" i="22"/>
  <c r="E204" i="22"/>
  <c r="D204" i="22"/>
  <c r="A204" i="22"/>
  <c r="F203" i="22"/>
  <c r="E203" i="22"/>
  <c r="D203" i="22"/>
  <c r="A203" i="22"/>
  <c r="F202" i="22"/>
  <c r="E202" i="22"/>
  <c r="D202" i="22"/>
  <c r="A202" i="22"/>
  <c r="F201" i="22"/>
  <c r="E201" i="22"/>
  <c r="D201" i="22"/>
  <c r="A201" i="22"/>
  <c r="F200" i="22"/>
  <c r="E200" i="22"/>
  <c r="D200" i="22"/>
  <c r="A200" i="22"/>
  <c r="F199" i="22"/>
  <c r="E199" i="22"/>
  <c r="D199" i="22"/>
  <c r="A199" i="22"/>
  <c r="F198" i="22"/>
  <c r="E198" i="22"/>
  <c r="D198" i="22"/>
  <c r="A198" i="22"/>
  <c r="F197" i="22"/>
  <c r="E197" i="22"/>
  <c r="D197" i="22"/>
  <c r="A197" i="22"/>
  <c r="F196" i="22"/>
  <c r="E196" i="22"/>
  <c r="D196" i="22"/>
  <c r="A196" i="22"/>
  <c r="F195" i="22"/>
  <c r="E195" i="22"/>
  <c r="D195" i="22"/>
  <c r="A195" i="22"/>
  <c r="F194" i="22"/>
  <c r="E194" i="22"/>
  <c r="D194" i="22"/>
  <c r="A194" i="22"/>
  <c r="F193" i="22"/>
  <c r="E193" i="22"/>
  <c r="D193" i="22"/>
  <c r="A193" i="22"/>
  <c r="F192" i="22"/>
  <c r="E192" i="22"/>
  <c r="D192" i="22"/>
  <c r="A192" i="22"/>
  <c r="F191" i="22"/>
  <c r="E191" i="22"/>
  <c r="D191" i="22"/>
  <c r="A191" i="22"/>
  <c r="F190" i="22"/>
  <c r="E190" i="22"/>
  <c r="D190" i="22"/>
  <c r="A190" i="22"/>
  <c r="F189" i="22"/>
  <c r="E189" i="22"/>
  <c r="D189" i="22"/>
  <c r="A189" i="22"/>
  <c r="F188" i="22"/>
  <c r="E188" i="22"/>
  <c r="D188" i="22"/>
  <c r="A188" i="22"/>
  <c r="F187" i="22"/>
  <c r="E187" i="22"/>
  <c r="D187" i="22"/>
  <c r="A187" i="22"/>
  <c r="F186" i="22"/>
  <c r="E186" i="22"/>
  <c r="D186" i="22"/>
  <c r="A186" i="22"/>
  <c r="F185" i="22"/>
  <c r="E185" i="22"/>
  <c r="D185" i="22"/>
  <c r="A185" i="22"/>
  <c r="F184" i="22"/>
  <c r="E184" i="22"/>
  <c r="D184" i="22"/>
  <c r="A184" i="22"/>
  <c r="F183" i="22"/>
  <c r="E183" i="22"/>
  <c r="D183" i="22"/>
  <c r="A183" i="22"/>
  <c r="F182" i="22"/>
  <c r="E182" i="22"/>
  <c r="D182" i="22"/>
  <c r="A182" i="22"/>
  <c r="F181" i="22"/>
  <c r="E181" i="22"/>
  <c r="D181" i="22"/>
  <c r="A181" i="22"/>
  <c r="F180" i="22"/>
  <c r="E180" i="22"/>
  <c r="D180" i="22"/>
  <c r="A180" i="22"/>
  <c r="F179" i="22"/>
  <c r="E179" i="22"/>
  <c r="D179" i="22"/>
  <c r="A179" i="22"/>
  <c r="F178" i="22"/>
  <c r="E178" i="22"/>
  <c r="D178" i="22"/>
  <c r="A178" i="22"/>
  <c r="F177" i="22"/>
  <c r="E177" i="22"/>
  <c r="D177" i="22"/>
  <c r="A177" i="22"/>
  <c r="F176" i="22"/>
  <c r="E176" i="22"/>
  <c r="D176" i="22"/>
  <c r="A176" i="22"/>
  <c r="F175" i="22"/>
  <c r="E175" i="22"/>
  <c r="D175" i="22"/>
  <c r="A175" i="22"/>
  <c r="F174" i="22"/>
  <c r="E174" i="22"/>
  <c r="D174" i="22"/>
  <c r="A174" i="22"/>
  <c r="F173" i="22"/>
  <c r="E173" i="22"/>
  <c r="D173" i="22"/>
  <c r="A173" i="22"/>
  <c r="F172" i="22"/>
  <c r="E172" i="22"/>
  <c r="D172" i="22"/>
  <c r="A172" i="22"/>
  <c r="F171" i="22"/>
  <c r="E171" i="22"/>
  <c r="D171" i="22"/>
  <c r="A171" i="22"/>
  <c r="F170" i="22"/>
  <c r="E170" i="22"/>
  <c r="D170" i="22"/>
  <c r="A170" i="22"/>
  <c r="F169" i="22"/>
  <c r="E169" i="22"/>
  <c r="D169" i="22"/>
  <c r="A169" i="22"/>
  <c r="F168" i="22"/>
  <c r="E168" i="22"/>
  <c r="D168" i="22"/>
  <c r="A168" i="22"/>
  <c r="F167" i="22"/>
  <c r="E167" i="22"/>
  <c r="D167" i="22"/>
  <c r="A167" i="22"/>
  <c r="F166" i="22"/>
  <c r="E166" i="22"/>
  <c r="D166" i="22"/>
  <c r="A166" i="22"/>
  <c r="F165" i="22"/>
  <c r="E165" i="22"/>
  <c r="D165" i="22"/>
  <c r="A165" i="22"/>
  <c r="F164" i="22"/>
  <c r="E164" i="22"/>
  <c r="D164" i="22"/>
  <c r="A164" i="22"/>
  <c r="F163" i="22"/>
  <c r="E163" i="22"/>
  <c r="D163" i="22"/>
  <c r="A163" i="22"/>
  <c r="F162" i="22"/>
  <c r="E162" i="22"/>
  <c r="D162" i="22"/>
  <c r="A162" i="22"/>
  <c r="F161" i="22"/>
  <c r="E161" i="22"/>
  <c r="D161" i="22"/>
  <c r="A161" i="22"/>
  <c r="F160" i="22"/>
  <c r="E160" i="22"/>
  <c r="D160" i="22"/>
  <c r="A160" i="22"/>
  <c r="F159" i="22"/>
  <c r="E159" i="22"/>
  <c r="D159" i="22"/>
  <c r="A159" i="22"/>
  <c r="F158" i="22"/>
  <c r="E158" i="22"/>
  <c r="D158" i="22"/>
  <c r="A158" i="22"/>
  <c r="F157" i="22"/>
  <c r="E157" i="22"/>
  <c r="D157" i="22"/>
  <c r="A157" i="22"/>
  <c r="F156" i="22"/>
  <c r="E156" i="22"/>
  <c r="D156" i="22"/>
  <c r="A156" i="22"/>
  <c r="F155" i="22"/>
  <c r="E155" i="22"/>
  <c r="D155" i="22"/>
  <c r="A155" i="22"/>
  <c r="F154" i="22"/>
  <c r="E154" i="22"/>
  <c r="D154" i="22"/>
  <c r="A154" i="22"/>
  <c r="F153" i="22"/>
  <c r="E153" i="22"/>
  <c r="D153" i="22"/>
  <c r="A153" i="22"/>
  <c r="F152" i="22"/>
  <c r="E152" i="22"/>
  <c r="D152" i="22"/>
  <c r="A152" i="22"/>
  <c r="F151" i="22"/>
  <c r="E151" i="22"/>
  <c r="D151" i="22"/>
  <c r="A151" i="22"/>
  <c r="F150" i="22"/>
  <c r="E150" i="22"/>
  <c r="D150" i="22"/>
  <c r="A150" i="22"/>
  <c r="F149" i="22"/>
  <c r="E149" i="22"/>
  <c r="D149" i="22"/>
  <c r="A149" i="22"/>
  <c r="F148" i="22"/>
  <c r="E148" i="22"/>
  <c r="D148" i="22"/>
  <c r="A148" i="22"/>
  <c r="F147" i="22"/>
  <c r="E147" i="22"/>
  <c r="D147" i="22"/>
  <c r="A147" i="22"/>
  <c r="F146" i="22"/>
  <c r="E146" i="22"/>
  <c r="D146" i="22"/>
  <c r="A146" i="22"/>
  <c r="F145" i="22"/>
  <c r="E145" i="22"/>
  <c r="D145" i="22"/>
  <c r="A145" i="22"/>
  <c r="F144" i="22"/>
  <c r="E144" i="22"/>
  <c r="D144" i="22"/>
  <c r="A144" i="22"/>
  <c r="F143" i="22"/>
  <c r="E143" i="22"/>
  <c r="D143" i="22"/>
  <c r="A143" i="22"/>
  <c r="F142" i="22"/>
  <c r="E142" i="22"/>
  <c r="D142" i="22"/>
  <c r="A142" i="22"/>
  <c r="F141" i="22"/>
  <c r="E141" i="22"/>
  <c r="D141" i="22"/>
  <c r="A141" i="22"/>
  <c r="F140" i="22"/>
  <c r="E140" i="22"/>
  <c r="D140" i="22"/>
  <c r="A140" i="22"/>
  <c r="F139" i="22"/>
  <c r="E139" i="22"/>
  <c r="D139" i="22"/>
  <c r="A139" i="22"/>
  <c r="F138" i="22"/>
  <c r="E138" i="22"/>
  <c r="D138" i="22"/>
  <c r="A138" i="22"/>
  <c r="F137" i="22"/>
  <c r="E137" i="22"/>
  <c r="D137" i="22"/>
  <c r="A137" i="22"/>
  <c r="F136" i="22"/>
  <c r="E136" i="22"/>
  <c r="D136" i="22"/>
  <c r="A136" i="22"/>
  <c r="F135" i="22"/>
  <c r="E135" i="22"/>
  <c r="D135" i="22"/>
  <c r="A135" i="22"/>
  <c r="F134" i="22"/>
  <c r="E134" i="22"/>
  <c r="D134" i="22"/>
  <c r="A134" i="22"/>
  <c r="F133" i="22"/>
  <c r="E133" i="22"/>
  <c r="D133" i="22"/>
  <c r="A133" i="22"/>
  <c r="F132" i="22"/>
  <c r="E132" i="22"/>
  <c r="D132" i="22"/>
  <c r="A132" i="22"/>
  <c r="F131" i="22"/>
  <c r="E131" i="22"/>
  <c r="D131" i="22"/>
  <c r="A131" i="22"/>
  <c r="F130" i="22"/>
  <c r="E130" i="22"/>
  <c r="D130" i="22"/>
  <c r="A130" i="22"/>
  <c r="F129" i="22"/>
  <c r="E129" i="22"/>
  <c r="D129" i="22"/>
  <c r="A129" i="22"/>
  <c r="F128" i="22"/>
  <c r="E128" i="22"/>
  <c r="D128" i="22"/>
  <c r="A128" i="22"/>
  <c r="F127" i="22"/>
  <c r="E127" i="22"/>
  <c r="D127" i="22"/>
  <c r="A127" i="22"/>
  <c r="F126" i="22"/>
  <c r="E126" i="22"/>
  <c r="D126" i="22"/>
  <c r="A126" i="22"/>
  <c r="F125" i="22"/>
  <c r="E125" i="22"/>
  <c r="A125" i="22"/>
  <c r="F124" i="22"/>
  <c r="E124" i="22"/>
  <c r="D124" i="22"/>
  <c r="A124" i="22"/>
  <c r="F123" i="22"/>
  <c r="E123" i="22"/>
  <c r="D123" i="22"/>
  <c r="A123" i="22"/>
  <c r="F122" i="22"/>
  <c r="E122" i="22"/>
  <c r="D122" i="22"/>
  <c r="A122" i="22"/>
  <c r="F121" i="22"/>
  <c r="E121" i="22"/>
  <c r="D121" i="22"/>
  <c r="A121" i="22"/>
  <c r="F120" i="22"/>
  <c r="E120" i="22"/>
  <c r="D120" i="22"/>
  <c r="A120" i="22"/>
  <c r="F119" i="22"/>
  <c r="E119" i="22"/>
  <c r="D119" i="22"/>
  <c r="A119" i="22"/>
  <c r="F118" i="22"/>
  <c r="E118" i="22"/>
  <c r="D118" i="22"/>
  <c r="A118" i="22"/>
  <c r="F117" i="22"/>
  <c r="E117" i="22"/>
  <c r="D117" i="22"/>
  <c r="A117" i="22"/>
  <c r="F116" i="22"/>
  <c r="E116" i="22"/>
  <c r="D116" i="22"/>
  <c r="A116" i="22"/>
  <c r="F115" i="22"/>
  <c r="E115" i="22"/>
  <c r="D115" i="22"/>
  <c r="A115" i="22"/>
  <c r="F114" i="22"/>
  <c r="E114" i="22"/>
  <c r="D114" i="22"/>
  <c r="A114" i="22"/>
  <c r="F113" i="22"/>
  <c r="E113" i="22"/>
  <c r="D113" i="22"/>
  <c r="A113" i="22"/>
  <c r="F112" i="22"/>
  <c r="E112" i="22"/>
  <c r="D112" i="22"/>
  <c r="A112" i="22"/>
  <c r="F111" i="22"/>
  <c r="E111" i="22"/>
  <c r="D111" i="22"/>
  <c r="A111" i="22"/>
  <c r="F110" i="22"/>
  <c r="E110" i="22"/>
  <c r="D110" i="22"/>
  <c r="A110" i="22"/>
  <c r="F109" i="22"/>
  <c r="E109" i="22"/>
  <c r="D109" i="22"/>
  <c r="A109" i="22"/>
  <c r="F108" i="22"/>
  <c r="E108" i="22"/>
  <c r="D108" i="22"/>
  <c r="A108" i="22"/>
  <c r="F107" i="22"/>
  <c r="E107" i="22"/>
  <c r="D107" i="22"/>
  <c r="A107" i="22"/>
  <c r="F106" i="22"/>
  <c r="E106" i="22"/>
  <c r="D106" i="22"/>
  <c r="A106" i="22"/>
  <c r="F105" i="22"/>
  <c r="E105" i="22"/>
  <c r="D105" i="22"/>
  <c r="A105" i="22"/>
  <c r="F104" i="22"/>
  <c r="E104" i="22"/>
  <c r="A104" i="22"/>
  <c r="F103" i="22"/>
  <c r="E103" i="22"/>
  <c r="D103" i="22"/>
  <c r="A103" i="22"/>
  <c r="F102" i="22"/>
  <c r="E102" i="22"/>
  <c r="D102" i="22"/>
  <c r="A102" i="22"/>
  <c r="F101" i="22"/>
  <c r="E101" i="22"/>
  <c r="D101" i="22"/>
  <c r="A101" i="22"/>
  <c r="F100" i="22"/>
  <c r="E100" i="22"/>
  <c r="D100" i="22"/>
  <c r="A100" i="22"/>
  <c r="F99" i="22"/>
  <c r="E99" i="22"/>
  <c r="D99" i="22"/>
  <c r="A99" i="22"/>
  <c r="F98" i="22"/>
  <c r="E98" i="22"/>
  <c r="D98" i="22"/>
  <c r="A98" i="22"/>
  <c r="F97" i="22"/>
  <c r="E97" i="22"/>
  <c r="D97" i="22"/>
  <c r="A97" i="22"/>
  <c r="F96" i="22"/>
  <c r="E96" i="22"/>
  <c r="D96" i="22"/>
  <c r="A96" i="22"/>
  <c r="F95" i="22"/>
  <c r="E95" i="22"/>
  <c r="D95" i="22"/>
  <c r="A95" i="22"/>
  <c r="F94" i="22"/>
  <c r="E94" i="22"/>
  <c r="D94" i="22"/>
  <c r="A94" i="22"/>
  <c r="F93" i="22"/>
  <c r="E93" i="22"/>
  <c r="D93" i="22"/>
  <c r="A93" i="22"/>
  <c r="F92" i="22"/>
  <c r="E92" i="22"/>
  <c r="D92" i="22"/>
  <c r="A92" i="22"/>
  <c r="F91" i="22"/>
  <c r="E91" i="22"/>
  <c r="D91" i="22"/>
  <c r="A91" i="22"/>
  <c r="F90" i="22"/>
  <c r="E90" i="22"/>
  <c r="D90" i="22"/>
  <c r="A90" i="22"/>
  <c r="F89" i="22"/>
  <c r="E89" i="22"/>
  <c r="D89" i="22"/>
  <c r="A89" i="22"/>
  <c r="F88" i="22"/>
  <c r="E88" i="22"/>
  <c r="D88" i="22"/>
  <c r="A88" i="22"/>
  <c r="F87" i="22"/>
  <c r="E87" i="22"/>
  <c r="D87" i="22"/>
  <c r="A87" i="22"/>
  <c r="F86" i="22"/>
  <c r="E86" i="22"/>
  <c r="D86" i="22"/>
  <c r="A86" i="22"/>
  <c r="F85" i="22"/>
  <c r="E85" i="22"/>
  <c r="D85" i="22"/>
  <c r="A85" i="22"/>
  <c r="F84" i="22"/>
  <c r="E84" i="22"/>
  <c r="D84" i="22"/>
  <c r="A84" i="22"/>
  <c r="F83" i="22"/>
  <c r="E83" i="22"/>
  <c r="D83" i="22"/>
  <c r="A83" i="22"/>
  <c r="F82" i="22"/>
  <c r="E82" i="22"/>
  <c r="D82" i="22"/>
  <c r="A82" i="22"/>
  <c r="F81" i="22"/>
  <c r="E81" i="22"/>
  <c r="D81" i="22"/>
  <c r="A81" i="22"/>
  <c r="F80" i="22"/>
  <c r="E80" i="22"/>
  <c r="D80" i="22"/>
  <c r="A80" i="22"/>
  <c r="F79" i="22"/>
  <c r="E79" i="22"/>
  <c r="D79" i="22"/>
  <c r="A79" i="22"/>
  <c r="F78" i="22"/>
  <c r="E78" i="22"/>
  <c r="D78" i="22"/>
  <c r="A78" i="22"/>
  <c r="F77" i="22"/>
  <c r="E77" i="22"/>
  <c r="D77" i="22"/>
  <c r="A77" i="22"/>
  <c r="F76" i="22"/>
  <c r="E76" i="22"/>
  <c r="D76" i="22"/>
  <c r="A76" i="22"/>
  <c r="F75" i="22"/>
  <c r="E75" i="22"/>
  <c r="D75" i="22"/>
  <c r="A75" i="22"/>
  <c r="F74" i="22"/>
  <c r="E74" i="22"/>
  <c r="D74" i="22"/>
  <c r="A74" i="22"/>
  <c r="F73" i="22"/>
  <c r="E73" i="22"/>
  <c r="D73" i="22"/>
  <c r="A73" i="22"/>
  <c r="F72" i="22"/>
  <c r="E72" i="22"/>
  <c r="D72" i="22"/>
  <c r="A72" i="22"/>
  <c r="F71" i="22"/>
  <c r="E71" i="22"/>
  <c r="D71" i="22"/>
  <c r="A71" i="22"/>
  <c r="F70" i="22"/>
  <c r="E70" i="22"/>
  <c r="D70" i="22"/>
  <c r="A70" i="22"/>
  <c r="F69" i="22"/>
  <c r="E69" i="22"/>
  <c r="D69" i="22"/>
  <c r="A69" i="22"/>
  <c r="F68" i="22"/>
  <c r="E68" i="22"/>
  <c r="D68" i="22"/>
  <c r="A68" i="22"/>
  <c r="F67" i="22"/>
  <c r="E67" i="22"/>
  <c r="D67" i="22"/>
  <c r="A67" i="22"/>
  <c r="F66" i="22"/>
  <c r="E66" i="22"/>
  <c r="D66" i="22"/>
  <c r="A66" i="22"/>
  <c r="F65" i="22"/>
  <c r="E65" i="22"/>
  <c r="D65" i="22"/>
  <c r="A65" i="22"/>
  <c r="F64" i="22"/>
  <c r="E64" i="22"/>
  <c r="D64" i="22"/>
  <c r="A64" i="22"/>
  <c r="F63" i="22"/>
  <c r="E63" i="22"/>
  <c r="D63" i="22"/>
  <c r="A63" i="22"/>
  <c r="F62" i="22"/>
  <c r="E62" i="22"/>
  <c r="D62" i="22"/>
  <c r="A62" i="22"/>
  <c r="F61" i="22"/>
  <c r="E61" i="22"/>
  <c r="D61" i="22"/>
  <c r="A61" i="22"/>
  <c r="F60" i="22"/>
  <c r="E60" i="22"/>
  <c r="D60" i="22"/>
  <c r="A60" i="22"/>
  <c r="F59" i="22"/>
  <c r="E59" i="22"/>
  <c r="D59" i="22"/>
  <c r="A59" i="22"/>
  <c r="F58" i="22"/>
  <c r="E58" i="22"/>
  <c r="A58" i="22"/>
  <c r="F57" i="22"/>
  <c r="E57" i="22"/>
  <c r="D57" i="22"/>
  <c r="A57" i="22"/>
  <c r="F56" i="22"/>
  <c r="E56" i="22"/>
  <c r="D56" i="22"/>
  <c r="A56" i="22"/>
  <c r="F55" i="22"/>
  <c r="E55" i="22"/>
  <c r="D55" i="22"/>
  <c r="A55" i="22"/>
  <c r="F54" i="22"/>
  <c r="E54" i="22"/>
  <c r="D54" i="22"/>
  <c r="A54" i="22"/>
  <c r="F53" i="22"/>
  <c r="E53" i="22"/>
  <c r="D53" i="22"/>
  <c r="A53" i="22"/>
  <c r="F52" i="22"/>
  <c r="E52" i="22"/>
  <c r="D52" i="22"/>
  <c r="A52" i="22"/>
  <c r="F51" i="22"/>
  <c r="E51" i="22"/>
  <c r="D51" i="22"/>
  <c r="A51" i="22"/>
  <c r="F50" i="22"/>
  <c r="E50" i="22"/>
  <c r="D50" i="22"/>
  <c r="A50" i="22"/>
  <c r="F49" i="22"/>
  <c r="E49" i="22"/>
  <c r="D49" i="22"/>
  <c r="A49" i="22"/>
  <c r="F48" i="22"/>
  <c r="E48" i="22"/>
  <c r="D48" i="22"/>
  <c r="A48" i="22"/>
  <c r="F47" i="22"/>
  <c r="E47" i="22"/>
  <c r="D47" i="22"/>
  <c r="A47" i="22"/>
  <c r="F46" i="22"/>
  <c r="E46" i="22"/>
  <c r="D46" i="22"/>
  <c r="A46" i="22"/>
  <c r="F45" i="22"/>
  <c r="E45" i="22"/>
  <c r="D45" i="22"/>
  <c r="A45" i="22"/>
  <c r="F44" i="22"/>
  <c r="E44" i="22"/>
  <c r="D44" i="22"/>
  <c r="A44" i="22"/>
  <c r="F43" i="22"/>
  <c r="E43" i="22"/>
  <c r="D43" i="22"/>
  <c r="A43" i="22"/>
  <c r="F42" i="22"/>
  <c r="E42" i="22"/>
  <c r="D42" i="22"/>
  <c r="A42" i="22"/>
  <c r="F41" i="22"/>
  <c r="E41" i="22"/>
  <c r="D41" i="22"/>
  <c r="A41" i="22"/>
  <c r="F40" i="22"/>
  <c r="E40" i="22"/>
  <c r="D40" i="22"/>
  <c r="A40" i="22"/>
  <c r="F39" i="22"/>
  <c r="E39" i="22"/>
  <c r="D39" i="22"/>
  <c r="A39" i="22"/>
  <c r="F38" i="22"/>
  <c r="E38" i="22"/>
  <c r="D38" i="22"/>
  <c r="A38" i="22"/>
  <c r="F37" i="22"/>
  <c r="E37" i="22"/>
  <c r="D37" i="22"/>
  <c r="A37" i="22"/>
  <c r="F36" i="22"/>
  <c r="E36" i="22"/>
  <c r="D36" i="22"/>
  <c r="A36" i="22"/>
  <c r="F35" i="22"/>
  <c r="E35" i="22"/>
  <c r="D35" i="22"/>
  <c r="A35" i="22"/>
  <c r="F34" i="22"/>
  <c r="E34" i="22"/>
  <c r="D34" i="22"/>
  <c r="A34" i="22"/>
  <c r="F33" i="22"/>
  <c r="E33" i="22"/>
  <c r="D33" i="22"/>
  <c r="A33" i="22"/>
  <c r="F32" i="22"/>
  <c r="E32" i="22"/>
  <c r="D32" i="22"/>
  <c r="A32" i="22"/>
  <c r="F31" i="22"/>
  <c r="E31" i="22"/>
  <c r="D31" i="22"/>
  <c r="A31" i="22"/>
  <c r="F30" i="22"/>
  <c r="E30" i="22"/>
  <c r="D30" i="22"/>
  <c r="A30" i="22"/>
  <c r="F29" i="22"/>
  <c r="E29" i="22"/>
  <c r="D29" i="22"/>
  <c r="A29" i="22"/>
  <c r="F28" i="22"/>
  <c r="E28" i="22"/>
  <c r="D28" i="22"/>
  <c r="A28" i="22"/>
  <c r="F27" i="22"/>
  <c r="E27" i="22"/>
  <c r="D27" i="22"/>
  <c r="A27" i="22"/>
  <c r="F26" i="22"/>
  <c r="E26" i="22"/>
  <c r="D26" i="22"/>
  <c r="A26" i="22"/>
  <c r="F25" i="22"/>
  <c r="E25" i="22"/>
  <c r="D25" i="22"/>
  <c r="A25" i="22"/>
  <c r="F24" i="22"/>
  <c r="E24" i="22"/>
  <c r="D24" i="22"/>
  <c r="A24" i="22"/>
  <c r="F23" i="22"/>
  <c r="E23" i="22"/>
  <c r="D23" i="22"/>
  <c r="A23" i="22"/>
  <c r="F22" i="22"/>
  <c r="E22" i="22"/>
  <c r="D22" i="22"/>
  <c r="A22" i="22"/>
  <c r="F21" i="22"/>
  <c r="E21" i="22"/>
  <c r="D21" i="22"/>
  <c r="A21" i="22"/>
  <c r="F20" i="22"/>
  <c r="E20" i="22"/>
  <c r="D20" i="22"/>
  <c r="A20" i="22"/>
  <c r="F19" i="22"/>
  <c r="E19" i="22"/>
  <c r="D19" i="22"/>
  <c r="A19" i="22"/>
  <c r="F18" i="22"/>
  <c r="E18" i="22"/>
  <c r="D18" i="22"/>
  <c r="A18" i="22"/>
  <c r="F17" i="22"/>
  <c r="E17" i="22"/>
  <c r="D17" i="22"/>
  <c r="A17" i="22"/>
  <c r="F16" i="22"/>
  <c r="E16" i="22"/>
  <c r="D16" i="22"/>
  <c r="A16" i="22"/>
  <c r="F15" i="22"/>
  <c r="E15" i="22"/>
  <c r="D15" i="22"/>
  <c r="A15" i="22"/>
  <c r="F14" i="22"/>
  <c r="E14" i="22"/>
  <c r="D14" i="22"/>
  <c r="A14" i="22"/>
  <c r="F13" i="22"/>
  <c r="E13" i="22"/>
  <c r="D13" i="22"/>
  <c r="A13" i="22"/>
  <c r="F12" i="22"/>
  <c r="E12" i="22"/>
  <c r="D12" i="22"/>
  <c r="A12" i="22"/>
  <c r="F11" i="22"/>
  <c r="E11" i="22"/>
  <c r="D11" i="22"/>
  <c r="A11" i="22"/>
  <c r="F9" i="22"/>
  <c r="E9" i="22"/>
  <c r="D9" i="22"/>
  <c r="C9" i="22"/>
  <c r="B9" i="22"/>
  <c r="L33" i="22"/>
  <c r="A2" i="22"/>
  <c r="A2" i="21"/>
  <c r="E2" i="15"/>
  <c r="B13" i="16"/>
  <c r="B9" i="16"/>
  <c r="Y36" i="23"/>
  <c r="AC36" i="23"/>
  <c r="AD36" i="23"/>
  <c r="AT71" i="2"/>
  <c r="Y28" i="23"/>
  <c r="AC28" i="23"/>
  <c r="AD28" i="23"/>
  <c r="AT63" i="2"/>
  <c r="Y24" i="23"/>
  <c r="AC24" i="23"/>
  <c r="AD24" i="23"/>
  <c r="AT59" i="2"/>
  <c r="Y12" i="23"/>
  <c r="Y31" i="23"/>
  <c r="Y27" i="23"/>
  <c r="AC27" i="23"/>
  <c r="AD27" i="23"/>
  <c r="AT62" i="2"/>
  <c r="Y19" i="23"/>
  <c r="Y34" i="22"/>
  <c r="Y30" i="22"/>
  <c r="Y26" i="22"/>
  <c r="Y22" i="22"/>
  <c r="Y18" i="22"/>
  <c r="Y14" i="22"/>
  <c r="Y34" i="23"/>
  <c r="AC34" i="23"/>
  <c r="AD34" i="23"/>
  <c r="AT69" i="2"/>
  <c r="Y30" i="23"/>
  <c r="Y26" i="23"/>
  <c r="Y22" i="23"/>
  <c r="AC22" i="23"/>
  <c r="AD22" i="23"/>
  <c r="AT57" i="2"/>
  <c r="Y18" i="23"/>
  <c r="Y14" i="23"/>
  <c r="Y32" i="23"/>
  <c r="AC32" i="23"/>
  <c r="AD32" i="23"/>
  <c r="AT67" i="2"/>
  <c r="Y20" i="23"/>
  <c r="AC20" i="23"/>
  <c r="AD20" i="23"/>
  <c r="AT55" i="2"/>
  <c r="Y16" i="23"/>
  <c r="AC13" i="23"/>
  <c r="AD13" i="23"/>
  <c r="AT48" i="2"/>
  <c r="Y35" i="23"/>
  <c r="AC35" i="23"/>
  <c r="AD35" i="23"/>
  <c r="AT70" i="2"/>
  <c r="Y23" i="23"/>
  <c r="Y15" i="23"/>
  <c r="AC12" i="23"/>
  <c r="AD12" i="23"/>
  <c r="AT47" i="2"/>
  <c r="Y11" i="22"/>
  <c r="Y33" i="22"/>
  <c r="Y29" i="22"/>
  <c r="Y25" i="22"/>
  <c r="Y21" i="22"/>
  <c r="Y17" i="22"/>
  <c r="Y11" i="23"/>
  <c r="Y33" i="23"/>
  <c r="AC33" i="23"/>
  <c r="AD33" i="23"/>
  <c r="AT68" i="2"/>
  <c r="Y29" i="23"/>
  <c r="Y25" i="23"/>
  <c r="Y21" i="23"/>
  <c r="Y17" i="23"/>
  <c r="AC17" i="23"/>
  <c r="AD17" i="23"/>
  <c r="AT52" i="2"/>
  <c r="O76" i="22"/>
  <c r="U76" i="22"/>
  <c r="O144" i="22"/>
  <c r="T144" i="22"/>
  <c r="Q144" i="22"/>
  <c r="O80" i="22"/>
  <c r="T80" i="22"/>
  <c r="Q80" i="22"/>
  <c r="O140" i="22"/>
  <c r="T140" i="22"/>
  <c r="Q140" i="22"/>
  <c r="O112" i="22"/>
  <c r="T112" i="22"/>
  <c r="Q112" i="22"/>
  <c r="O108" i="22"/>
  <c r="T108" i="22"/>
  <c r="Q108" i="22"/>
  <c r="O160" i="22"/>
  <c r="T160" i="22"/>
  <c r="Q160" i="22"/>
  <c r="O128" i="22"/>
  <c r="T128" i="22"/>
  <c r="Q128" i="22"/>
  <c r="O96" i="22"/>
  <c r="T96" i="22"/>
  <c r="Q96" i="22"/>
  <c r="O156" i="22"/>
  <c r="S156" i="22"/>
  <c r="O124" i="22"/>
  <c r="T124" i="22"/>
  <c r="Q124" i="22"/>
  <c r="O92" i="22"/>
  <c r="S92" i="22"/>
  <c r="U140" i="22"/>
  <c r="O152" i="22"/>
  <c r="U152" i="22"/>
  <c r="O136" i="22"/>
  <c r="S136" i="22"/>
  <c r="O120" i="22"/>
  <c r="O104" i="22"/>
  <c r="S104" i="22"/>
  <c r="O13" i="22"/>
  <c r="T13" i="22"/>
  <c r="O17" i="22"/>
  <c r="S17" i="22"/>
  <c r="O21" i="22"/>
  <c r="O25" i="22"/>
  <c r="T25" i="22"/>
  <c r="O29" i="22"/>
  <c r="S29" i="22"/>
  <c r="Q29" i="22"/>
  <c r="O33" i="22"/>
  <c r="U33" i="22"/>
  <c r="O37" i="22"/>
  <c r="T37" i="22"/>
  <c r="O41" i="22"/>
  <c r="U41" i="22"/>
  <c r="O45" i="22"/>
  <c r="T45" i="22"/>
  <c r="Q45" i="22"/>
  <c r="O49" i="22"/>
  <c r="T49" i="22"/>
  <c r="Q49" i="22"/>
  <c r="O53" i="22"/>
  <c r="U53" i="22"/>
  <c r="O57" i="22"/>
  <c r="T57" i="22"/>
  <c r="Q57" i="22"/>
  <c r="O61" i="22"/>
  <c r="S61" i="22"/>
  <c r="O65" i="22"/>
  <c r="T65" i="22"/>
  <c r="Q65" i="22"/>
  <c r="O69" i="22"/>
  <c r="S69" i="22"/>
  <c r="O73" i="22"/>
  <c r="S73" i="22"/>
  <c r="O77" i="22"/>
  <c r="U77" i="22"/>
  <c r="O81" i="22"/>
  <c r="S81" i="22"/>
  <c r="O85" i="22"/>
  <c r="U85" i="22"/>
  <c r="O89" i="22"/>
  <c r="T89" i="22"/>
  <c r="Q89" i="22"/>
  <c r="O93" i="22"/>
  <c r="U93" i="22"/>
  <c r="O97" i="22"/>
  <c r="U97" i="22"/>
  <c r="O101" i="22"/>
  <c r="S101" i="22"/>
  <c r="O105" i="22"/>
  <c r="T105" i="22"/>
  <c r="Q105" i="22"/>
  <c r="O109" i="22"/>
  <c r="U109" i="22"/>
  <c r="O113" i="22"/>
  <c r="T113" i="22"/>
  <c r="Q113" i="22"/>
  <c r="O117" i="22"/>
  <c r="U117" i="22"/>
  <c r="O121" i="22"/>
  <c r="T121" i="22"/>
  <c r="Q121" i="22"/>
  <c r="O125" i="22"/>
  <c r="U125" i="22"/>
  <c r="O129" i="22"/>
  <c r="S129" i="22"/>
  <c r="O133" i="22"/>
  <c r="T133" i="22"/>
  <c r="Q133" i="22"/>
  <c r="O137" i="22"/>
  <c r="S137" i="22"/>
  <c r="O141" i="22"/>
  <c r="S141" i="22"/>
  <c r="O145" i="22"/>
  <c r="S145" i="22"/>
  <c r="O149" i="22"/>
  <c r="S149" i="22"/>
  <c r="O153" i="22"/>
  <c r="T153" i="22"/>
  <c r="Q153" i="22"/>
  <c r="O157" i="22"/>
  <c r="T157" i="22"/>
  <c r="O161" i="22"/>
  <c r="U161" i="22"/>
  <c r="O15" i="22"/>
  <c r="Q15" i="22"/>
  <c r="O19" i="22"/>
  <c r="U19" i="22"/>
  <c r="O27" i="22"/>
  <c r="S27" i="22"/>
  <c r="Q27" i="22"/>
  <c r="O35" i="22"/>
  <c r="S35" i="22"/>
  <c r="O43" i="22"/>
  <c r="T43" i="22"/>
  <c r="O51" i="22"/>
  <c r="S51" i="22"/>
  <c r="O59" i="22"/>
  <c r="S59" i="22"/>
  <c r="O67" i="22"/>
  <c r="T67" i="22"/>
  <c r="Q67" i="22"/>
  <c r="O75" i="22"/>
  <c r="O87" i="22"/>
  <c r="S87" i="22"/>
  <c r="O95" i="22"/>
  <c r="O103" i="22"/>
  <c r="T103" i="22"/>
  <c r="Q103" i="22"/>
  <c r="O111" i="22"/>
  <c r="T111" i="22"/>
  <c r="Q111" i="22"/>
  <c r="O119" i="22"/>
  <c r="U119" i="22"/>
  <c r="O127" i="22"/>
  <c r="O135" i="22"/>
  <c r="U135" i="22"/>
  <c r="O139" i="22"/>
  <c r="T139" i="22"/>
  <c r="Q139" i="22"/>
  <c r="O147" i="22"/>
  <c r="S147" i="22"/>
  <c r="O155" i="22"/>
  <c r="T155" i="22"/>
  <c r="Q155" i="22"/>
  <c r="O163" i="22"/>
  <c r="S163" i="22"/>
  <c r="O12" i="22"/>
  <c r="Q12" i="22"/>
  <c r="O20" i="22"/>
  <c r="S20" i="22"/>
  <c r="O28" i="22"/>
  <c r="O36" i="22"/>
  <c r="T36" i="22"/>
  <c r="O44" i="22"/>
  <c r="U44" i="22"/>
  <c r="O52" i="22"/>
  <c r="S52" i="22"/>
  <c r="O60" i="22"/>
  <c r="T60" i="22"/>
  <c r="Q60" i="22"/>
  <c r="O68" i="22"/>
  <c r="U68" i="22"/>
  <c r="O14" i="22"/>
  <c r="T14" i="22"/>
  <c r="O18" i="22"/>
  <c r="U18" i="22"/>
  <c r="O22" i="22"/>
  <c r="T22" i="22"/>
  <c r="O26" i="22"/>
  <c r="U26" i="22"/>
  <c r="O30" i="22"/>
  <c r="S30" i="22"/>
  <c r="Q30" i="22"/>
  <c r="O34" i="22"/>
  <c r="U34" i="22"/>
  <c r="O38" i="22"/>
  <c r="S38" i="22"/>
  <c r="O42" i="22"/>
  <c r="T42" i="22"/>
  <c r="Q42" i="22"/>
  <c r="O46" i="22"/>
  <c r="S46" i="22"/>
  <c r="O50" i="22"/>
  <c r="S50" i="22"/>
  <c r="O54" i="22"/>
  <c r="S54" i="22"/>
  <c r="O58" i="22"/>
  <c r="U58" i="22"/>
  <c r="O62" i="22"/>
  <c r="O66" i="22"/>
  <c r="T66" i="22"/>
  <c r="Q66" i="22"/>
  <c r="O70" i="22"/>
  <c r="T70" i="22"/>
  <c r="Q70" i="22"/>
  <c r="O74" i="22"/>
  <c r="S74" i="22"/>
  <c r="O78" i="22"/>
  <c r="S78" i="22"/>
  <c r="O82" i="22"/>
  <c r="T82" i="22"/>
  <c r="Q82" i="22"/>
  <c r="O86" i="22"/>
  <c r="S86" i="22"/>
  <c r="O90" i="22"/>
  <c r="T90" i="22"/>
  <c r="Q90" i="22"/>
  <c r="O94" i="22"/>
  <c r="U94" i="22"/>
  <c r="O98" i="22"/>
  <c r="O102" i="22"/>
  <c r="S102" i="22"/>
  <c r="O106" i="22"/>
  <c r="T106" i="22"/>
  <c r="Q106" i="22"/>
  <c r="O110" i="22"/>
  <c r="S110" i="22"/>
  <c r="O114" i="22"/>
  <c r="T114" i="22"/>
  <c r="O118" i="22"/>
  <c r="S118" i="22"/>
  <c r="O122" i="22"/>
  <c r="U122" i="22"/>
  <c r="O126" i="22"/>
  <c r="S126" i="22"/>
  <c r="O130" i="22"/>
  <c r="U130" i="22"/>
  <c r="O134" i="22"/>
  <c r="T134" i="22"/>
  <c r="Q134" i="22"/>
  <c r="O138" i="22"/>
  <c r="S138" i="22"/>
  <c r="O142" i="22"/>
  <c r="T142" i="22"/>
  <c r="Q142" i="22"/>
  <c r="O146" i="22"/>
  <c r="T146" i="22"/>
  <c r="Q146" i="22"/>
  <c r="O150" i="22"/>
  <c r="T150" i="22"/>
  <c r="Q150" i="22"/>
  <c r="O154" i="22"/>
  <c r="S154" i="22"/>
  <c r="O158" i="22"/>
  <c r="S158" i="22"/>
  <c r="O162" i="22"/>
  <c r="S162" i="22"/>
  <c r="O11" i="22"/>
  <c r="Q11" i="22"/>
  <c r="O23" i="22"/>
  <c r="T23" i="22"/>
  <c r="O31" i="22"/>
  <c r="T31" i="22"/>
  <c r="O39" i="22"/>
  <c r="S39" i="22"/>
  <c r="O47" i="22"/>
  <c r="O55" i="22"/>
  <c r="S55" i="22"/>
  <c r="O63" i="22"/>
  <c r="O71" i="22"/>
  <c r="O79" i="22"/>
  <c r="O83" i="22"/>
  <c r="U83" i="22"/>
  <c r="O91" i="22"/>
  <c r="U91" i="22"/>
  <c r="O99" i="22"/>
  <c r="U99" i="22"/>
  <c r="O107" i="22"/>
  <c r="U107" i="22"/>
  <c r="O115" i="22"/>
  <c r="S115" i="22"/>
  <c r="O123" i="22"/>
  <c r="U123" i="22"/>
  <c r="O131" i="22"/>
  <c r="U131" i="22"/>
  <c r="O143" i="22"/>
  <c r="S143" i="22"/>
  <c r="O151" i="22"/>
  <c r="O159" i="22"/>
  <c r="O16" i="22"/>
  <c r="Q16" i="22"/>
  <c r="O24" i="22"/>
  <c r="T24" i="22"/>
  <c r="O32" i="22"/>
  <c r="S32" i="22"/>
  <c r="Q32" i="22"/>
  <c r="O40" i="22"/>
  <c r="U40" i="22"/>
  <c r="O48" i="22"/>
  <c r="U48" i="22"/>
  <c r="O56" i="22"/>
  <c r="S56" i="22"/>
  <c r="O64" i="22"/>
  <c r="S64" i="22"/>
  <c r="O72" i="22"/>
  <c r="T72" i="22"/>
  <c r="Q72" i="22"/>
  <c r="O164" i="22"/>
  <c r="U164" i="22"/>
  <c r="O148" i="22"/>
  <c r="S148" i="22"/>
  <c r="O132" i="22"/>
  <c r="U132" i="22"/>
  <c r="O116" i="22"/>
  <c r="T116" i="22"/>
  <c r="O100" i="22"/>
  <c r="S100" i="22"/>
  <c r="O84" i="22"/>
  <c r="U84" i="22"/>
  <c r="S124" i="22"/>
  <c r="S108" i="22"/>
  <c r="S140" i="22"/>
  <c r="T104" i="23"/>
  <c r="S104" i="23"/>
  <c r="U56" i="23"/>
  <c r="U114" i="22"/>
  <c r="T98" i="22"/>
  <c r="U80" i="23"/>
  <c r="K34" i="22"/>
  <c r="S139" i="22"/>
  <c r="J255" i="22"/>
  <c r="J240" i="23"/>
  <c r="J237" i="23"/>
  <c r="L179" i="23"/>
  <c r="L58" i="23"/>
  <c r="U152" i="23"/>
  <c r="T152" i="23"/>
  <c r="S136" i="23"/>
  <c r="T136" i="23"/>
  <c r="T72" i="23"/>
  <c r="U72" i="23"/>
  <c r="J64" i="23"/>
  <c r="Q72" i="23"/>
  <c r="K72" i="23"/>
  <c r="N72" i="23"/>
  <c r="W72" i="23"/>
  <c r="X72" i="23"/>
  <c r="Y72" i="23"/>
  <c r="AC72" i="23"/>
  <c r="AD72" i="23"/>
  <c r="AT107" i="2"/>
  <c r="U116" i="22"/>
  <c r="S44" i="22"/>
  <c r="K84" i="22"/>
  <c r="N84" i="22"/>
  <c r="W84" i="22"/>
  <c r="J127" i="22"/>
  <c r="J146" i="22"/>
  <c r="L182" i="22"/>
  <c r="K202" i="22"/>
  <c r="N202" i="22"/>
  <c r="W202" i="22"/>
  <c r="S51" i="23"/>
  <c r="T51" i="23"/>
  <c r="J43" i="23"/>
  <c r="Q51" i="23"/>
  <c r="U136" i="23"/>
  <c r="L201" i="22"/>
  <c r="U133" i="22"/>
  <c r="K63" i="23"/>
  <c r="N63" i="23"/>
  <c r="W63" i="23"/>
  <c r="L134" i="23"/>
  <c r="L193" i="23"/>
  <c r="L217" i="23"/>
  <c r="J231" i="23"/>
  <c r="L21" i="23"/>
  <c r="K50" i="23"/>
  <c r="N50" i="23"/>
  <c r="W50" i="23"/>
  <c r="L67" i="23"/>
  <c r="L82" i="23"/>
  <c r="K131" i="23"/>
  <c r="N131" i="23"/>
  <c r="W131" i="23"/>
  <c r="L166" i="23"/>
  <c r="L184" i="23"/>
  <c r="K187" i="23"/>
  <c r="N187" i="23"/>
  <c r="W187" i="23"/>
  <c r="K214" i="23"/>
  <c r="N214" i="23"/>
  <c r="W214" i="23"/>
  <c r="L25" i="23"/>
  <c r="J90" i="23"/>
  <c r="K104" i="23"/>
  <c r="N104" i="23"/>
  <c r="W104" i="23"/>
  <c r="K111" i="23"/>
  <c r="N111" i="23"/>
  <c r="W111" i="23"/>
  <c r="J125" i="23"/>
  <c r="L163" i="23"/>
  <c r="L174" i="23"/>
  <c r="J191" i="23"/>
  <c r="L211" i="23"/>
  <c r="L245" i="23"/>
  <c r="J248" i="23"/>
  <c r="K251" i="23"/>
  <c r="N251" i="23"/>
  <c r="W251" i="23"/>
  <c r="L61" i="23"/>
  <c r="L129" i="23"/>
  <c r="K135" i="23"/>
  <c r="N135" i="23"/>
  <c r="W135" i="23"/>
  <c r="J146" i="23"/>
  <c r="L149" i="23"/>
  <c r="J160" i="23"/>
  <c r="J239" i="23"/>
  <c r="K232" i="23"/>
  <c r="N232" i="23"/>
  <c r="W232" i="23"/>
  <c r="J210" i="23"/>
  <c r="K178" i="23"/>
  <c r="N178" i="23"/>
  <c r="W178" i="23"/>
  <c r="J147" i="23"/>
  <c r="J99" i="23"/>
  <c r="U87" i="23"/>
  <c r="J79" i="23"/>
  <c r="Q87" i="23"/>
  <c r="K87" i="23"/>
  <c r="N87" i="23"/>
  <c r="W87" i="23"/>
  <c r="X87" i="23"/>
  <c r="Y87" i="23"/>
  <c r="AC87" i="23"/>
  <c r="AD87" i="23"/>
  <c r="AT122" i="2"/>
  <c r="S71" i="23"/>
  <c r="T85" i="23"/>
  <c r="S39" i="23"/>
  <c r="AC16" i="23"/>
  <c r="AD16" i="23"/>
  <c r="AT51" i="2"/>
  <c r="AC23" i="23"/>
  <c r="AD23" i="23"/>
  <c r="AT58" i="2"/>
  <c r="L255" i="22"/>
  <c r="J184" i="22"/>
  <c r="K105" i="22"/>
  <c r="N105" i="22"/>
  <c r="W105" i="22"/>
  <c r="T117" i="22"/>
  <c r="Q117" i="22"/>
  <c r="S117" i="22"/>
  <c r="U101" i="22"/>
  <c r="U69" i="22"/>
  <c r="J13" i="23"/>
  <c r="J37" i="23"/>
  <c r="J39" i="23"/>
  <c r="L41" i="23"/>
  <c r="K43" i="23"/>
  <c r="N43" i="23"/>
  <c r="W43" i="23"/>
  <c r="K45" i="23"/>
  <c r="N45" i="23"/>
  <c r="W45" i="23"/>
  <c r="J47" i="23"/>
  <c r="J53" i="23"/>
  <c r="K55" i="23"/>
  <c r="N55" i="23"/>
  <c r="W55" i="23"/>
  <c r="L57" i="23"/>
  <c r="J59" i="23"/>
  <c r="J61" i="23"/>
  <c r="J67" i="23"/>
  <c r="K69" i="23"/>
  <c r="N69" i="23"/>
  <c r="W69" i="23"/>
  <c r="K71" i="23"/>
  <c r="N71" i="23"/>
  <c r="W71" i="23"/>
  <c r="L75" i="23"/>
  <c r="L77" i="23"/>
  <c r="K79" i="23"/>
  <c r="N79" i="23"/>
  <c r="W79" i="23"/>
  <c r="L81" i="23"/>
  <c r="J83" i="23"/>
  <c r="L85" i="23"/>
  <c r="K91" i="23"/>
  <c r="N91" i="23"/>
  <c r="W91" i="23"/>
  <c r="K93" i="23"/>
  <c r="N93" i="23"/>
  <c r="W93" i="23"/>
  <c r="J95" i="23"/>
  <c r="L97" i="23"/>
  <c r="K99" i="23"/>
  <c r="N99" i="23"/>
  <c r="W99" i="23"/>
  <c r="L101" i="23"/>
  <c r="L115" i="23"/>
  <c r="L123" i="23"/>
  <c r="L125" i="23"/>
  <c r="K127" i="23"/>
  <c r="N127" i="23"/>
  <c r="W127" i="23"/>
  <c r="L131" i="23"/>
  <c r="K138" i="23"/>
  <c r="N138" i="23"/>
  <c r="W138" i="23"/>
  <c r="J152" i="23"/>
  <c r="J154" i="23"/>
  <c r="K168" i="23"/>
  <c r="N168" i="23"/>
  <c r="W168" i="23"/>
  <c r="L170" i="23"/>
  <c r="J172" i="23"/>
  <c r="K174" i="23"/>
  <c r="N174" i="23"/>
  <c r="W174" i="23"/>
  <c r="J176" i="23"/>
  <c r="J178" i="23"/>
  <c r="K182" i="23"/>
  <c r="N182" i="23"/>
  <c r="W182" i="23"/>
  <c r="K184" i="23"/>
  <c r="N184" i="23"/>
  <c r="W184" i="23"/>
  <c r="K186" i="23"/>
  <c r="N186" i="23"/>
  <c r="W186" i="23"/>
  <c r="J194" i="23"/>
  <c r="L198" i="23"/>
  <c r="L200" i="23"/>
  <c r="L206" i="23"/>
  <c r="K208" i="23"/>
  <c r="N208" i="23"/>
  <c r="W208" i="23"/>
  <c r="K210" i="23"/>
  <c r="N210" i="23"/>
  <c r="W210" i="23"/>
  <c r="J212" i="23"/>
  <c r="L214" i="23"/>
  <c r="L216" i="23"/>
  <c r="L218" i="23"/>
  <c r="J220" i="23"/>
  <c r="K222" i="23"/>
  <c r="N222" i="23"/>
  <c r="W222" i="23"/>
  <c r="J224" i="23"/>
  <c r="K226" i="23"/>
  <c r="N226" i="23"/>
  <c r="W226" i="23"/>
  <c r="L240" i="23"/>
  <c r="L242" i="23"/>
  <c r="L254" i="23"/>
  <c r="J24" i="23"/>
  <c r="J26" i="23"/>
  <c r="K40" i="23"/>
  <c r="N40" i="23"/>
  <c r="W40" i="23"/>
  <c r="L42" i="23"/>
  <c r="J44" i="23"/>
  <c r="K46" i="23"/>
  <c r="N46" i="23"/>
  <c r="W46" i="23"/>
  <c r="J48" i="23"/>
  <c r="J50" i="23"/>
  <c r="K54" i="23"/>
  <c r="N54" i="23"/>
  <c r="W54" i="23"/>
  <c r="K56" i="23"/>
  <c r="N56" i="23"/>
  <c r="W56" i="23"/>
  <c r="T56" i="23"/>
  <c r="Q56" i="23"/>
  <c r="X56" i="23"/>
  <c r="Y56" i="23"/>
  <c r="AC56" i="23"/>
  <c r="AD56" i="23"/>
  <c r="AT91" i="2"/>
  <c r="K58" i="23"/>
  <c r="N58" i="23"/>
  <c r="W58" i="23"/>
  <c r="J66" i="23"/>
  <c r="L70" i="23"/>
  <c r="L72" i="23"/>
  <c r="L78" i="23"/>
  <c r="K80" i="23"/>
  <c r="N80" i="23"/>
  <c r="W80" i="23"/>
  <c r="K82" i="23"/>
  <c r="N82" i="23"/>
  <c r="W82" i="23"/>
  <c r="J84" i="23"/>
  <c r="L86" i="23"/>
  <c r="L88" i="23"/>
  <c r="L90" i="23"/>
  <c r="J92" i="23"/>
  <c r="Q100" i="23"/>
  <c r="K94" i="23"/>
  <c r="N94" i="23"/>
  <c r="W94" i="23"/>
  <c r="J96" i="23"/>
  <c r="K98" i="23"/>
  <c r="N98" i="23"/>
  <c r="W98" i="23"/>
  <c r="L112" i="23"/>
  <c r="L114" i="23"/>
  <c r="L126" i="23"/>
  <c r="K128" i="23"/>
  <c r="N128" i="23"/>
  <c r="W128" i="23"/>
  <c r="J139" i="23"/>
  <c r="J141" i="23"/>
  <c r="J165" i="23"/>
  <c r="J167" i="23"/>
  <c r="L169" i="23"/>
  <c r="K171" i="23"/>
  <c r="N171" i="23"/>
  <c r="W171" i="23"/>
  <c r="K173" i="23"/>
  <c r="N173" i="23"/>
  <c r="W173" i="23"/>
  <c r="J175" i="23"/>
  <c r="J181" i="23"/>
  <c r="K183" i="23"/>
  <c r="N183" i="23"/>
  <c r="W183" i="23"/>
  <c r="L185" i="23"/>
  <c r="J187" i="23"/>
  <c r="J189" i="23"/>
  <c r="J195" i="23"/>
  <c r="K197" i="23"/>
  <c r="N197" i="23"/>
  <c r="W197" i="23"/>
  <c r="K199" i="23"/>
  <c r="N199" i="23"/>
  <c r="W199" i="23"/>
  <c r="L203" i="23"/>
  <c r="L205" i="23"/>
  <c r="K207" i="23"/>
  <c r="N207" i="23"/>
  <c r="W207" i="23"/>
  <c r="L209" i="23"/>
  <c r="J211" i="23"/>
  <c r="L213" i="23"/>
  <c r="K219" i="23"/>
  <c r="N219" i="23"/>
  <c r="W219" i="23"/>
  <c r="K221" i="23"/>
  <c r="N221" i="23"/>
  <c r="W221" i="23"/>
  <c r="J223" i="23"/>
  <c r="L225" i="23"/>
  <c r="K227" i="23"/>
  <c r="N227" i="23"/>
  <c r="W227" i="23"/>
  <c r="L229" i="23"/>
  <c r="L243" i="23"/>
  <c r="L251" i="23"/>
  <c r="L253" i="23"/>
  <c r="K255" i="23"/>
  <c r="N255" i="23"/>
  <c r="W255" i="23"/>
  <c r="L19" i="23"/>
  <c r="K26" i="23"/>
  <c r="N26" i="23"/>
  <c r="W26" i="23"/>
  <c r="J34" i="23"/>
  <c r="J51" i="23"/>
  <c r="L56" i="23"/>
  <c r="K61" i="23"/>
  <c r="N61" i="23"/>
  <c r="W61" i="23"/>
  <c r="J63" i="23"/>
  <c r="L65" i="23"/>
  <c r="L73" i="23"/>
  <c r="K75" i="23"/>
  <c r="N75" i="23"/>
  <c r="W75" i="23"/>
  <c r="J80" i="23"/>
  <c r="J88" i="23"/>
  <c r="K90" i="23"/>
  <c r="N90" i="23"/>
  <c r="W90" i="23"/>
  <c r="K95" i="23"/>
  <c r="N95" i="23"/>
  <c r="W95" i="23"/>
  <c r="J98" i="23"/>
  <c r="J103" i="23"/>
  <c r="L105" i="23"/>
  <c r="K107" i="23"/>
  <c r="N107" i="23"/>
  <c r="W107" i="23"/>
  <c r="K109" i="23"/>
  <c r="N109" i="23"/>
  <c r="W109" i="23"/>
  <c r="J111" i="23"/>
  <c r="Q119" i="23"/>
  <c r="L113" i="23"/>
  <c r="J120" i="23"/>
  <c r="J122" i="23"/>
  <c r="K126" i="23"/>
  <c r="N126" i="23"/>
  <c r="W126" i="23"/>
  <c r="J131" i="23"/>
  <c r="L133" i="23"/>
  <c r="J140" i="23"/>
  <c r="L142" i="23"/>
  <c r="K144" i="23"/>
  <c r="N144" i="23"/>
  <c r="W144" i="23"/>
  <c r="K146" i="23"/>
  <c r="N146" i="23"/>
  <c r="W146" i="23"/>
  <c r="J148" i="23"/>
  <c r="Q156" i="23"/>
  <c r="L150" i="23"/>
  <c r="K165" i="23"/>
  <c r="N165" i="23"/>
  <c r="W165" i="23"/>
  <c r="J173" i="23"/>
  <c r="K194" i="23"/>
  <c r="N194" i="23"/>
  <c r="W194" i="23"/>
  <c r="K202" i="23"/>
  <c r="N202" i="23"/>
  <c r="W202" i="23"/>
  <c r="J204" i="23"/>
  <c r="J219" i="23"/>
  <c r="K224" i="23"/>
  <c r="N224" i="23"/>
  <c r="W224" i="23"/>
  <c r="J227" i="23"/>
  <c r="K234" i="23"/>
  <c r="N234" i="23"/>
  <c r="W234" i="23"/>
  <c r="J242" i="23"/>
  <c r="J255" i="23"/>
  <c r="K14" i="23"/>
  <c r="N14" i="23"/>
  <c r="W14" i="23"/>
  <c r="J16" i="23"/>
  <c r="J18" i="23"/>
  <c r="K22" i="23"/>
  <c r="N22" i="23"/>
  <c r="W22" i="23"/>
  <c r="L24" i="23"/>
  <c r="L30" i="23"/>
  <c r="K32" i="23"/>
  <c r="N32" i="23"/>
  <c r="W32" i="23"/>
  <c r="K39" i="23"/>
  <c r="N39" i="23"/>
  <c r="W39" i="23"/>
  <c r="K42" i="23"/>
  <c r="N42" i="23"/>
  <c r="W42" i="23"/>
  <c r="K47" i="23"/>
  <c r="N47" i="23"/>
  <c r="W47" i="23"/>
  <c r="L54" i="23"/>
  <c r="L59" i="23"/>
  <c r="J71" i="23"/>
  <c r="K78" i="23"/>
  <c r="N78" i="23"/>
  <c r="W78" i="23"/>
  <c r="L83" i="23"/>
  <c r="K86" i="23"/>
  <c r="N86" i="23"/>
  <c r="W86" i="23"/>
  <c r="L93" i="23"/>
  <c r="K101" i="23"/>
  <c r="N101" i="23"/>
  <c r="W101" i="23"/>
  <c r="J116" i="23"/>
  <c r="L118" i="23"/>
  <c r="L120" i="23"/>
  <c r="L122" i="23"/>
  <c r="K136" i="23"/>
  <c r="N136" i="23"/>
  <c r="W136" i="23"/>
  <c r="L153" i="23"/>
  <c r="K155" i="23"/>
  <c r="N155" i="23"/>
  <c r="W155" i="23"/>
  <c r="K157" i="23"/>
  <c r="N157" i="23"/>
  <c r="W157" i="23"/>
  <c r="J159" i="23"/>
  <c r="L161" i="23"/>
  <c r="K163" i="23"/>
  <c r="N163" i="23"/>
  <c r="W163" i="23"/>
  <c r="L168" i="23"/>
  <c r="J171" i="23"/>
  <c r="K176" i="23"/>
  <c r="N176" i="23"/>
  <c r="W176" i="23"/>
  <c r="L178" i="23"/>
  <c r="J186" i="23"/>
  <c r="J188" i="23"/>
  <c r="L190" i="23"/>
  <c r="K192" i="23"/>
  <c r="N192" i="23"/>
  <c r="W192" i="23"/>
  <c r="L197" i="23"/>
  <c r="K200" i="23"/>
  <c r="N200" i="23"/>
  <c r="W200" i="23"/>
  <c r="J207" i="23"/>
  <c r="K215" i="23"/>
  <c r="N215" i="23"/>
  <c r="W215" i="23"/>
  <c r="L222" i="23"/>
  <c r="L230" i="23"/>
  <c r="L232" i="23"/>
  <c r="L238" i="23"/>
  <c r="K240" i="23"/>
  <c r="N240" i="23"/>
  <c r="W240" i="23"/>
  <c r="J245" i="23"/>
  <c r="K247" i="23"/>
  <c r="N247" i="23"/>
  <c r="W247" i="23"/>
  <c r="L249" i="23"/>
  <c r="J251" i="23"/>
  <c r="K253" i="23"/>
  <c r="N253" i="23"/>
  <c r="W253" i="23"/>
  <c r="J11" i="23"/>
  <c r="K18" i="23"/>
  <c r="N18" i="23"/>
  <c r="W18" i="23"/>
  <c r="L45" i="23"/>
  <c r="K48" i="23"/>
  <c r="N48" i="23"/>
  <c r="W48" i="23"/>
  <c r="L50" i="23"/>
  <c r="J56" i="23"/>
  <c r="J69" i="23"/>
  <c r="K77" i="23"/>
  <c r="N77" i="23"/>
  <c r="W77" i="23"/>
  <c r="L80" i="23"/>
  <c r="L89" i="23"/>
  <c r="K106" i="23"/>
  <c r="N106" i="23"/>
  <c r="W106" i="23"/>
  <c r="J108" i="23"/>
  <c r="L110" i="23"/>
  <c r="J115" i="23"/>
  <c r="U123" i="23"/>
  <c r="Q123" i="23"/>
  <c r="K123" i="23"/>
  <c r="N123" i="23"/>
  <c r="W123" i="23"/>
  <c r="X123" i="23"/>
  <c r="Y123" i="23"/>
  <c r="AC123" i="23"/>
  <c r="AD123" i="23"/>
  <c r="AT158" i="2"/>
  <c r="J123" i="23"/>
  <c r="K125" i="23"/>
  <c r="N125" i="23"/>
  <c r="W125" i="23"/>
  <c r="J128" i="23"/>
  <c r="Q136" i="23"/>
  <c r="X136" i="23"/>
  <c r="Y136" i="23"/>
  <c r="AC136" i="23"/>
  <c r="AD136" i="23"/>
  <c r="AT171" i="2"/>
  <c r="K133" i="23"/>
  <c r="N133" i="23"/>
  <c r="W133" i="23"/>
  <c r="L138" i="23"/>
  <c r="J143" i="23"/>
  <c r="L145" i="23"/>
  <c r="L147" i="23"/>
  <c r="L152" i="23"/>
  <c r="J157" i="23"/>
  <c r="K159" i="23"/>
  <c r="N159" i="23"/>
  <c r="W159" i="23"/>
  <c r="K170" i="23"/>
  <c r="N170" i="23"/>
  <c r="W170" i="23"/>
  <c r="L173" i="23"/>
  <c r="K189" i="23"/>
  <c r="N189" i="23"/>
  <c r="W189" i="23"/>
  <c r="K191" i="23"/>
  <c r="N191" i="23"/>
  <c r="W191" i="23"/>
  <c r="K205" i="23"/>
  <c r="N205" i="23"/>
  <c r="W205" i="23"/>
  <c r="J208" i="23"/>
  <c r="K216" i="23"/>
  <c r="N216" i="23"/>
  <c r="W216" i="23"/>
  <c r="L221" i="23"/>
  <c r="K235" i="23"/>
  <c r="N235" i="23"/>
  <c r="W235" i="23"/>
  <c r="K237" i="23"/>
  <c r="N237" i="23"/>
  <c r="W237" i="23"/>
  <c r="K239" i="23"/>
  <c r="N239" i="23"/>
  <c r="W239" i="23"/>
  <c r="K254" i="23"/>
  <c r="N254" i="23"/>
  <c r="W254" i="23"/>
  <c r="L14" i="23"/>
  <c r="L16" i="23"/>
  <c r="J21" i="23"/>
  <c r="L26" i="23"/>
  <c r="J28" i="23"/>
  <c r="K30" i="23"/>
  <c r="N30" i="23"/>
  <c r="W30" i="23"/>
  <c r="J35" i="23"/>
  <c r="L37" i="23"/>
  <c r="L40" i="23"/>
  <c r="L43" i="23"/>
  <c r="K62" i="23"/>
  <c r="N62" i="23"/>
  <c r="W62" i="23"/>
  <c r="K64" i="23"/>
  <c r="N64" i="23"/>
  <c r="W64" i="23"/>
  <c r="K67" i="23"/>
  <c r="N67" i="23"/>
  <c r="W67" i="23"/>
  <c r="K16" i="23"/>
  <c r="N16" i="23"/>
  <c r="W16" i="23"/>
  <c r="L18" i="23"/>
  <c r="K23" i="23"/>
  <c r="N23" i="23"/>
  <c r="W23" i="23"/>
  <c r="J32" i="23"/>
  <c r="K37" i="23"/>
  <c r="N37" i="23"/>
  <c r="W37" i="23"/>
  <c r="L48" i="23"/>
  <c r="L53" i="23"/>
  <c r="K59" i="23"/>
  <c r="N59" i="23"/>
  <c r="W59" i="23"/>
  <c r="L69" i="23"/>
  <c r="J75" i="23"/>
  <c r="J101" i="23"/>
  <c r="Q109" i="23"/>
  <c r="L106" i="23"/>
  <c r="K118" i="23"/>
  <c r="N118" i="23"/>
  <c r="W118" i="23"/>
  <c r="K141" i="23"/>
  <c r="N141" i="23"/>
  <c r="W141" i="23"/>
  <c r="K143" i="23"/>
  <c r="N143" i="23"/>
  <c r="W143" i="23"/>
  <c r="K150" i="23"/>
  <c r="N150" i="23"/>
  <c r="W150" i="23"/>
  <c r="J155" i="23"/>
  <c r="L157" i="23"/>
  <c r="J162" i="23"/>
  <c r="K167" i="23"/>
  <c r="N167" i="23"/>
  <c r="W167" i="23"/>
  <c r="L176" i="23"/>
  <c r="L181" i="23"/>
  <c r="J184" i="23"/>
  <c r="L189" i="23"/>
  <c r="J197" i="23"/>
  <c r="J203" i="23"/>
  <c r="L208" i="23"/>
  <c r="L233" i="23"/>
  <c r="L235" i="23"/>
  <c r="L237" i="23"/>
  <c r="K242" i="23"/>
  <c r="N242" i="23"/>
  <c r="W242" i="23"/>
  <c r="J19" i="23"/>
  <c r="K24" i="23"/>
  <c r="N24" i="23"/>
  <c r="W24" i="23"/>
  <c r="L33" i="23"/>
  <c r="L35" i="23"/>
  <c r="L49" i="23"/>
  <c r="J60" i="23"/>
  <c r="J76" i="23"/>
  <c r="J93" i="23"/>
  <c r="K96" i="23"/>
  <c r="N96" i="23"/>
  <c r="W96" i="23"/>
  <c r="L99" i="23"/>
  <c r="L102" i="23"/>
  <c r="J107" i="23"/>
  <c r="L109" i="23"/>
  <c r="J114" i="23"/>
  <c r="K119" i="23"/>
  <c r="N119" i="23"/>
  <c r="W119" i="23"/>
  <c r="J124" i="23"/>
  <c r="Q132" i="23"/>
  <c r="L139" i="23"/>
  <c r="J144" i="23"/>
  <c r="Q152" i="23"/>
  <c r="K152" i="23"/>
  <c r="N152" i="23"/>
  <c r="W152" i="23"/>
  <c r="X152" i="23"/>
  <c r="Y152" i="23"/>
  <c r="AC152" i="23"/>
  <c r="AD152" i="23"/>
  <c r="AT187" i="2"/>
  <c r="L146" i="23"/>
  <c r="K151" i="23"/>
  <c r="N151" i="23"/>
  <c r="W151" i="23"/>
  <c r="K158" i="23"/>
  <c r="N158" i="23"/>
  <c r="W158" i="23"/>
  <c r="K160" i="23"/>
  <c r="N160" i="23"/>
  <c r="W160" i="23"/>
  <c r="L177" i="23"/>
  <c r="L182" i="23"/>
  <c r="K190" i="23"/>
  <c r="N190" i="23"/>
  <c r="W190" i="23"/>
  <c r="L195" i="23"/>
  <c r="J226" i="23"/>
  <c r="J229" i="23"/>
  <c r="L234" i="23"/>
  <c r="J236" i="23"/>
  <c r="K238" i="23"/>
  <c r="N238" i="23"/>
  <c r="W238" i="23"/>
  <c r="J243" i="23"/>
  <c r="K248" i="23"/>
  <c r="N248" i="23"/>
  <c r="W248" i="23"/>
  <c r="L250" i="23"/>
  <c r="J15" i="23"/>
  <c r="L17" i="23"/>
  <c r="J27" i="23"/>
  <c r="J29" i="23"/>
  <c r="J31" i="23"/>
  <c r="L38" i="23"/>
  <c r="J58" i="23"/>
  <c r="K74" i="23"/>
  <c r="N74" i="23"/>
  <c r="W74" i="23"/>
  <c r="J82" i="23"/>
  <c r="J85" i="23"/>
  <c r="K88" i="23"/>
  <c r="N88" i="23"/>
  <c r="W88" i="23"/>
  <c r="L107" i="23"/>
  <c r="K114" i="23"/>
  <c r="N114" i="23"/>
  <c r="W114" i="23"/>
  <c r="J117" i="23"/>
  <c r="Q125" i="23"/>
  <c r="K122" i="23"/>
  <c r="N122" i="23"/>
  <c r="W122" i="23"/>
  <c r="J127" i="23"/>
  <c r="L137" i="23"/>
  <c r="K142" i="23"/>
  <c r="N142" i="23"/>
  <c r="W142" i="23"/>
  <c r="L144" i="23"/>
  <c r="J149" i="23"/>
  <c r="K154" i="23"/>
  <c r="N154" i="23"/>
  <c r="W154" i="23"/>
  <c r="J156" i="23"/>
  <c r="L158" i="23"/>
  <c r="J163" i="23"/>
  <c r="K223" i="23"/>
  <c r="N223" i="23"/>
  <c r="W223" i="23"/>
  <c r="K229" i="23"/>
  <c r="N229" i="23"/>
  <c r="W229" i="23"/>
  <c r="K246" i="23"/>
  <c r="N246" i="23"/>
  <c r="W246" i="23"/>
  <c r="L248" i="23"/>
  <c r="J253" i="23"/>
  <c r="K250" i="23"/>
  <c r="N250" i="23"/>
  <c r="W250" i="23"/>
  <c r="L241" i="23"/>
  <c r="J235" i="23"/>
  <c r="J216" i="23"/>
  <c r="J213" i="23"/>
  <c r="L210" i="23"/>
  <c r="L201" i="23"/>
  <c r="J179" i="23"/>
  <c r="L136" i="23"/>
  <c r="L121" i="23"/>
  <c r="L74" i="23"/>
  <c r="K27" i="23"/>
  <c r="N27" i="23"/>
  <c r="W27" i="23"/>
  <c r="L239" i="22"/>
  <c r="J165" i="22"/>
  <c r="J252" i="23"/>
  <c r="K231" i="23"/>
  <c r="N231" i="23"/>
  <c r="W231" i="23"/>
  <c r="J218" i="23"/>
  <c r="K206" i="23"/>
  <c r="N206" i="23"/>
  <c r="W206" i="23"/>
  <c r="K203" i="23"/>
  <c r="N203" i="23"/>
  <c r="W203" i="23"/>
  <c r="L187" i="23"/>
  <c r="K175" i="23"/>
  <c r="N175" i="23"/>
  <c r="W175" i="23"/>
  <c r="L165" i="23"/>
  <c r="K162" i="23"/>
  <c r="N162" i="23"/>
  <c r="W162" i="23"/>
  <c r="L155" i="23"/>
  <c r="J133" i="23"/>
  <c r="K130" i="23"/>
  <c r="N130" i="23"/>
  <c r="W130" i="23"/>
  <c r="L117" i="23"/>
  <c r="L104" i="23"/>
  <c r="L94" i="23"/>
  <c r="J91" i="23"/>
  <c r="K66" i="23"/>
  <c r="N66" i="23"/>
  <c r="W66" i="23"/>
  <c r="L46" i="23"/>
  <c r="K35" i="23"/>
  <c r="N35" i="23"/>
  <c r="W35" i="23"/>
  <c r="K29" i="23"/>
  <c r="N29" i="23"/>
  <c r="W29" i="23"/>
  <c r="J20" i="23"/>
  <c r="L13" i="23"/>
  <c r="L18" i="22"/>
  <c r="J71" i="22"/>
  <c r="K115" i="22"/>
  <c r="AB115" i="22"/>
  <c r="L154" i="22"/>
  <c r="J192" i="22"/>
  <c r="K229" i="22"/>
  <c r="N229" i="22"/>
  <c r="W229" i="22"/>
  <c r="J193" i="22"/>
  <c r="K20" i="22"/>
  <c r="N20" i="22"/>
  <c r="W20" i="22"/>
  <c r="L71" i="22"/>
  <c r="K116" i="22"/>
  <c r="N116" i="22"/>
  <c r="W116" i="22"/>
  <c r="K156" i="22"/>
  <c r="N156" i="22"/>
  <c r="W156" i="22"/>
  <c r="K230" i="22"/>
  <c r="N230" i="22"/>
  <c r="W230" i="22"/>
  <c r="L46" i="22"/>
  <c r="J93" i="22"/>
  <c r="J136" i="22"/>
  <c r="L173" i="22"/>
  <c r="K210" i="22"/>
  <c r="N210" i="22"/>
  <c r="W210" i="22"/>
  <c r="L246" i="22"/>
  <c r="K47" i="22"/>
  <c r="N47" i="22"/>
  <c r="W47" i="22"/>
  <c r="K95" i="22"/>
  <c r="N95" i="22"/>
  <c r="W95" i="22"/>
  <c r="K137" i="22"/>
  <c r="N137" i="22"/>
  <c r="W137" i="22"/>
  <c r="L174" i="22"/>
  <c r="J212" i="22"/>
  <c r="K247" i="22"/>
  <c r="N247" i="22"/>
  <c r="W247" i="22"/>
  <c r="K238" i="22"/>
  <c r="N238" i="22"/>
  <c r="W238" i="22"/>
  <c r="K164" i="22"/>
  <c r="N164" i="22"/>
  <c r="W164" i="22"/>
  <c r="J83" i="22"/>
  <c r="Q162" i="23"/>
  <c r="U130" i="23"/>
  <c r="Q130" i="23"/>
  <c r="X130" i="23"/>
  <c r="Y130" i="23"/>
  <c r="AC130" i="23"/>
  <c r="AD130" i="23"/>
  <c r="AT165" i="2"/>
  <c r="T130" i="23"/>
  <c r="U114" i="23"/>
  <c r="S114" i="23"/>
  <c r="T98" i="23"/>
  <c r="S98" i="23"/>
  <c r="T42" i="23"/>
  <c r="Q42" i="23"/>
  <c r="X42" i="23"/>
  <c r="Y42" i="23"/>
  <c r="AC42" i="23"/>
  <c r="AD42" i="23"/>
  <c r="AT77" i="2"/>
  <c r="U42" i="23"/>
  <c r="L220" i="22"/>
  <c r="L146" i="22"/>
  <c r="L60" i="22"/>
  <c r="L227" i="23"/>
  <c r="J180" i="23"/>
  <c r="L171" i="23"/>
  <c r="L141" i="23"/>
  <c r="J135" i="23"/>
  <c r="K110" i="23"/>
  <c r="N110" i="23"/>
  <c r="W110" i="23"/>
  <c r="L62" i="23"/>
  <c r="K31" i="23"/>
  <c r="N31" i="23"/>
  <c r="W31" i="23"/>
  <c r="L22" i="23"/>
  <c r="Q116" i="22"/>
  <c r="S12" i="22"/>
  <c r="U148" i="23"/>
  <c r="T148" i="23"/>
  <c r="S140" i="23"/>
  <c r="T140" i="23"/>
  <c r="S124" i="23"/>
  <c r="U124" i="23"/>
  <c r="S92" i="23"/>
  <c r="T92" i="23"/>
  <c r="S76" i="23"/>
  <c r="T76" i="23"/>
  <c r="S152" i="23"/>
  <c r="S144" i="23"/>
  <c r="T144" i="23"/>
  <c r="T120" i="23"/>
  <c r="S120" i="23"/>
  <c r="S112" i="23"/>
  <c r="T112" i="23"/>
  <c r="U88" i="23"/>
  <c r="S88" i="23"/>
  <c r="T16" i="23"/>
  <c r="Q16" i="23"/>
  <c r="X16" i="23"/>
  <c r="U16" i="23"/>
  <c r="U128" i="23"/>
  <c r="Q128" i="23"/>
  <c r="T116" i="23"/>
  <c r="T76" i="22"/>
  <c r="Q76" i="22"/>
  <c r="S31" i="22"/>
  <c r="Q31" i="22"/>
  <c r="S160" i="23"/>
  <c r="T84" i="23"/>
  <c r="U101" i="23"/>
  <c r="Q101" i="23"/>
  <c r="X101" i="23"/>
  <c r="Y101" i="23"/>
  <c r="AC101" i="23"/>
  <c r="AD101" i="23"/>
  <c r="AT136" i="2"/>
  <c r="AC19" i="23"/>
  <c r="AD19" i="23"/>
  <c r="AT54" i="2"/>
  <c r="K14" i="22"/>
  <c r="N14" i="22"/>
  <c r="W14" i="22"/>
  <c r="J17" i="22"/>
  <c r="L19" i="22"/>
  <c r="K22" i="22"/>
  <c r="J25" i="22"/>
  <c r="L27" i="22"/>
  <c r="K30" i="22"/>
  <c r="J33" i="22"/>
  <c r="L35" i="22"/>
  <c r="K38" i="22"/>
  <c r="J41" i="22"/>
  <c r="L43" i="22"/>
  <c r="K46" i="22"/>
  <c r="N46" i="22"/>
  <c r="W46" i="22"/>
  <c r="J49" i="22"/>
  <c r="L51" i="22"/>
  <c r="K54" i="22"/>
  <c r="J57" i="22"/>
  <c r="L59" i="22"/>
  <c r="K62" i="22"/>
  <c r="J65" i="22"/>
  <c r="L67" i="22"/>
  <c r="K70" i="22"/>
  <c r="J73" i="22"/>
  <c r="L75" i="22"/>
  <c r="K78" i="22"/>
  <c r="N78" i="22"/>
  <c r="W78" i="22"/>
  <c r="J81" i="22"/>
  <c r="L83" i="22"/>
  <c r="K86" i="22"/>
  <c r="J89" i="22"/>
  <c r="L91" i="22"/>
  <c r="K94" i="22"/>
  <c r="J97" i="22"/>
  <c r="L99" i="22"/>
  <c r="K102" i="22"/>
  <c r="N102" i="22"/>
  <c r="W102" i="22"/>
  <c r="J105" i="22"/>
  <c r="L107" i="22"/>
  <c r="K110" i="22"/>
  <c r="N110" i="22"/>
  <c r="W110" i="22"/>
  <c r="J113" i="22"/>
  <c r="L115" i="22"/>
  <c r="K118" i="22"/>
  <c r="N118" i="22"/>
  <c r="W118" i="22"/>
  <c r="J121" i="22"/>
  <c r="L123" i="22"/>
  <c r="K126" i="22"/>
  <c r="J129" i="22"/>
  <c r="L131" i="22"/>
  <c r="K134" i="22"/>
  <c r="N134" i="22"/>
  <c r="W134" i="22"/>
  <c r="J137" i="22"/>
  <c r="K11" i="22"/>
  <c r="L14" i="22"/>
  <c r="L17" i="22"/>
  <c r="L20" i="22"/>
  <c r="L23" i="22"/>
  <c r="L26" i="22"/>
  <c r="L29" i="22"/>
  <c r="L32" i="22"/>
  <c r="J36" i="22"/>
  <c r="J39" i="22"/>
  <c r="J42" i="22"/>
  <c r="J45" i="22"/>
  <c r="J48" i="22"/>
  <c r="J51" i="22"/>
  <c r="J54" i="22"/>
  <c r="K57" i="22"/>
  <c r="K60" i="22"/>
  <c r="N60" i="22"/>
  <c r="W60" i="22"/>
  <c r="K63" i="22"/>
  <c r="N63" i="22"/>
  <c r="W63" i="22"/>
  <c r="K66" i="22"/>
  <c r="N66" i="22"/>
  <c r="W66" i="22"/>
  <c r="K69" i="22"/>
  <c r="N69" i="22"/>
  <c r="W69" i="22"/>
  <c r="K72" i="22"/>
  <c r="K75" i="22"/>
  <c r="L78" i="22"/>
  <c r="L81" i="22"/>
  <c r="L84" i="22"/>
  <c r="L87" i="22"/>
  <c r="L90" i="22"/>
  <c r="L93" i="22"/>
  <c r="L96" i="22"/>
  <c r="J100" i="22"/>
  <c r="J103" i="22"/>
  <c r="J106" i="22"/>
  <c r="J109" i="22"/>
  <c r="J112" i="22"/>
  <c r="J115" i="22"/>
  <c r="J118" i="22"/>
  <c r="K121" i="22"/>
  <c r="N121" i="22"/>
  <c r="W121" i="22"/>
  <c r="K124" i="22"/>
  <c r="N124" i="22"/>
  <c r="W124" i="22"/>
  <c r="K127" i="22"/>
  <c r="N127" i="22"/>
  <c r="W127" i="22"/>
  <c r="K130" i="22"/>
  <c r="K133" i="22"/>
  <c r="N133" i="22"/>
  <c r="W133" i="22"/>
  <c r="K136" i="22"/>
  <c r="K139" i="22"/>
  <c r="N139" i="22"/>
  <c r="W139" i="22"/>
  <c r="X139" i="22"/>
  <c r="Y139" i="22"/>
  <c r="J142" i="22"/>
  <c r="L144" i="22"/>
  <c r="K147" i="22"/>
  <c r="J150" i="22"/>
  <c r="L152" i="22"/>
  <c r="K155" i="22"/>
  <c r="N155" i="22"/>
  <c r="W155" i="22"/>
  <c r="J158" i="22"/>
  <c r="L160" i="22"/>
  <c r="K163" i="22"/>
  <c r="J166" i="22"/>
  <c r="L168" i="22"/>
  <c r="K171" i="22"/>
  <c r="N171" i="22"/>
  <c r="W171" i="22"/>
  <c r="J174" i="22"/>
  <c r="L176" i="22"/>
  <c r="K179" i="22"/>
  <c r="N179" i="22"/>
  <c r="W179" i="22"/>
  <c r="J182" i="22"/>
  <c r="L184" i="22"/>
  <c r="K187" i="22"/>
  <c r="N187" i="22"/>
  <c r="W187" i="22"/>
  <c r="J190" i="22"/>
  <c r="L192" i="22"/>
  <c r="K195" i="22"/>
  <c r="N195" i="22"/>
  <c r="W195" i="22"/>
  <c r="J198" i="22"/>
  <c r="L200" i="22"/>
  <c r="K203" i="22"/>
  <c r="N203" i="22"/>
  <c r="W203" i="22"/>
  <c r="J206" i="22"/>
  <c r="L208" i="22"/>
  <c r="K211" i="22"/>
  <c r="N211" i="22"/>
  <c r="W211" i="22"/>
  <c r="J214" i="22"/>
  <c r="L216" i="22"/>
  <c r="K219" i="22"/>
  <c r="N219" i="22"/>
  <c r="W219" i="22"/>
  <c r="J222" i="22"/>
  <c r="L224" i="22"/>
  <c r="K227" i="22"/>
  <c r="N227" i="22"/>
  <c r="W227" i="22"/>
  <c r="J230" i="22"/>
  <c r="L232" i="22"/>
  <c r="K235" i="22"/>
  <c r="N235" i="22"/>
  <c r="W235" i="22"/>
  <c r="J238" i="22"/>
  <c r="L240" i="22"/>
  <c r="K243" i="22"/>
  <c r="N243" i="22"/>
  <c r="W243" i="22"/>
  <c r="J246" i="22"/>
  <c r="L248" i="22"/>
  <c r="K251" i="22"/>
  <c r="N251" i="22"/>
  <c r="W251" i="22"/>
  <c r="J254" i="22"/>
  <c r="L13" i="22"/>
  <c r="K17" i="22"/>
  <c r="N17" i="22"/>
  <c r="W17" i="22"/>
  <c r="J21" i="22"/>
  <c r="K24" i="22"/>
  <c r="J28" i="22"/>
  <c r="K31" i="22"/>
  <c r="L34" i="22"/>
  <c r="J38" i="22"/>
  <c r="L41" i="22"/>
  <c r="K45" i="22"/>
  <c r="N45" i="22"/>
  <c r="W45" i="22"/>
  <c r="L48" i="22"/>
  <c r="K52" i="22"/>
  <c r="N52" i="22"/>
  <c r="W52" i="22"/>
  <c r="L55" i="22"/>
  <c r="J59" i="22"/>
  <c r="L62" i="22"/>
  <c r="J66" i="22"/>
  <c r="L69" i="22"/>
  <c r="K73" i="22"/>
  <c r="N73" i="22"/>
  <c r="W73" i="22"/>
  <c r="L76" i="22"/>
  <c r="J80" i="22"/>
  <c r="K83" i="22"/>
  <c r="J87" i="22"/>
  <c r="K90" i="22"/>
  <c r="N90" i="22"/>
  <c r="W90" i="22"/>
  <c r="J94" i="22"/>
  <c r="L97" i="22"/>
  <c r="J101" i="22"/>
  <c r="K104" i="22"/>
  <c r="J108" i="22"/>
  <c r="K111" i="22"/>
  <c r="N111" i="22"/>
  <c r="W111" i="22"/>
  <c r="L114" i="22"/>
  <c r="L118" i="22"/>
  <c r="J122" i="22"/>
  <c r="K125" i="22"/>
  <c r="L128" i="22"/>
  <c r="K132" i="22"/>
  <c r="N132" i="22"/>
  <c r="W132" i="22"/>
  <c r="L135" i="22"/>
  <c r="J139" i="22"/>
  <c r="K142" i="22"/>
  <c r="N142" i="22"/>
  <c r="W142" i="22"/>
  <c r="K145" i="22"/>
  <c r="K148" i="22"/>
  <c r="N148" i="22"/>
  <c r="W148" i="22"/>
  <c r="K151" i="22"/>
  <c r="K154" i="22"/>
  <c r="N154" i="22"/>
  <c r="W154" i="22"/>
  <c r="K157" i="22"/>
  <c r="N157" i="22"/>
  <c r="W157" i="22"/>
  <c r="K160" i="22"/>
  <c r="N160" i="22"/>
  <c r="W160" i="22"/>
  <c r="L163" i="22"/>
  <c r="L166" i="22"/>
  <c r="L169" i="22"/>
  <c r="L172" i="22"/>
  <c r="L175" i="22"/>
  <c r="L178" i="22"/>
  <c r="L181" i="22"/>
  <c r="J185" i="22"/>
  <c r="J188" i="22"/>
  <c r="J191" i="22"/>
  <c r="J194" i="22"/>
  <c r="J197" i="22"/>
  <c r="J200" i="22"/>
  <c r="J203" i="22"/>
  <c r="K206" i="22"/>
  <c r="N206" i="22"/>
  <c r="W206" i="22"/>
  <c r="K209" i="22"/>
  <c r="N209" i="22"/>
  <c r="W209" i="22"/>
  <c r="K212" i="22"/>
  <c r="N212" i="22"/>
  <c r="W212" i="22"/>
  <c r="K215" i="22"/>
  <c r="N215" i="22"/>
  <c r="W215" i="22"/>
  <c r="K218" i="22"/>
  <c r="N218" i="22"/>
  <c r="W218" i="22"/>
  <c r="K221" i="22"/>
  <c r="N221" i="22"/>
  <c r="W221" i="22"/>
  <c r="K224" i="22"/>
  <c r="N224" i="22"/>
  <c r="W224" i="22"/>
  <c r="L227" i="22"/>
  <c r="L230" i="22"/>
  <c r="L233" i="22"/>
  <c r="L236" i="22"/>
  <c r="J14" i="22"/>
  <c r="J18" i="22"/>
  <c r="K21" i="22"/>
  <c r="N21" i="22"/>
  <c r="W21" i="22"/>
  <c r="L24" i="22"/>
  <c r="K28" i="22"/>
  <c r="N28" i="22"/>
  <c r="W28" i="22"/>
  <c r="L31" i="22"/>
  <c r="J15" i="22"/>
  <c r="K18" i="22"/>
  <c r="L21" i="22"/>
  <c r="K25" i="22"/>
  <c r="N25" i="22"/>
  <c r="W25" i="22"/>
  <c r="L28" i="22"/>
  <c r="J32" i="22"/>
  <c r="K35" i="22"/>
  <c r="N35" i="22"/>
  <c r="W35" i="22"/>
  <c r="K39" i="22"/>
  <c r="N39" i="22"/>
  <c r="W39" i="22"/>
  <c r="L42" i="22"/>
  <c r="J46" i="22"/>
  <c r="L49" i="22"/>
  <c r="J53" i="22"/>
  <c r="K56" i="22"/>
  <c r="J60" i="22"/>
  <c r="L63" i="22"/>
  <c r="J67" i="22"/>
  <c r="L70" i="22"/>
  <c r="J74" i="22"/>
  <c r="K77" i="22"/>
  <c r="N77" i="22"/>
  <c r="W77" i="22"/>
  <c r="L80" i="22"/>
  <c r="K13" i="22"/>
  <c r="N13" i="22"/>
  <c r="W13" i="22"/>
  <c r="K19" i="22"/>
  <c r="L25" i="22"/>
  <c r="L30" i="22"/>
  <c r="K36" i="22"/>
  <c r="N36" i="22"/>
  <c r="W36" i="22"/>
  <c r="K40" i="22"/>
  <c r="L44" i="22"/>
  <c r="J50" i="22"/>
  <c r="L54" i="22"/>
  <c r="L58" i="22"/>
  <c r="J64" i="22"/>
  <c r="K68" i="22"/>
  <c r="N68" i="22"/>
  <c r="W68" i="22"/>
  <c r="L72" i="22"/>
  <c r="L77" i="22"/>
  <c r="K82" i="22"/>
  <c r="J86" i="22"/>
  <c r="J90" i="22"/>
  <c r="L94" i="22"/>
  <c r="K98" i="22"/>
  <c r="J102" i="22"/>
  <c r="K106" i="22"/>
  <c r="J110" i="22"/>
  <c r="J114" i="22"/>
  <c r="L117" i="22"/>
  <c r="K122" i="22"/>
  <c r="J126" i="22"/>
  <c r="J130" i="22"/>
  <c r="J134" i="22"/>
  <c r="J138" i="22"/>
  <c r="K141" i="22"/>
  <c r="J145" i="22"/>
  <c r="L148" i="22"/>
  <c r="J152" i="22"/>
  <c r="L155" i="22"/>
  <c r="J159" i="22"/>
  <c r="K162" i="22"/>
  <c r="L165" i="22"/>
  <c r="K169" i="22"/>
  <c r="N169" i="22"/>
  <c r="W169" i="22"/>
  <c r="J173" i="22"/>
  <c r="K176" i="22"/>
  <c r="N176" i="22"/>
  <c r="W176" i="22"/>
  <c r="J180" i="22"/>
  <c r="K183" i="22"/>
  <c r="N183" i="22"/>
  <c r="W183" i="22"/>
  <c r="L186" i="22"/>
  <c r="K190" i="22"/>
  <c r="N190" i="22"/>
  <c r="W190" i="22"/>
  <c r="L193" i="22"/>
  <c r="K197" i="22"/>
  <c r="N197" i="22"/>
  <c r="W197" i="22"/>
  <c r="J201" i="22"/>
  <c r="K204" i="22"/>
  <c r="N204" i="22"/>
  <c r="W204" i="22"/>
  <c r="L207" i="22"/>
  <c r="J211" i="22"/>
  <c r="L214" i="22"/>
  <c r="J218" i="22"/>
  <c r="L221" i="22"/>
  <c r="K225" i="22"/>
  <c r="N225" i="22"/>
  <c r="W225" i="22"/>
  <c r="L228" i="22"/>
  <c r="J232" i="22"/>
  <c r="L235" i="22"/>
  <c r="J239" i="22"/>
  <c r="J242" i="22"/>
  <c r="J245" i="22"/>
  <c r="J248" i="22"/>
  <c r="J251" i="22"/>
  <c r="K254" i="22"/>
  <c r="N254" i="22"/>
  <c r="W254" i="22"/>
  <c r="J11" i="22"/>
  <c r="K15" i="22"/>
  <c r="J20" i="22"/>
  <c r="J26" i="22"/>
  <c r="J31" i="22"/>
  <c r="L36" i="22"/>
  <c r="L40" i="22"/>
  <c r="L45" i="22"/>
  <c r="K50" i="22"/>
  <c r="N50" i="22"/>
  <c r="W50" i="22"/>
  <c r="J55" i="22"/>
  <c r="K59" i="22"/>
  <c r="N59" i="22"/>
  <c r="W59" i="22"/>
  <c r="K64" i="22"/>
  <c r="L68" i="22"/>
  <c r="L73" i="22"/>
  <c r="J78" i="22"/>
  <c r="L82" i="22"/>
  <c r="L86" i="22"/>
  <c r="J91" i="22"/>
  <c r="J95" i="22"/>
  <c r="L98" i="22"/>
  <c r="L102" i="22"/>
  <c r="L106" i="22"/>
  <c r="L110" i="22"/>
  <c r="K114" i="22"/>
  <c r="J119" i="22"/>
  <c r="L122" i="22"/>
  <c r="L126" i="22"/>
  <c r="L130" i="22"/>
  <c r="L134" i="22"/>
  <c r="K138" i="22"/>
  <c r="L141" i="22"/>
  <c r="L145" i="22"/>
  <c r="J149" i="22"/>
  <c r="K152" i="22"/>
  <c r="J156" i="22"/>
  <c r="K159" i="22"/>
  <c r="L162" i="22"/>
  <c r="K166" i="22"/>
  <c r="N166" i="22"/>
  <c r="W166" i="22"/>
  <c r="J170" i="22"/>
  <c r="K173" i="22"/>
  <c r="N173" i="22"/>
  <c r="W173" i="22"/>
  <c r="J177" i="22"/>
  <c r="K180" i="22"/>
  <c r="N180" i="22"/>
  <c r="W180" i="22"/>
  <c r="L183" i="22"/>
  <c r="J187" i="22"/>
  <c r="L190" i="22"/>
  <c r="K194" i="22"/>
  <c r="N194" i="22"/>
  <c r="W194" i="22"/>
  <c r="L197" i="22"/>
  <c r="K201" i="22"/>
  <c r="N201" i="22"/>
  <c r="W201" i="22"/>
  <c r="L204" i="22"/>
  <c r="J208" i="22"/>
  <c r="L211" i="22"/>
  <c r="J215" i="22"/>
  <c r="L218" i="22"/>
  <c r="K222" i="22"/>
  <c r="N222" i="22"/>
  <c r="W222" i="22"/>
  <c r="L225" i="22"/>
  <c r="J229" i="22"/>
  <c r="K232" i="22"/>
  <c r="N232" i="22"/>
  <c r="W232" i="22"/>
  <c r="J236" i="22"/>
  <c r="K239" i="22"/>
  <c r="N239" i="22"/>
  <c r="W239" i="22"/>
  <c r="K242" i="22"/>
  <c r="N242" i="22"/>
  <c r="W242" i="22"/>
  <c r="K245" i="22"/>
  <c r="N245" i="22"/>
  <c r="W245" i="22"/>
  <c r="K248" i="22"/>
  <c r="N248" i="22"/>
  <c r="W248" i="22"/>
  <c r="L251" i="22"/>
  <c r="L254" i="22"/>
  <c r="J13" i="22"/>
  <c r="J22" i="22"/>
  <c r="J29" i="22"/>
  <c r="J35" i="22"/>
  <c r="K42" i="22"/>
  <c r="N42" i="22"/>
  <c r="W42" i="22"/>
  <c r="L47" i="22"/>
  <c r="L53" i="22"/>
  <c r="J61" i="22"/>
  <c r="L66" i="22"/>
  <c r="J72" i="22"/>
  <c r="K79" i="22"/>
  <c r="J85" i="22"/>
  <c r="L89" i="22"/>
  <c r="L95" i="22"/>
  <c r="L100" i="22"/>
  <c r="L105" i="22"/>
  <c r="L111" i="22"/>
  <c r="L116" i="22"/>
  <c r="L121" i="22"/>
  <c r="L127" i="22"/>
  <c r="L132" i="22"/>
  <c r="L137" i="22"/>
  <c r="J143" i="22"/>
  <c r="J147" i="22"/>
  <c r="L151" i="22"/>
  <c r="L156" i="22"/>
  <c r="K161" i="22"/>
  <c r="K165" i="22"/>
  <c r="N165" i="22"/>
  <c r="W165" i="22"/>
  <c r="L170" i="22"/>
  <c r="J175" i="22"/>
  <c r="L179" i="22"/>
  <c r="K184" i="22"/>
  <c r="N184" i="22"/>
  <c r="W184" i="22"/>
  <c r="J189" i="22"/>
  <c r="K193" i="22"/>
  <c r="N193" i="22"/>
  <c r="W193" i="22"/>
  <c r="L198" i="22"/>
  <c r="L202" i="22"/>
  <c r="K207" i="22"/>
  <c r="N207" i="22"/>
  <c r="W207" i="22"/>
  <c r="L212" i="22"/>
  <c r="J217" i="22"/>
  <c r="J221" i="22"/>
  <c r="K226" i="22"/>
  <c r="N226" i="22"/>
  <c r="W226" i="22"/>
  <c r="J231" i="22"/>
  <c r="J235" i="22"/>
  <c r="J240" i="22"/>
  <c r="J244" i="22"/>
  <c r="L247" i="22"/>
  <c r="K252" i="22"/>
  <c r="N252" i="22"/>
  <c r="W252" i="22"/>
  <c r="J16" i="22"/>
  <c r="K37" i="22"/>
  <c r="N37" i="22"/>
  <c r="W37" i="22"/>
  <c r="J56" i="22"/>
  <c r="L74" i="22"/>
  <c r="L85" i="22"/>
  <c r="K96" i="22"/>
  <c r="K107" i="22"/>
  <c r="K117" i="22"/>
  <c r="N117" i="22"/>
  <c r="W117" i="22"/>
  <c r="K128" i="22"/>
  <c r="N128" i="22"/>
  <c r="W128" i="22"/>
  <c r="L139" i="22"/>
  <c r="K153" i="22"/>
  <c r="N153" i="22"/>
  <c r="W153" i="22"/>
  <c r="K167" i="22"/>
  <c r="N167" i="22"/>
  <c r="W167" i="22"/>
  <c r="J176" i="22"/>
  <c r="J181" i="22"/>
  <c r="L185" i="22"/>
  <c r="J195" i="22"/>
  <c r="J204" i="22"/>
  <c r="K213" i="22"/>
  <c r="N213" i="22"/>
  <c r="W213" i="22"/>
  <c r="J227" i="22"/>
  <c r="J237" i="22"/>
  <c r="L244" i="22"/>
  <c r="J253" i="22"/>
  <c r="L15" i="22"/>
  <c r="L22" i="22"/>
  <c r="K29" i="22"/>
  <c r="N29" i="22"/>
  <c r="W29" i="22"/>
  <c r="J37" i="22"/>
  <c r="J43" i="22"/>
  <c r="K48" i="22"/>
  <c r="K55" i="22"/>
  <c r="K61" i="22"/>
  <c r="K67" i="22"/>
  <c r="K74" i="22"/>
  <c r="L79" i="22"/>
  <c r="K85" i="22"/>
  <c r="N85" i="22"/>
  <c r="W85" i="22"/>
  <c r="K91" i="22"/>
  <c r="J96" i="22"/>
  <c r="K101" i="22"/>
  <c r="N101" i="22"/>
  <c r="W101" i="22"/>
  <c r="J107" i="22"/>
  <c r="K112" i="22"/>
  <c r="J117" i="22"/>
  <c r="J123" i="22"/>
  <c r="J128" i="22"/>
  <c r="J133" i="22"/>
  <c r="L138" i="22"/>
  <c r="K143" i="22"/>
  <c r="L147" i="22"/>
  <c r="J153" i="22"/>
  <c r="J157" i="22"/>
  <c r="L161" i="22"/>
  <c r="J167" i="22"/>
  <c r="J171" i="22"/>
  <c r="K175" i="22"/>
  <c r="N175" i="22"/>
  <c r="W175" i="22"/>
  <c r="L180" i="22"/>
  <c r="K185" i="22"/>
  <c r="N185" i="22"/>
  <c r="W185" i="22"/>
  <c r="K189" i="22"/>
  <c r="N189" i="22"/>
  <c r="W189" i="22"/>
  <c r="L194" i="22"/>
  <c r="J199" i="22"/>
  <c r="L203" i="22"/>
  <c r="K208" i="22"/>
  <c r="N208" i="22"/>
  <c r="W208" i="22"/>
  <c r="J213" i="22"/>
  <c r="K217" i="22"/>
  <c r="N217" i="22"/>
  <c r="W217" i="22"/>
  <c r="L222" i="22"/>
  <c r="L226" i="22"/>
  <c r="K231" i="22"/>
  <c r="N231" i="22"/>
  <c r="W231" i="22"/>
  <c r="K236" i="22"/>
  <c r="N236" i="22"/>
  <c r="W236" i="22"/>
  <c r="K240" i="22"/>
  <c r="N240" i="22"/>
  <c r="W240" i="22"/>
  <c r="K244" i="22"/>
  <c r="N244" i="22"/>
  <c r="W244" i="22"/>
  <c r="J249" i="22"/>
  <c r="L252" i="22"/>
  <c r="L11" i="22"/>
  <c r="J23" i="22"/>
  <c r="J30" i="22"/>
  <c r="K43" i="22"/>
  <c r="N43" i="22"/>
  <c r="W43" i="22"/>
  <c r="K49" i="22"/>
  <c r="N49" i="22"/>
  <c r="W49" i="22"/>
  <c r="L61" i="22"/>
  <c r="J68" i="22"/>
  <c r="K80" i="22"/>
  <c r="N80" i="22"/>
  <c r="W80" i="22"/>
  <c r="J92" i="22"/>
  <c r="L101" i="22"/>
  <c r="L112" i="22"/>
  <c r="K123" i="22"/>
  <c r="L133" i="22"/>
  <c r="L143" i="22"/>
  <c r="J148" i="22"/>
  <c r="L157" i="22"/>
  <c r="J162" i="22"/>
  <c r="L171" i="22"/>
  <c r="L189" i="22"/>
  <c r="K199" i="22"/>
  <c r="N199" i="22"/>
  <c r="W199" i="22"/>
  <c r="J209" i="22"/>
  <c r="L217" i="22"/>
  <c r="J223" i="22"/>
  <c r="L231" i="22"/>
  <c r="J241" i="22"/>
  <c r="K249" i="22"/>
  <c r="N249" i="22"/>
  <c r="W249" i="22"/>
  <c r="K12" i="22"/>
  <c r="N12" i="22"/>
  <c r="W12" i="22"/>
  <c r="X12" i="22"/>
  <c r="J19" i="22"/>
  <c r="J27" i="22"/>
  <c r="J34" i="22"/>
  <c r="J40" i="22"/>
  <c r="J47" i="22"/>
  <c r="L52" i="22"/>
  <c r="K58" i="22"/>
  <c r="K65" i="22"/>
  <c r="K71" i="22"/>
  <c r="J77" i="22"/>
  <c r="J84" i="22"/>
  <c r="L88" i="22"/>
  <c r="K93" i="22"/>
  <c r="N93" i="22"/>
  <c r="W93" i="22"/>
  <c r="K99" i="22"/>
  <c r="N99" i="22"/>
  <c r="W99" i="22"/>
  <c r="L104" i="22"/>
  <c r="L109" i="22"/>
  <c r="J116" i="22"/>
  <c r="K120" i="22"/>
  <c r="L125" i="22"/>
  <c r="K131" i="22"/>
  <c r="L136" i="22"/>
  <c r="J141" i="22"/>
  <c r="K146" i="22"/>
  <c r="N146" i="22"/>
  <c r="W146" i="22"/>
  <c r="L150" i="22"/>
  <c r="J155" i="22"/>
  <c r="J160" i="22"/>
  <c r="L164" i="22"/>
  <c r="J169" i="22"/>
  <c r="K174" i="22"/>
  <c r="N174" i="22"/>
  <c r="W174" i="22"/>
  <c r="K178" i="22"/>
  <c r="N178" i="22"/>
  <c r="W178" i="22"/>
  <c r="J183" i="22"/>
  <c r="K188" i="22"/>
  <c r="N188" i="22"/>
  <c r="W188" i="22"/>
  <c r="K192" i="22"/>
  <c r="N192" i="22"/>
  <c r="W192" i="22"/>
  <c r="L196" i="22"/>
  <c r="J202" i="22"/>
  <c r="L206" i="22"/>
  <c r="L210" i="22"/>
  <c r="J216" i="22"/>
  <c r="K220" i="22"/>
  <c r="N220" i="22"/>
  <c r="W220" i="22"/>
  <c r="J225" i="22"/>
  <c r="L229" i="22"/>
  <c r="K234" i="22"/>
  <c r="N234" i="22"/>
  <c r="W234" i="22"/>
  <c r="L238" i="22"/>
  <c r="J243" i="22"/>
  <c r="J247" i="22"/>
  <c r="L250" i="22"/>
  <c r="K255" i="22"/>
  <c r="N255" i="22"/>
  <c r="W255" i="22"/>
  <c r="L253" i="22"/>
  <c r="K228" i="22"/>
  <c r="N228" i="22"/>
  <c r="W228" i="22"/>
  <c r="K200" i="22"/>
  <c r="N200" i="22"/>
  <c r="W200" i="22"/>
  <c r="J164" i="22"/>
  <c r="K144" i="22"/>
  <c r="N144" i="22"/>
  <c r="W144" i="22"/>
  <c r="L113" i="22"/>
  <c r="J82" i="22"/>
  <c r="K44" i="22"/>
  <c r="L16" i="22"/>
  <c r="K237" i="22"/>
  <c r="N237" i="22"/>
  <c r="W237" i="22"/>
  <c r="K191" i="22"/>
  <c r="N191" i="22"/>
  <c r="W191" i="22"/>
  <c r="J144" i="22"/>
  <c r="K81" i="22"/>
  <c r="N81" i="22"/>
  <c r="W81" i="22"/>
  <c r="AB35" i="22"/>
  <c r="AC35" i="22"/>
  <c r="AD35" i="22"/>
  <c r="L243" i="22"/>
  <c r="J207" i="22"/>
  <c r="J179" i="22"/>
  <c r="J151" i="22"/>
  <c r="L120" i="22"/>
  <c r="J79" i="22"/>
  <c r="K27" i="22"/>
  <c r="N27" i="22"/>
  <c r="W27" i="22"/>
  <c r="K250" i="22"/>
  <c r="N250" i="22"/>
  <c r="W250" i="22"/>
  <c r="J234" i="22"/>
  <c r="J224" i="22"/>
  <c r="L215" i="22"/>
  <c r="L205" i="22"/>
  <c r="K196" i="22"/>
  <c r="N196" i="22"/>
  <c r="W196" i="22"/>
  <c r="L187" i="22"/>
  <c r="J178" i="22"/>
  <c r="K168" i="22"/>
  <c r="N168" i="22"/>
  <c r="W168" i="22"/>
  <c r="K150" i="22"/>
  <c r="N150" i="22"/>
  <c r="W150" i="22"/>
  <c r="L140" i="22"/>
  <c r="J131" i="22"/>
  <c r="J120" i="22"/>
  <c r="K109" i="22"/>
  <c r="J99" i="22"/>
  <c r="K88" i="22"/>
  <c r="K76" i="22"/>
  <c r="N76" i="22"/>
  <c r="W76" i="22"/>
  <c r="L64" i="22"/>
  <c r="J52" i="22"/>
  <c r="L39" i="22"/>
  <c r="K26" i="22"/>
  <c r="J12" i="22"/>
  <c r="K246" i="22"/>
  <c r="N246" i="22"/>
  <c r="W246" i="22"/>
  <c r="L219" i="22"/>
  <c r="K182" i="22"/>
  <c r="N182" i="22"/>
  <c r="W182" i="22"/>
  <c r="J154" i="22"/>
  <c r="L124" i="22"/>
  <c r="L92" i="22"/>
  <c r="L57" i="22"/>
  <c r="K33" i="22"/>
  <c r="N33" i="22"/>
  <c r="W33" i="22"/>
  <c r="L245" i="22"/>
  <c r="J228" i="22"/>
  <c r="L209" i="22"/>
  <c r="K181" i="22"/>
  <c r="N181" i="22"/>
  <c r="W181" i="22"/>
  <c r="J163" i="22"/>
  <c r="J135" i="22"/>
  <c r="K113" i="22"/>
  <c r="K103" i="22"/>
  <c r="N103" i="22"/>
  <c r="W103" i="22"/>
  <c r="J69" i="22"/>
  <c r="J44" i="22"/>
  <c r="K32" i="22"/>
  <c r="N32" i="22"/>
  <c r="W32" i="22"/>
  <c r="L234" i="22"/>
  <c r="K216" i="22"/>
  <c r="N216" i="22"/>
  <c r="W216" i="22"/>
  <c r="L188" i="22"/>
  <c r="J161" i="22"/>
  <c r="L142" i="22"/>
  <c r="J111" i="22"/>
  <c r="K89" i="22"/>
  <c r="K53" i="22"/>
  <c r="L12" i="22"/>
  <c r="AB27" i="22"/>
  <c r="AC27" i="22"/>
  <c r="AD27" i="22"/>
  <c r="L159" i="22"/>
  <c r="J250" i="22"/>
  <c r="L241" i="22"/>
  <c r="K233" i="22"/>
  <c r="N233" i="22"/>
  <c r="W233" i="22"/>
  <c r="L223" i="22"/>
  <c r="K214" i="22"/>
  <c r="N214" i="22"/>
  <c r="W214" i="22"/>
  <c r="K205" i="22"/>
  <c r="N205" i="22"/>
  <c r="W205" i="22"/>
  <c r="J196" i="22"/>
  <c r="K186" i="22"/>
  <c r="N186" i="22"/>
  <c r="W186" i="22"/>
  <c r="L177" i="22"/>
  <c r="J168" i="22"/>
  <c r="L158" i="22"/>
  <c r="L149" i="22"/>
  <c r="K140" i="22"/>
  <c r="L129" i="22"/>
  <c r="L119" i="22"/>
  <c r="L108" i="22"/>
  <c r="J98" i="22"/>
  <c r="J88" i="22"/>
  <c r="J76" i="22"/>
  <c r="J63" i="22"/>
  <c r="K51" i="22"/>
  <c r="L38" i="22"/>
  <c r="J24" i="22"/>
  <c r="N34" i="22"/>
  <c r="W34" i="22"/>
  <c r="AB34" i="22"/>
  <c r="AB164" i="22"/>
  <c r="L237" i="22"/>
  <c r="J210" i="22"/>
  <c r="L191" i="22"/>
  <c r="K172" i="22"/>
  <c r="N172" i="22"/>
  <c r="W172" i="22"/>
  <c r="K135" i="22"/>
  <c r="N135" i="22"/>
  <c r="W135" i="22"/>
  <c r="L103" i="22"/>
  <c r="J70" i="22"/>
  <c r="K253" i="22"/>
  <c r="N253" i="22"/>
  <c r="W253" i="22"/>
  <c r="J219" i="22"/>
  <c r="L199" i="22"/>
  <c r="J172" i="22"/>
  <c r="L153" i="22"/>
  <c r="J124" i="22"/>
  <c r="K92" i="22"/>
  <c r="N92" i="22"/>
  <c r="W92" i="22"/>
  <c r="L56" i="22"/>
  <c r="K16" i="22"/>
  <c r="N16" i="22"/>
  <c r="W16" i="22"/>
  <c r="J252" i="22"/>
  <c r="J226" i="22"/>
  <c r="K198" i="22"/>
  <c r="N198" i="22"/>
  <c r="W198" i="22"/>
  <c r="K170" i="22"/>
  <c r="N170" i="22"/>
  <c r="W170" i="22"/>
  <c r="J132" i="22"/>
  <c r="K100" i="22"/>
  <c r="N100" i="22"/>
  <c r="W100" i="22"/>
  <c r="L65" i="22"/>
  <c r="K41" i="22"/>
  <c r="L242" i="22"/>
  <c r="L249" i="22"/>
  <c r="K241" i="22"/>
  <c r="N241" i="22"/>
  <c r="W241" i="22"/>
  <c r="J233" i="22"/>
  <c r="K223" i="22"/>
  <c r="N223" i="22"/>
  <c r="W223" i="22"/>
  <c r="L213" i="22"/>
  <c r="J205" i="22"/>
  <c r="L195" i="22"/>
  <c r="J186" i="22"/>
  <c r="K177" i="22"/>
  <c r="N177" i="22"/>
  <c r="W177" i="22"/>
  <c r="L167" i="22"/>
  <c r="K158" i="22"/>
  <c r="N158" i="22"/>
  <c r="W158" i="22"/>
  <c r="K149" i="22"/>
  <c r="J140" i="22"/>
  <c r="K129" i="22"/>
  <c r="K119" i="22"/>
  <c r="K108" i="22"/>
  <c r="K97" i="22"/>
  <c r="K87" i="22"/>
  <c r="N87" i="22"/>
  <c r="W87" i="22"/>
  <c r="J75" i="22"/>
  <c r="J62" i="22"/>
  <c r="L50" i="22"/>
  <c r="L37" i="22"/>
  <c r="K23" i="22"/>
  <c r="AB84" i="22"/>
  <c r="AB77" i="22"/>
  <c r="AB59" i="22"/>
  <c r="S144" i="22"/>
  <c r="S120" i="22"/>
  <c r="T120" i="22"/>
  <c r="Q120" i="22"/>
  <c r="U112" i="22"/>
  <c r="S96" i="22"/>
  <c r="S88" i="22"/>
  <c r="T88" i="22"/>
  <c r="Q88" i="22"/>
  <c r="AB93" i="22"/>
  <c r="AB80" i="22"/>
  <c r="AB33" i="22"/>
  <c r="AC33" i="22"/>
  <c r="AD33" i="22"/>
  <c r="AB81" i="22"/>
  <c r="T104" i="22"/>
  <c r="Q104" i="22"/>
  <c r="AB45" i="22"/>
  <c r="U158" i="22"/>
  <c r="S142" i="22"/>
  <c r="T126" i="22"/>
  <c r="Q126" i="22"/>
  <c r="T110" i="22"/>
  <c r="Q110" i="22"/>
  <c r="S94" i="22"/>
  <c r="T94" i="22"/>
  <c r="Q94" i="22"/>
  <c r="T78" i="22"/>
  <c r="Q78" i="22"/>
  <c r="U78" i="22"/>
  <c r="S62" i="22"/>
  <c r="T62" i="22"/>
  <c r="Q62" i="22"/>
  <c r="U30" i="22"/>
  <c r="T30" i="22"/>
  <c r="AB100" i="22"/>
  <c r="AB36" i="22"/>
  <c r="AC36" i="22"/>
  <c r="AD36" i="22"/>
  <c r="Q36" i="22"/>
  <c r="AB20" i="22"/>
  <c r="AC20" i="22"/>
  <c r="AD20" i="22"/>
  <c r="AB134" i="22"/>
  <c r="AB144" i="22"/>
  <c r="AB29" i="22"/>
  <c r="AC29" i="22"/>
  <c r="AD29" i="22"/>
  <c r="U163" i="23"/>
  <c r="Q163" i="23"/>
  <c r="X163" i="23"/>
  <c r="Y163" i="23"/>
  <c r="AC163" i="23"/>
  <c r="AD163" i="23"/>
  <c r="AT198" i="2"/>
  <c r="T163" i="23"/>
  <c r="S163" i="23"/>
  <c r="U155" i="23"/>
  <c r="T155" i="23"/>
  <c r="U147" i="23"/>
  <c r="Q147" i="23"/>
  <c r="T147" i="23"/>
  <c r="U139" i="23"/>
  <c r="Q139" i="23"/>
  <c r="X139" i="23"/>
  <c r="Y139" i="23"/>
  <c r="AC139" i="23"/>
  <c r="AD139" i="23"/>
  <c r="AT174" i="2"/>
  <c r="S139" i="23"/>
  <c r="T139" i="23"/>
  <c r="U131" i="23"/>
  <c r="S131" i="23"/>
  <c r="Q131" i="23"/>
  <c r="X131" i="23"/>
  <c r="Y131" i="23"/>
  <c r="AC131" i="23"/>
  <c r="AD131" i="23"/>
  <c r="AT166" i="2"/>
  <c r="T131" i="23"/>
  <c r="S123" i="23"/>
  <c r="U115" i="23"/>
  <c r="S115" i="23"/>
  <c r="T115" i="23"/>
  <c r="U107" i="23"/>
  <c r="S107" i="23"/>
  <c r="T107" i="23"/>
  <c r="U99" i="23"/>
  <c r="T99" i="23"/>
  <c r="S99" i="23"/>
  <c r="U91" i="23"/>
  <c r="Q91" i="23"/>
  <c r="U83" i="23"/>
  <c r="T83" i="23"/>
  <c r="S83" i="23"/>
  <c r="U75" i="23"/>
  <c r="Q75" i="23"/>
  <c r="X75" i="23"/>
  <c r="Y75" i="23"/>
  <c r="AC75" i="23"/>
  <c r="AD75" i="23"/>
  <c r="AT110" i="2"/>
  <c r="S75" i="23"/>
  <c r="T75" i="23"/>
  <c r="U67" i="23"/>
  <c r="Q67" i="23"/>
  <c r="X67" i="23"/>
  <c r="Y67" i="23"/>
  <c r="AC67" i="23"/>
  <c r="AD67" i="23"/>
  <c r="AT102" i="2"/>
  <c r="S67" i="23"/>
  <c r="T67" i="23"/>
  <c r="U59" i="23"/>
  <c r="Q59" i="23"/>
  <c r="S59" i="23"/>
  <c r="T59" i="23"/>
  <c r="U51" i="23"/>
  <c r="U43" i="23"/>
  <c r="S43" i="23"/>
  <c r="T43" i="23"/>
  <c r="Q43" i="23"/>
  <c r="X43" i="23"/>
  <c r="Y43" i="23"/>
  <c r="AC43" i="23"/>
  <c r="AD43" i="23"/>
  <c r="AT78" i="2"/>
  <c r="U35" i="23"/>
  <c r="T35" i="23"/>
  <c r="Q35" i="23"/>
  <c r="X35" i="23"/>
  <c r="S35" i="23"/>
  <c r="U27" i="23"/>
  <c r="S27" i="23"/>
  <c r="T27" i="23"/>
  <c r="U19" i="23"/>
  <c r="T19" i="23"/>
  <c r="S19" i="23"/>
  <c r="S147" i="23"/>
  <c r="AB127" i="22"/>
  <c r="S155" i="23"/>
  <c r="S162" i="23"/>
  <c r="T162" i="23"/>
  <c r="S154" i="23"/>
  <c r="T154" i="23"/>
  <c r="U154" i="23"/>
  <c r="T146" i="23"/>
  <c r="S138" i="23"/>
  <c r="T138" i="23"/>
  <c r="S130" i="23"/>
  <c r="S122" i="23"/>
  <c r="T122" i="23"/>
  <c r="U122" i="23"/>
  <c r="Q122" i="23"/>
  <c r="T114" i="23"/>
  <c r="U106" i="23"/>
  <c r="S106" i="23"/>
  <c r="U98" i="23"/>
  <c r="Q98" i="23"/>
  <c r="U90" i="23"/>
  <c r="S90" i="23"/>
  <c r="T82" i="23"/>
  <c r="U82" i="23"/>
  <c r="T74" i="23"/>
  <c r="T66" i="23"/>
  <c r="S66" i="23"/>
  <c r="U66" i="23"/>
  <c r="S58" i="23"/>
  <c r="T50" i="23"/>
  <c r="U50" i="23"/>
  <c r="S42" i="23"/>
  <c r="S34" i="23"/>
  <c r="U34" i="23"/>
  <c r="S26" i="23"/>
  <c r="T26" i="23"/>
  <c r="Q26" i="23"/>
  <c r="X26" i="23"/>
  <c r="U26" i="23"/>
  <c r="S18" i="23"/>
  <c r="T18" i="23"/>
  <c r="Q18" i="23"/>
  <c r="X18" i="23"/>
  <c r="U18" i="23"/>
  <c r="U146" i="23"/>
  <c r="S82" i="23"/>
  <c r="U58" i="23"/>
  <c r="Q58" i="23"/>
  <c r="X58" i="23"/>
  <c r="Y58" i="23"/>
  <c r="AC58" i="23"/>
  <c r="AD58" i="23"/>
  <c r="AT93" i="2"/>
  <c r="S50" i="23"/>
  <c r="AB139" i="22"/>
  <c r="AB43" i="22"/>
  <c r="U15" i="22"/>
  <c r="S146" i="23"/>
  <c r="U138" i="23"/>
  <c r="Q138" i="23"/>
  <c r="U74" i="23"/>
  <c r="T58" i="23"/>
  <c r="T34" i="23"/>
  <c r="U149" i="22"/>
  <c r="S85" i="22"/>
  <c r="T85" i="22"/>
  <c r="Q85" i="22"/>
  <c r="T77" i="22"/>
  <c r="Q77" i="22"/>
  <c r="T53" i="22"/>
  <c r="Q53" i="22"/>
  <c r="S37" i="22"/>
  <c r="U159" i="23"/>
  <c r="T159" i="23"/>
  <c r="U151" i="23"/>
  <c r="Q151" i="23"/>
  <c r="X151" i="23"/>
  <c r="Y151" i="23"/>
  <c r="AC151" i="23"/>
  <c r="AD151" i="23"/>
  <c r="AT186" i="2"/>
  <c r="S143" i="23"/>
  <c r="U143" i="23"/>
  <c r="T143" i="23"/>
  <c r="U135" i="23"/>
  <c r="T135" i="23"/>
  <c r="T127" i="23"/>
  <c r="S127" i="23"/>
  <c r="U127" i="23"/>
  <c r="S111" i="23"/>
  <c r="T111" i="23"/>
  <c r="U111" i="23"/>
  <c r="U103" i="23"/>
  <c r="S103" i="23"/>
  <c r="S95" i="23"/>
  <c r="T95" i="23"/>
  <c r="Q79" i="23"/>
  <c r="X79" i="23"/>
  <c r="Y79" i="23"/>
  <c r="AC79" i="23"/>
  <c r="AD79" i="23"/>
  <c r="AT114" i="2"/>
  <c r="S79" i="23"/>
  <c r="T79" i="23"/>
  <c r="U71" i="23"/>
  <c r="Q71" i="23"/>
  <c r="S63" i="23"/>
  <c r="U55" i="23"/>
  <c r="T55" i="23"/>
  <c r="S55" i="23"/>
  <c r="T47" i="23"/>
  <c r="Q47" i="23"/>
  <c r="S47" i="23"/>
  <c r="U47" i="23"/>
  <c r="T39" i="23"/>
  <c r="Q39" i="23"/>
  <c r="X39" i="23"/>
  <c r="Y39" i="23"/>
  <c r="AC39" i="23"/>
  <c r="AD39" i="23"/>
  <c r="AT74" i="2"/>
  <c r="T31" i="23"/>
  <c r="U31" i="23"/>
  <c r="S31" i="23"/>
  <c r="T23" i="23"/>
  <c r="S23" i="23"/>
  <c r="T15" i="23"/>
  <c r="U15" i="23"/>
  <c r="Q15" i="23"/>
  <c r="X15" i="23"/>
  <c r="S151" i="23"/>
  <c r="T87" i="23"/>
  <c r="AC11" i="23"/>
  <c r="AD11" i="23"/>
  <c r="AT46" i="2"/>
  <c r="T158" i="23"/>
  <c r="U158" i="23"/>
  <c r="T150" i="23"/>
  <c r="U150" i="23"/>
  <c r="T142" i="23"/>
  <c r="U142" i="23"/>
  <c r="S142" i="23"/>
  <c r="T134" i="23"/>
  <c r="U134" i="23"/>
  <c r="T126" i="23"/>
  <c r="U126" i="23"/>
  <c r="T118" i="23"/>
  <c r="U118" i="23"/>
  <c r="T110" i="23"/>
  <c r="U110" i="23"/>
  <c r="S110" i="23"/>
  <c r="T102" i="23"/>
  <c r="U102" i="23"/>
  <c r="S102" i="23"/>
  <c r="T94" i="23"/>
  <c r="U94" i="23"/>
  <c r="S94" i="23"/>
  <c r="T86" i="23"/>
  <c r="U86" i="23"/>
  <c r="T78" i="23"/>
  <c r="U78" i="23"/>
  <c r="S78" i="23"/>
  <c r="T70" i="23"/>
  <c r="U70" i="23"/>
  <c r="S70" i="23"/>
  <c r="T62" i="23"/>
  <c r="U62" i="23"/>
  <c r="S62" i="23"/>
  <c r="T54" i="23"/>
  <c r="U54" i="23"/>
  <c r="S54" i="23"/>
  <c r="T46" i="23"/>
  <c r="U46" i="23"/>
  <c r="S46" i="23"/>
  <c r="T38" i="23"/>
  <c r="U38" i="23"/>
  <c r="S38" i="23"/>
  <c r="T30" i="23"/>
  <c r="U30" i="23"/>
  <c r="T22" i="23"/>
  <c r="U22" i="23"/>
  <c r="T14" i="23"/>
  <c r="Q14" i="23"/>
  <c r="U14" i="23"/>
  <c r="S14" i="23"/>
  <c r="S150" i="23"/>
  <c r="S86" i="23"/>
  <c r="K12" i="23"/>
  <c r="N12" i="23"/>
  <c r="W12" i="23"/>
  <c r="T12" i="23"/>
  <c r="Q12" i="23"/>
  <c r="X12" i="23"/>
  <c r="L15" i="23"/>
  <c r="J17" i="23"/>
  <c r="K20" i="23"/>
  <c r="N20" i="23"/>
  <c r="W20" i="23"/>
  <c r="L23" i="23"/>
  <c r="J25" i="23"/>
  <c r="K28" i="23"/>
  <c r="N28" i="23"/>
  <c r="W28" i="23"/>
  <c r="L31" i="23"/>
  <c r="J33" i="23"/>
  <c r="K36" i="23"/>
  <c r="N36" i="23"/>
  <c r="W36" i="23"/>
  <c r="L39" i="23"/>
  <c r="J41" i="23"/>
  <c r="K44" i="23"/>
  <c r="N44" i="23"/>
  <c r="W44" i="23"/>
  <c r="L47" i="23"/>
  <c r="J49" i="23"/>
  <c r="K52" i="23"/>
  <c r="N52" i="23"/>
  <c r="W52" i="23"/>
  <c r="L55" i="23"/>
  <c r="J57" i="23"/>
  <c r="Q65" i="23"/>
  <c r="K60" i="23"/>
  <c r="N60" i="23"/>
  <c r="W60" i="23"/>
  <c r="L63" i="23"/>
  <c r="J65" i="23"/>
  <c r="K68" i="23"/>
  <c r="N68" i="23"/>
  <c r="W68" i="23"/>
  <c r="L71" i="23"/>
  <c r="J73" i="23"/>
  <c r="Q81" i="23"/>
  <c r="K76" i="23"/>
  <c r="N76" i="23"/>
  <c r="W76" i="23"/>
  <c r="L79" i="23"/>
  <c r="J81" i="23"/>
  <c r="K84" i="23"/>
  <c r="N84" i="23"/>
  <c r="W84" i="23"/>
  <c r="L87" i="23"/>
  <c r="J89" i="23"/>
  <c r="K92" i="23"/>
  <c r="N92" i="23"/>
  <c r="W92" i="23"/>
  <c r="L95" i="23"/>
  <c r="J97" i="23"/>
  <c r="K100" i="23"/>
  <c r="N100" i="23"/>
  <c r="W100" i="23"/>
  <c r="X100" i="23"/>
  <c r="Y100" i="23"/>
  <c r="AC100" i="23"/>
  <c r="AD100" i="23"/>
  <c r="AT135" i="2"/>
  <c r="L103" i="23"/>
  <c r="J105" i="23"/>
  <c r="Q113" i="23"/>
  <c r="K108" i="23"/>
  <c r="N108" i="23"/>
  <c r="W108" i="23"/>
  <c r="L111" i="23"/>
  <c r="J113" i="23"/>
  <c r="K116" i="23"/>
  <c r="N116" i="23"/>
  <c r="W116" i="23"/>
  <c r="L119" i="23"/>
  <c r="J121" i="23"/>
  <c r="K124" i="23"/>
  <c r="N124" i="23"/>
  <c r="W124" i="23"/>
  <c r="L127" i="23"/>
  <c r="J129" i="23"/>
  <c r="K132" i="23"/>
  <c r="N132" i="23"/>
  <c r="W132" i="23"/>
  <c r="L135" i="23"/>
  <c r="J137" i="23"/>
  <c r="K140" i="23"/>
  <c r="N140" i="23"/>
  <c r="W140" i="23"/>
  <c r="L143" i="23"/>
  <c r="J145" i="23"/>
  <c r="K148" i="23"/>
  <c r="N148" i="23"/>
  <c r="W148" i="23"/>
  <c r="L151" i="23"/>
  <c r="J153" i="23"/>
  <c r="K156" i="23"/>
  <c r="N156" i="23"/>
  <c r="W156" i="23"/>
  <c r="L159" i="23"/>
  <c r="J161" i="23"/>
  <c r="K164" i="23"/>
  <c r="N164" i="23"/>
  <c r="W164" i="23"/>
  <c r="L167" i="23"/>
  <c r="J169" i="23"/>
  <c r="K172" i="23"/>
  <c r="N172" i="23"/>
  <c r="W172" i="23"/>
  <c r="L175" i="23"/>
  <c r="J177" i="23"/>
  <c r="K180" i="23"/>
  <c r="N180" i="23"/>
  <c r="W180" i="23"/>
  <c r="L183" i="23"/>
  <c r="J185" i="23"/>
  <c r="K188" i="23"/>
  <c r="N188" i="23"/>
  <c r="W188" i="23"/>
  <c r="L191" i="23"/>
  <c r="J193" i="23"/>
  <c r="K196" i="23"/>
  <c r="N196" i="23"/>
  <c r="W196" i="23"/>
  <c r="L199" i="23"/>
  <c r="J201" i="23"/>
  <c r="K204" i="23"/>
  <c r="N204" i="23"/>
  <c r="W204" i="23"/>
  <c r="L207" i="23"/>
  <c r="J209" i="23"/>
  <c r="K212" i="23"/>
  <c r="N212" i="23"/>
  <c r="W212" i="23"/>
  <c r="L215" i="23"/>
  <c r="J217" i="23"/>
  <c r="K220" i="23"/>
  <c r="N220" i="23"/>
  <c r="W220" i="23"/>
  <c r="L223" i="23"/>
  <c r="J225" i="23"/>
  <c r="K228" i="23"/>
  <c r="N228" i="23"/>
  <c r="W228" i="23"/>
  <c r="L231" i="23"/>
  <c r="J233" i="23"/>
  <c r="K236" i="23"/>
  <c r="N236" i="23"/>
  <c r="W236" i="23"/>
  <c r="L239" i="23"/>
  <c r="J241" i="23"/>
  <c r="K244" i="23"/>
  <c r="N244" i="23"/>
  <c r="W244" i="23"/>
  <c r="L247" i="23"/>
  <c r="J249" i="23"/>
  <c r="K252" i="23"/>
  <c r="N252" i="23"/>
  <c r="W252" i="23"/>
  <c r="L255" i="23"/>
  <c r="L12" i="23"/>
  <c r="J14" i="23"/>
  <c r="K17" i="23"/>
  <c r="N17" i="23"/>
  <c r="W17" i="23"/>
  <c r="L20" i="23"/>
  <c r="J22" i="23"/>
  <c r="K25" i="23"/>
  <c r="N25" i="23"/>
  <c r="W25" i="23"/>
  <c r="L28" i="23"/>
  <c r="J30" i="23"/>
  <c r="K33" i="23"/>
  <c r="N33" i="23"/>
  <c r="W33" i="23"/>
  <c r="L36" i="23"/>
  <c r="J38" i="23"/>
  <c r="Q46" i="23"/>
  <c r="X46" i="23"/>
  <c r="Y46" i="23"/>
  <c r="AC46" i="23"/>
  <c r="AD46" i="23"/>
  <c r="AT81" i="2"/>
  <c r="K41" i="23"/>
  <c r="N41" i="23"/>
  <c r="W41" i="23"/>
  <c r="L44" i="23"/>
  <c r="J46" i="23"/>
  <c r="K49" i="23"/>
  <c r="N49" i="23"/>
  <c r="W49" i="23"/>
  <c r="L52" i="23"/>
  <c r="J54" i="23"/>
  <c r="K57" i="23"/>
  <c r="N57" i="23"/>
  <c r="W57" i="23"/>
  <c r="L60" i="23"/>
  <c r="J62" i="23"/>
  <c r="Q70" i="23"/>
  <c r="K65" i="23"/>
  <c r="N65" i="23"/>
  <c r="W65" i="23"/>
  <c r="L68" i="23"/>
  <c r="J70" i="23"/>
  <c r="K73" i="23"/>
  <c r="N73" i="23"/>
  <c r="W73" i="23"/>
  <c r="L76" i="23"/>
  <c r="J78" i="23"/>
  <c r="K81" i="23"/>
  <c r="N81" i="23"/>
  <c r="W81" i="23"/>
  <c r="L84" i="23"/>
  <c r="J86" i="23"/>
  <c r="K89" i="23"/>
  <c r="N89" i="23"/>
  <c r="W89" i="23"/>
  <c r="L92" i="23"/>
  <c r="J94" i="23"/>
  <c r="Q102" i="23"/>
  <c r="K97" i="23"/>
  <c r="N97" i="23"/>
  <c r="W97" i="23"/>
  <c r="L100" i="23"/>
  <c r="J102" i="23"/>
  <c r="K105" i="23"/>
  <c r="N105" i="23"/>
  <c r="W105" i="23"/>
  <c r="L108" i="23"/>
  <c r="J110" i="23"/>
  <c r="K113" i="23"/>
  <c r="N113" i="23"/>
  <c r="W113" i="23"/>
  <c r="L116" i="23"/>
  <c r="J118" i="23"/>
  <c r="K121" i="23"/>
  <c r="N121" i="23"/>
  <c r="W121" i="23"/>
  <c r="L124" i="23"/>
  <c r="J126" i="23"/>
  <c r="K129" i="23"/>
  <c r="N129" i="23"/>
  <c r="W129" i="23"/>
  <c r="L132" i="23"/>
  <c r="J134" i="23"/>
  <c r="K137" i="23"/>
  <c r="N137" i="23"/>
  <c r="W137" i="23"/>
  <c r="L140" i="23"/>
  <c r="J142" i="23"/>
  <c r="K145" i="23"/>
  <c r="N145" i="23"/>
  <c r="W145" i="23"/>
  <c r="L148" i="23"/>
  <c r="J150" i="23"/>
  <c r="K153" i="23"/>
  <c r="N153" i="23"/>
  <c r="W153" i="23"/>
  <c r="L156" i="23"/>
  <c r="J158" i="23"/>
  <c r="K161" i="23"/>
  <c r="N161" i="23"/>
  <c r="W161" i="23"/>
  <c r="L164" i="23"/>
  <c r="J166" i="23"/>
  <c r="K169" i="23"/>
  <c r="N169" i="23"/>
  <c r="W169" i="23"/>
  <c r="L172" i="23"/>
  <c r="J174" i="23"/>
  <c r="K177" i="23"/>
  <c r="N177" i="23"/>
  <c r="W177" i="23"/>
  <c r="L180" i="23"/>
  <c r="J182" i="23"/>
  <c r="K185" i="23"/>
  <c r="N185" i="23"/>
  <c r="W185" i="23"/>
  <c r="L188" i="23"/>
  <c r="J190" i="23"/>
  <c r="K193" i="23"/>
  <c r="N193" i="23"/>
  <c r="W193" i="23"/>
  <c r="L196" i="23"/>
  <c r="J198" i="23"/>
  <c r="K201" i="23"/>
  <c r="N201" i="23"/>
  <c r="W201" i="23"/>
  <c r="L204" i="23"/>
  <c r="J206" i="23"/>
  <c r="K209" i="23"/>
  <c r="N209" i="23"/>
  <c r="W209" i="23"/>
  <c r="L212" i="23"/>
  <c r="J214" i="23"/>
  <c r="K217" i="23"/>
  <c r="N217" i="23"/>
  <c r="W217" i="23"/>
  <c r="L220" i="23"/>
  <c r="J222" i="23"/>
  <c r="K225" i="23"/>
  <c r="N225" i="23"/>
  <c r="W225" i="23"/>
  <c r="L228" i="23"/>
  <c r="J230" i="23"/>
  <c r="K233" i="23"/>
  <c r="N233" i="23"/>
  <c r="W233" i="23"/>
  <c r="L236" i="23"/>
  <c r="J238" i="23"/>
  <c r="K241" i="23"/>
  <c r="N241" i="23"/>
  <c r="W241" i="23"/>
  <c r="L244" i="23"/>
  <c r="J246" i="23"/>
  <c r="K249" i="23"/>
  <c r="N249" i="23"/>
  <c r="W249" i="23"/>
  <c r="L252" i="23"/>
  <c r="J254" i="23"/>
  <c r="K11" i="23"/>
  <c r="N11" i="23"/>
  <c r="W11" i="23"/>
  <c r="J247" i="23"/>
  <c r="K245" i="23"/>
  <c r="N245" i="23"/>
  <c r="W245" i="23"/>
  <c r="K243" i="23"/>
  <c r="N243" i="23"/>
  <c r="W243" i="23"/>
  <c r="J234" i="23"/>
  <c r="J232" i="23"/>
  <c r="K230" i="23"/>
  <c r="N230" i="23"/>
  <c r="W230" i="23"/>
  <c r="J228" i="23"/>
  <c r="L226" i="23"/>
  <c r="L224" i="23"/>
  <c r="J215" i="23"/>
  <c r="K213" i="23"/>
  <c r="N213" i="23"/>
  <c r="W213" i="23"/>
  <c r="K211" i="23"/>
  <c r="N211" i="23"/>
  <c r="W211" i="23"/>
  <c r="J202" i="23"/>
  <c r="J200" i="23"/>
  <c r="K198" i="23"/>
  <c r="N198" i="23"/>
  <c r="W198" i="23"/>
  <c r="J196" i="23"/>
  <c r="L194" i="23"/>
  <c r="L192" i="23"/>
  <c r="J183" i="23"/>
  <c r="K181" i="23"/>
  <c r="N181" i="23"/>
  <c r="W181" i="23"/>
  <c r="K179" i="23"/>
  <c r="N179" i="23"/>
  <c r="W179" i="23"/>
  <c r="J170" i="23"/>
  <c r="J168" i="23"/>
  <c r="K166" i="23"/>
  <c r="N166" i="23"/>
  <c r="W166" i="23"/>
  <c r="J164" i="23"/>
  <c r="L162" i="23"/>
  <c r="L160" i="23"/>
  <c r="J151" i="23"/>
  <c r="K149" i="23"/>
  <c r="N149" i="23"/>
  <c r="W149" i="23"/>
  <c r="K147" i="23"/>
  <c r="N147" i="23"/>
  <c r="W147" i="23"/>
  <c r="J138" i="23"/>
  <c r="Q146" i="23"/>
  <c r="X146" i="23"/>
  <c r="Y146" i="23"/>
  <c r="AC146" i="23"/>
  <c r="AD146" i="23"/>
  <c r="AT181" i="2"/>
  <c r="J136" i="23"/>
  <c r="Q144" i="23"/>
  <c r="K134" i="23"/>
  <c r="N134" i="23"/>
  <c r="W134" i="23"/>
  <c r="J132" i="23"/>
  <c r="Q140" i="23"/>
  <c r="L130" i="23"/>
  <c r="L128" i="23"/>
  <c r="J119" i="23"/>
  <c r="K117" i="23"/>
  <c r="N117" i="23"/>
  <c r="W117" i="23"/>
  <c r="K115" i="23"/>
  <c r="N115" i="23"/>
  <c r="W115" i="23"/>
  <c r="J106" i="23"/>
  <c r="Q114" i="23"/>
  <c r="X114" i="23"/>
  <c r="Y114" i="23"/>
  <c r="AC114" i="23"/>
  <c r="AD114" i="23"/>
  <c r="AT149" i="2"/>
  <c r="J104" i="23"/>
  <c r="K102" i="23"/>
  <c r="N102" i="23"/>
  <c r="W102" i="23"/>
  <c r="J100" i="23"/>
  <c r="Q108" i="23"/>
  <c r="L98" i="23"/>
  <c r="L96" i="23"/>
  <c r="J87" i="23"/>
  <c r="Q95" i="23"/>
  <c r="K85" i="23"/>
  <c r="N85" i="23"/>
  <c r="W85" i="23"/>
  <c r="K83" i="23"/>
  <c r="N83" i="23"/>
  <c r="W83" i="23"/>
  <c r="J74" i="23"/>
  <c r="Q82" i="23"/>
  <c r="J72" i="23"/>
  <c r="K70" i="23"/>
  <c r="N70" i="23"/>
  <c r="W70" i="23"/>
  <c r="J68" i="23"/>
  <c r="L66" i="23"/>
  <c r="L64" i="23"/>
  <c r="J55" i="23"/>
  <c r="Q63" i="23"/>
  <c r="X63" i="23"/>
  <c r="Y63" i="23"/>
  <c r="AC63" i="23"/>
  <c r="AD63" i="23"/>
  <c r="AT98" i="2"/>
  <c r="K53" i="23"/>
  <c r="N53" i="23"/>
  <c r="W53" i="23"/>
  <c r="K51" i="23"/>
  <c r="N51" i="23"/>
  <c r="W51" i="23"/>
  <c r="J42" i="23"/>
  <c r="J40" i="23"/>
  <c r="K38" i="23"/>
  <c r="N38" i="23"/>
  <c r="W38" i="23"/>
  <c r="J36" i="23"/>
  <c r="L34" i="23"/>
  <c r="L32" i="23"/>
  <c r="J23" i="23"/>
  <c r="Q31" i="23"/>
  <c r="X31" i="23"/>
  <c r="K21" i="23"/>
  <c r="N21" i="23"/>
  <c r="W21" i="23"/>
  <c r="K19" i="23"/>
  <c r="N19" i="23"/>
  <c r="W19" i="23"/>
  <c r="S157" i="23"/>
  <c r="U157" i="23"/>
  <c r="U149" i="23"/>
  <c r="Q149" i="23"/>
  <c r="T149" i="23"/>
  <c r="S149" i="23"/>
  <c r="Q141" i="23"/>
  <c r="X141" i="23"/>
  <c r="Y141" i="23"/>
  <c r="AC141" i="23"/>
  <c r="AD141" i="23"/>
  <c r="AT176" i="2"/>
  <c r="T141" i="23"/>
  <c r="Q133" i="23"/>
  <c r="X133" i="23"/>
  <c r="Y133" i="23"/>
  <c r="AC133" i="23"/>
  <c r="AD133" i="23"/>
  <c r="AT168" i="2"/>
  <c r="T133" i="23"/>
  <c r="S133" i="23"/>
  <c r="S125" i="23"/>
  <c r="T125" i="23"/>
  <c r="U117" i="23"/>
  <c r="Q117" i="23"/>
  <c r="S117" i="23"/>
  <c r="S109" i="23"/>
  <c r="S101" i="23"/>
  <c r="Q93" i="23"/>
  <c r="S93" i="23"/>
  <c r="U85" i="23"/>
  <c r="Q85" i="23"/>
  <c r="U77" i="23"/>
  <c r="U69" i="23"/>
  <c r="Q69" i="23"/>
  <c r="T69" i="23"/>
  <c r="S61" i="23"/>
  <c r="U53" i="23"/>
  <c r="S53" i="23"/>
  <c r="T53" i="23"/>
  <c r="Q53" i="23"/>
  <c r="T45" i="23"/>
  <c r="U45" i="23"/>
  <c r="T37" i="23"/>
  <c r="Q37" i="23"/>
  <c r="S37" i="23"/>
  <c r="U37" i="23"/>
  <c r="S29" i="23"/>
  <c r="T29" i="23"/>
  <c r="U29" i="23"/>
  <c r="Q21" i="23"/>
  <c r="S21" i="23"/>
  <c r="U21" i="23"/>
  <c r="Q13" i="23"/>
  <c r="X13" i="23"/>
  <c r="U13" i="23"/>
  <c r="T109" i="23"/>
  <c r="U61" i="23"/>
  <c r="S161" i="23"/>
  <c r="Q161" i="23"/>
  <c r="T161" i="23"/>
  <c r="S153" i="23"/>
  <c r="T153" i="23"/>
  <c r="U153" i="23"/>
  <c r="Q153" i="23"/>
  <c r="S145" i="23"/>
  <c r="T145" i="23"/>
  <c r="U145" i="23"/>
  <c r="S137" i="23"/>
  <c r="T137" i="23"/>
  <c r="U137" i="23"/>
  <c r="S129" i="23"/>
  <c r="T129" i="23"/>
  <c r="U129" i="23"/>
  <c r="Q129" i="23"/>
  <c r="S121" i="23"/>
  <c r="T121" i="23"/>
  <c r="U121" i="23"/>
  <c r="S113" i="23"/>
  <c r="T113" i="23"/>
  <c r="S105" i="23"/>
  <c r="T105" i="23"/>
  <c r="S97" i="23"/>
  <c r="Q97" i="23"/>
  <c r="T97" i="23"/>
  <c r="S89" i="23"/>
  <c r="T89" i="23"/>
  <c r="U89" i="23"/>
  <c r="Q89" i="23"/>
  <c r="S81" i="23"/>
  <c r="T81" i="23"/>
  <c r="S73" i="23"/>
  <c r="T73" i="23"/>
  <c r="U73" i="23"/>
  <c r="Q73" i="23"/>
  <c r="S65" i="23"/>
  <c r="T65" i="23"/>
  <c r="S57" i="23"/>
  <c r="T57" i="23"/>
  <c r="U57" i="23"/>
  <c r="Q57" i="23"/>
  <c r="S49" i="23"/>
  <c r="T49" i="23"/>
  <c r="Q49" i="23"/>
  <c r="S41" i="23"/>
  <c r="T41" i="23"/>
  <c r="U41" i="23"/>
  <c r="S33" i="23"/>
  <c r="T33" i="23"/>
  <c r="Q33" i="23"/>
  <c r="U33" i="23"/>
  <c r="S25" i="23"/>
  <c r="T25" i="23"/>
  <c r="Q25" i="23"/>
  <c r="U25" i="23"/>
  <c r="S17" i="23"/>
  <c r="T17" i="23"/>
  <c r="U17" i="23"/>
  <c r="Q17" i="23"/>
  <c r="U105" i="23"/>
  <c r="Q11" i="23"/>
  <c r="Q160" i="23"/>
  <c r="X160" i="23"/>
  <c r="Y160" i="23"/>
  <c r="AC160" i="23"/>
  <c r="AD160" i="23"/>
  <c r="AT195" i="2"/>
  <c r="T160" i="23"/>
  <c r="T128" i="23"/>
  <c r="T96" i="23"/>
  <c r="Q88" i="23"/>
  <c r="X88" i="23"/>
  <c r="Y88" i="23"/>
  <c r="AC88" i="23"/>
  <c r="AD88" i="23"/>
  <c r="AT123" i="2"/>
  <c r="Q80" i="23"/>
  <c r="X80" i="23"/>
  <c r="Y80" i="23"/>
  <c r="AC80" i="23"/>
  <c r="AD80" i="23"/>
  <c r="AT115" i="2"/>
  <c r="T64" i="23"/>
  <c r="T48" i="23"/>
  <c r="Q48" i="23"/>
  <c r="X48" i="23"/>
  <c r="Y48" i="23"/>
  <c r="AC48" i="23"/>
  <c r="AD48" i="23"/>
  <c r="AT83" i="2"/>
  <c r="U40" i="23"/>
  <c r="S40" i="23"/>
  <c r="T32" i="23"/>
  <c r="U32" i="23"/>
  <c r="S24" i="23"/>
  <c r="T24" i="23"/>
  <c r="S16" i="23"/>
  <c r="U64" i="23"/>
  <c r="T60" i="23"/>
  <c r="Q116" i="23"/>
  <c r="S164" i="23"/>
  <c r="Q164" i="23"/>
  <c r="T164" i="23"/>
  <c r="S148" i="23"/>
  <c r="Q148" i="23"/>
  <c r="S132" i="23"/>
  <c r="T132" i="23"/>
  <c r="S108" i="23"/>
  <c r="S100" i="23"/>
  <c r="T100" i="23"/>
  <c r="Q68" i="23"/>
  <c r="S68" i="23"/>
  <c r="T68" i="23"/>
  <c r="S52" i="23"/>
  <c r="T52" i="23"/>
  <c r="Q52" i="23"/>
  <c r="S44" i="23"/>
  <c r="U44" i="23"/>
  <c r="Q44" i="23"/>
  <c r="S36" i="23"/>
  <c r="U36" i="23"/>
  <c r="Q36" i="23"/>
  <c r="S28" i="23"/>
  <c r="U28" i="23"/>
  <c r="T28" i="23"/>
  <c r="Q28" i="23"/>
  <c r="S20" i="23"/>
  <c r="U20" i="23"/>
  <c r="T20" i="23"/>
  <c r="Q20" i="23"/>
  <c r="S12" i="23"/>
  <c r="U12" i="23"/>
  <c r="U120" i="23"/>
  <c r="Q120" i="23"/>
  <c r="X120" i="23"/>
  <c r="Y120" i="23"/>
  <c r="AC120" i="23"/>
  <c r="AD120" i="23"/>
  <c r="AT155" i="2"/>
  <c r="U112" i="23"/>
  <c r="U104" i="23"/>
  <c r="U96" i="23"/>
  <c r="U92" i="23"/>
  <c r="T88" i="23"/>
  <c r="U84" i="23"/>
  <c r="T80" i="23"/>
  <c r="U76" i="23"/>
  <c r="Q76" i="23"/>
  <c r="S72" i="23"/>
  <c r="S48" i="23"/>
  <c r="T40" i="23"/>
  <c r="Q84" i="23"/>
  <c r="Q60" i="23"/>
  <c r="AC31" i="23"/>
  <c r="AD31" i="23"/>
  <c r="AT66" i="2"/>
  <c r="AC15" i="23"/>
  <c r="AD15" i="23"/>
  <c r="AT50" i="2"/>
  <c r="AC14" i="23"/>
  <c r="AD14" i="23"/>
  <c r="AT49" i="2"/>
  <c r="AC21" i="23"/>
  <c r="AD21" i="23"/>
  <c r="AT56" i="2"/>
  <c r="AC30" i="23"/>
  <c r="AD30" i="23"/>
  <c r="AT65" i="2"/>
  <c r="AC25" i="23"/>
  <c r="AD25" i="23"/>
  <c r="AT60" i="2"/>
  <c r="AC26" i="23"/>
  <c r="AD26" i="23"/>
  <c r="AT61" i="2"/>
  <c r="AC29" i="23"/>
  <c r="AD29" i="23"/>
  <c r="AT64" i="2"/>
  <c r="AC18" i="23"/>
  <c r="AD18" i="23"/>
  <c r="AT53" i="2"/>
  <c r="S131" i="22"/>
  <c r="T83" i="22"/>
  <c r="Q83" i="22"/>
  <c r="U43" i="22"/>
  <c r="S43" i="22"/>
  <c r="S66" i="22"/>
  <c r="T18" i="22"/>
  <c r="T123" i="22"/>
  <c r="Q123" i="22"/>
  <c r="T163" i="22"/>
  <c r="Q163" i="22"/>
  <c r="S75" i="22"/>
  <c r="S122" i="22"/>
  <c r="S33" i="22"/>
  <c r="S91" i="22"/>
  <c r="U139" i="22"/>
  <c r="S123" i="22"/>
  <c r="T147" i="22"/>
  <c r="Q147" i="22"/>
  <c r="T34" i="22"/>
  <c r="Q34" i="22"/>
  <c r="T161" i="22"/>
  <c r="Q161" i="22"/>
  <c r="U81" i="22"/>
  <c r="U120" i="22"/>
  <c r="U104" i="22"/>
  <c r="U88" i="22"/>
  <c r="U62" i="22"/>
  <c r="S16" i="22"/>
  <c r="Q14" i="22"/>
  <c r="S14" i="22"/>
  <c r="AC34" i="22"/>
  <c r="AD34" i="22"/>
  <c r="AS69" i="2"/>
  <c r="U146" i="22"/>
  <c r="S48" i="22"/>
  <c r="U96" i="22"/>
  <c r="U89" i="22"/>
  <c r="T52" i="22"/>
  <c r="Q52" i="22"/>
  <c r="X52" i="22"/>
  <c r="Y52" i="22"/>
  <c r="S76" i="22"/>
  <c r="U144" i="22"/>
  <c r="U108" i="22"/>
  <c r="U11" i="22"/>
  <c r="S130" i="22"/>
  <c r="Q19" i="22"/>
  <c r="T99" i="22"/>
  <c r="Q99" i="22"/>
  <c r="U162" i="22"/>
  <c r="S41" i="22"/>
  <c r="U141" i="22"/>
  <c r="U87" i="22"/>
  <c r="U70" i="22"/>
  <c r="S112" i="22"/>
  <c r="X117" i="22"/>
  <c r="Y117" i="22"/>
  <c r="T119" i="22"/>
  <c r="Q119" i="22"/>
  <c r="T148" i="22"/>
  <c r="Q148" i="22"/>
  <c r="T156" i="22"/>
  <c r="Q156" i="22"/>
  <c r="X156" i="22"/>
  <c r="Y156" i="22"/>
  <c r="T164" i="22"/>
  <c r="Q164" i="22"/>
  <c r="X124" i="22"/>
  <c r="Y124" i="22"/>
  <c r="T54" i="22"/>
  <c r="Q54" i="22"/>
  <c r="T56" i="22"/>
  <c r="Q56" i="22"/>
  <c r="S107" i="22"/>
  <c r="S109" i="22"/>
  <c r="S152" i="22"/>
  <c r="S80" i="22"/>
  <c r="X29" i="22"/>
  <c r="U61" i="22"/>
  <c r="U13" i="22"/>
  <c r="T84" i="22"/>
  <c r="Q84" i="22"/>
  <c r="U134" i="22"/>
  <c r="U143" i="22"/>
  <c r="U45" i="22"/>
  <c r="U80" i="22"/>
  <c r="S60" i="22"/>
  <c r="U148" i="22"/>
  <c r="T152" i="22"/>
  <c r="Q152" i="22"/>
  <c r="T59" i="22"/>
  <c r="Q59" i="22"/>
  <c r="T143" i="22"/>
  <c r="Q143" i="22"/>
  <c r="S45" i="22"/>
  <c r="T97" i="22"/>
  <c r="Q97" i="22"/>
  <c r="U67" i="22"/>
  <c r="U24" i="22"/>
  <c r="U22" i="22"/>
  <c r="U115" i="22"/>
  <c r="S113" i="22"/>
  <c r="S58" i="22"/>
  <c r="U65" i="22"/>
  <c r="U59" i="22"/>
  <c r="U27" i="22"/>
  <c r="U55" i="22"/>
  <c r="U128" i="22"/>
  <c r="U160" i="22"/>
  <c r="X160" i="22"/>
  <c r="Y160" i="22"/>
  <c r="U60" i="22"/>
  <c r="U124" i="22"/>
  <c r="S11" i="22"/>
  <c r="X146" i="22"/>
  <c r="Y146" i="22"/>
  <c r="Q98" i="22"/>
  <c r="S26" i="22"/>
  <c r="Q26" i="22"/>
  <c r="S49" i="22"/>
  <c r="S106" i="22"/>
  <c r="S128" i="22"/>
  <c r="T32" i="22"/>
  <c r="U103" i="22"/>
  <c r="X84" i="22"/>
  <c r="Y84" i="22"/>
  <c r="AC84" i="22"/>
  <c r="AD84" i="22"/>
  <c r="U54" i="22"/>
  <c r="T118" i="22"/>
  <c r="Q118" i="22"/>
  <c r="X118" i="22"/>
  <c r="Y118" i="22"/>
  <c r="AB118" i="22"/>
  <c r="AC118" i="22"/>
  <c r="AD118" i="22"/>
  <c r="U56" i="22"/>
  <c r="U145" i="22"/>
  <c r="U154" i="22"/>
  <c r="T26" i="22"/>
  <c r="T115" i="22"/>
  <c r="Q115" i="22"/>
  <c r="U42" i="22"/>
  <c r="T93" i="22"/>
  <c r="Q93" i="22"/>
  <c r="X93" i="22"/>
  <c r="Y93" i="22"/>
  <c r="AC93" i="22"/>
  <c r="AD93" i="22"/>
  <c r="Q157" i="22"/>
  <c r="S70" i="22"/>
  <c r="U86" i="22"/>
  <c r="U64" i="22"/>
  <c r="S160" i="22"/>
  <c r="U29" i="22"/>
  <c r="U157" i="22"/>
  <c r="T11" i="22"/>
  <c r="S84" i="22"/>
  <c r="X111" i="22"/>
  <c r="Y111" i="22"/>
  <c r="S114" i="22"/>
  <c r="T51" i="22"/>
  <c r="Q51" i="22"/>
  <c r="S99" i="22"/>
  <c r="T50" i="22"/>
  <c r="Q50" i="22"/>
  <c r="X50" i="22"/>
  <c r="Y50" i="22"/>
  <c r="Q114" i="22"/>
  <c r="T41" i="22"/>
  <c r="T19" i="22"/>
  <c r="U82" i="22"/>
  <c r="T48" i="22"/>
  <c r="Q48" i="22"/>
  <c r="S119" i="22"/>
  <c r="T100" i="22"/>
  <c r="Q100" i="22"/>
  <c r="X100" i="22"/>
  <c r="Y100" i="22"/>
  <c r="AC100" i="22"/>
  <c r="AD100" i="22"/>
  <c r="U100" i="22"/>
  <c r="U156" i="22"/>
  <c r="Q37" i="22"/>
  <c r="X37" i="22"/>
  <c r="Y37" i="22"/>
  <c r="AB37" i="22"/>
  <c r="AC37" i="22"/>
  <c r="AD37" i="22"/>
  <c r="U72" i="22"/>
  <c r="T40" i="22"/>
  <c r="S34" i="22"/>
  <c r="T91" i="22"/>
  <c r="Q91" i="22"/>
  <c r="U25" i="22"/>
  <c r="T130" i="22"/>
  <c r="Q130" i="22"/>
  <c r="U51" i="22"/>
  <c r="U147" i="22"/>
  <c r="U57" i="22"/>
  <c r="S146" i="22"/>
  <c r="U137" i="22"/>
  <c r="T73" i="22"/>
  <c r="Q73" i="22"/>
  <c r="X73" i="22"/>
  <c r="Y73" i="22"/>
  <c r="U50" i="22"/>
  <c r="S18" i="22"/>
  <c r="U66" i="22"/>
  <c r="U105" i="22"/>
  <c r="S53" i="22"/>
  <c r="T149" i="22"/>
  <c r="Q149" i="22"/>
  <c r="T46" i="22"/>
  <c r="Q46" i="22"/>
  <c r="U126" i="22"/>
  <c r="T158" i="22"/>
  <c r="Q158" i="22"/>
  <c r="X158" i="22"/>
  <c r="Y158" i="22"/>
  <c r="AB158" i="22"/>
  <c r="AC158" i="22"/>
  <c r="AD158" i="22"/>
  <c r="T16" i="22"/>
  <c r="S72" i="22"/>
  <c r="X133" i="22"/>
  <c r="Y133" i="22"/>
  <c r="U39" i="22"/>
  <c r="U20" i="22"/>
  <c r="T12" i="22"/>
  <c r="X148" i="22"/>
  <c r="Y148" i="22"/>
  <c r="S153" i="22"/>
  <c r="U14" i="22"/>
  <c r="T69" i="22"/>
  <c r="Q69" i="22"/>
  <c r="X69" i="22"/>
  <c r="Y69" i="22"/>
  <c r="AB69" i="22"/>
  <c r="AC69" i="22"/>
  <c r="AD69" i="22"/>
  <c r="T101" i="22"/>
  <c r="Q101" i="22"/>
  <c r="X105" i="22"/>
  <c r="Y105" i="22"/>
  <c r="AB105" i="22"/>
  <c r="AC105" i="22"/>
  <c r="AD105" i="22"/>
  <c r="Q20" i="22"/>
  <c r="X20" i="22"/>
  <c r="U52" i="22"/>
  <c r="T44" i="22"/>
  <c r="Q44" i="22"/>
  <c r="U98" i="22"/>
  <c r="U92" i="22"/>
  <c r="T92" i="22"/>
  <c r="Q92" i="22"/>
  <c r="X92" i="22"/>
  <c r="Y92" i="22"/>
  <c r="T162" i="22"/>
  <c r="Q162" i="22"/>
  <c r="S25" i="22"/>
  <c r="Q25" i="22"/>
  <c r="X25" i="22"/>
  <c r="Q18" i="22"/>
  <c r="T137" i="22"/>
  <c r="Q137" i="22"/>
  <c r="X137" i="22"/>
  <c r="Y137" i="22"/>
  <c r="AB137" i="22"/>
  <c r="AC137" i="22"/>
  <c r="AD137" i="22"/>
  <c r="Q41" i="22"/>
  <c r="T87" i="22"/>
  <c r="Q87" i="22"/>
  <c r="X87" i="22"/>
  <c r="Y87" i="22"/>
  <c r="T39" i="22"/>
  <c r="Q39" i="22"/>
  <c r="S89" i="22"/>
  <c r="S57" i="22"/>
  <c r="S164" i="22"/>
  <c r="S98" i="22"/>
  <c r="U46" i="22"/>
  <c r="U16" i="22"/>
  <c r="S40" i="22"/>
  <c r="S82" i="22"/>
  <c r="S19" i="22"/>
  <c r="U153" i="22"/>
  <c r="U73" i="22"/>
  <c r="X59" i="22"/>
  <c r="Y59" i="22"/>
  <c r="AC59" i="22"/>
  <c r="AD59" i="22"/>
  <c r="T131" i="22"/>
  <c r="Q131" i="22"/>
  <c r="S105" i="22"/>
  <c r="U37" i="22"/>
  <c r="U110" i="22"/>
  <c r="U142" i="22"/>
  <c r="X142" i="22"/>
  <c r="Y142" i="22"/>
  <c r="U31" i="22"/>
  <c r="U12" i="22"/>
  <c r="S116" i="22"/>
  <c r="S133" i="22"/>
  <c r="T20" i="22"/>
  <c r="X150" i="22"/>
  <c r="Y150" i="22"/>
  <c r="X134" i="22"/>
  <c r="Y134" i="22"/>
  <c r="AC134" i="22"/>
  <c r="AD134" i="22"/>
  <c r="X27" i="22"/>
  <c r="X45" i="22"/>
  <c r="Y45" i="22"/>
  <c r="AC45" i="22"/>
  <c r="AD45" i="22"/>
  <c r="AS64" i="2"/>
  <c r="S151" i="22"/>
  <c r="T151" i="22"/>
  <c r="Q151" i="22"/>
  <c r="U151" i="22"/>
  <c r="T81" i="22"/>
  <c r="Q81" i="22"/>
  <c r="X81" i="22"/>
  <c r="Y81" i="22"/>
  <c r="AC81" i="22"/>
  <c r="AD81" i="22"/>
  <c r="U129" i="22"/>
  <c r="T145" i="22"/>
  <c r="Q145" i="22"/>
  <c r="S161" i="22"/>
  <c r="U90" i="22"/>
  <c r="U138" i="22"/>
  <c r="T17" i="22"/>
  <c r="S42" i="22"/>
  <c r="S23" i="22"/>
  <c r="Q23" i="22"/>
  <c r="T55" i="22"/>
  <c r="Q55" i="22"/>
  <c r="AS71" i="2"/>
  <c r="U32" i="22"/>
  <c r="S103" i="22"/>
  <c r="S132" i="22"/>
  <c r="S67" i="22"/>
  <c r="S79" i="22"/>
  <c r="U79" i="22"/>
  <c r="T79" i="22"/>
  <c r="Q79" i="22"/>
  <c r="T28" i="22"/>
  <c r="U28" i="22"/>
  <c r="U127" i="22"/>
  <c r="S127" i="22"/>
  <c r="T127" i="22"/>
  <c r="Q127" i="22"/>
  <c r="X127" i="22"/>
  <c r="Y127" i="22"/>
  <c r="AC127" i="22"/>
  <c r="AD127" i="22"/>
  <c r="S95" i="22"/>
  <c r="U95" i="22"/>
  <c r="T95" i="22"/>
  <c r="Q95" i="22"/>
  <c r="X95" i="22"/>
  <c r="Y95" i="22"/>
  <c r="AB95" i="22"/>
  <c r="AC95" i="22"/>
  <c r="AD95" i="22"/>
  <c r="S125" i="22"/>
  <c r="T125" i="22"/>
  <c r="Q125" i="22"/>
  <c r="S24" i="22"/>
  <c r="Q24" i="22"/>
  <c r="U38" i="22"/>
  <c r="T86" i="22"/>
  <c r="Q86" i="22"/>
  <c r="T136" i="22"/>
  <c r="Q136" i="22"/>
  <c r="S22" i="22"/>
  <c r="Q22" i="22"/>
  <c r="U113" i="22"/>
  <c r="T129" i="22"/>
  <c r="Q129" i="22"/>
  <c r="T58" i="22"/>
  <c r="Q58" i="22"/>
  <c r="T74" i="22"/>
  <c r="Q74" i="22"/>
  <c r="T154" i="22"/>
  <c r="Q154" i="22"/>
  <c r="X154" i="22"/>
  <c r="Y154" i="22"/>
  <c r="AB154" i="22"/>
  <c r="AC154" i="22"/>
  <c r="AD154" i="22"/>
  <c r="U49" i="22"/>
  <c r="S155" i="22"/>
  <c r="S90" i="22"/>
  <c r="T138" i="22"/>
  <c r="Q138" i="22"/>
  <c r="T27" i="22"/>
  <c r="U163" i="22"/>
  <c r="S65" i="22"/>
  <c r="Q17" i="22"/>
  <c r="X17" i="22"/>
  <c r="T35" i="22"/>
  <c r="Q35" i="22"/>
  <c r="X35" i="22"/>
  <c r="S13" i="22"/>
  <c r="S77" i="22"/>
  <c r="S93" i="22"/>
  <c r="T141" i="22"/>
  <c r="Q141" i="22"/>
  <c r="U23" i="22"/>
  <c r="T135" i="22"/>
  <c r="Q135" i="22"/>
  <c r="X135" i="22"/>
  <c r="Y135" i="22"/>
  <c r="U102" i="22"/>
  <c r="U118" i="22"/>
  <c r="S134" i="22"/>
  <c r="U136" i="22"/>
  <c r="T64" i="22"/>
  <c r="Q64" i="22"/>
  <c r="X144" i="22"/>
  <c r="Y144" i="22"/>
  <c r="AC144" i="22"/>
  <c r="AD144" i="22"/>
  <c r="AS62" i="2"/>
  <c r="X153" i="22"/>
  <c r="Y153" i="22"/>
  <c r="AB153" i="22"/>
  <c r="AC153" i="22"/>
  <c r="AD153" i="22"/>
  <c r="S68" i="22"/>
  <c r="S36" i="22"/>
  <c r="T29" i="22"/>
  <c r="T61" i="22"/>
  <c r="Q61" i="22"/>
  <c r="T132" i="22"/>
  <c r="Q132" i="22"/>
  <c r="X132" i="22"/>
  <c r="Y132" i="22"/>
  <c r="S71" i="22"/>
  <c r="T71" i="22"/>
  <c r="Q71" i="22"/>
  <c r="U71" i="22"/>
  <c r="S121" i="22"/>
  <c r="U121" i="22"/>
  <c r="AS70" i="2"/>
  <c r="S97" i="22"/>
  <c r="U74" i="22"/>
  <c r="T33" i="22"/>
  <c r="Q33" i="22"/>
  <c r="X33" i="22"/>
  <c r="U35" i="22"/>
  <c r="S83" i="22"/>
  <c r="U36" i="22"/>
  <c r="S47" i="22"/>
  <c r="U47" i="22"/>
  <c r="T47" i="22"/>
  <c r="Q47" i="22"/>
  <c r="X47" i="22"/>
  <c r="Y47" i="22"/>
  <c r="AB47" i="22"/>
  <c r="AC47" i="22"/>
  <c r="AD47" i="22"/>
  <c r="T38" i="22"/>
  <c r="Q38" i="22"/>
  <c r="T102" i="22"/>
  <c r="Q102" i="22"/>
  <c r="X102" i="22"/>
  <c r="Y102" i="22"/>
  <c r="U150" i="22"/>
  <c r="U17" i="22"/>
  <c r="U106" i="22"/>
  <c r="T107" i="22"/>
  <c r="Q107" i="22"/>
  <c r="T122" i="22"/>
  <c r="Q122" i="22"/>
  <c r="Q13" i="22"/>
  <c r="X13" i="22"/>
  <c r="T109" i="22"/>
  <c r="Q109" i="22"/>
  <c r="S135" i="22"/>
  <c r="AS55" i="2"/>
  <c r="AS68" i="2"/>
  <c r="X103" i="22"/>
  <c r="Y103" i="22"/>
  <c r="X155" i="22"/>
  <c r="Y155" i="22"/>
  <c r="X60" i="22"/>
  <c r="Y60" i="22"/>
  <c r="S28" i="22"/>
  <c r="Q28" i="22"/>
  <c r="X28" i="22"/>
  <c r="X116" i="22"/>
  <c r="Y116" i="22"/>
  <c r="X101" i="22"/>
  <c r="Y101" i="22"/>
  <c r="S157" i="22"/>
  <c r="S150" i="22"/>
  <c r="U155" i="22"/>
  <c r="T68" i="22"/>
  <c r="Q68" i="22"/>
  <c r="X68" i="22"/>
  <c r="Y68" i="22"/>
  <c r="T159" i="22"/>
  <c r="Q159" i="22"/>
  <c r="S159" i="22"/>
  <c r="U159" i="22"/>
  <c r="T63" i="22"/>
  <c r="Q63" i="22"/>
  <c r="X63" i="22"/>
  <c r="Y63" i="22"/>
  <c r="S63" i="22"/>
  <c r="U63" i="22"/>
  <c r="S111" i="22"/>
  <c r="U111" i="22"/>
  <c r="U75" i="22"/>
  <c r="T75" i="22"/>
  <c r="Q75" i="22"/>
  <c r="T15" i="22"/>
  <c r="S15" i="22"/>
  <c r="S21" i="22"/>
  <c r="Q21" i="22"/>
  <c r="X21" i="22"/>
  <c r="T21" i="22"/>
  <c r="U21" i="22"/>
  <c r="Q29" i="23"/>
  <c r="X29" i="23"/>
  <c r="X147" i="23"/>
  <c r="Y147" i="23"/>
  <c r="AC147" i="23"/>
  <c r="AD147" i="23"/>
  <c r="AT182" i="2"/>
  <c r="X156" i="23"/>
  <c r="Y156" i="23"/>
  <c r="AC156" i="23"/>
  <c r="AD156" i="23"/>
  <c r="AT191" i="2"/>
  <c r="Q155" i="23"/>
  <c r="X155" i="23"/>
  <c r="Y155" i="23"/>
  <c r="AC155" i="23"/>
  <c r="AD155" i="23"/>
  <c r="AT190" i="2"/>
  <c r="X34" i="22"/>
  <c r="AB21" i="22"/>
  <c r="AC21" i="22"/>
  <c r="AD21" i="22"/>
  <c r="Q94" i="23"/>
  <c r="X94" i="23"/>
  <c r="Y94" i="23"/>
  <c r="AC94" i="23"/>
  <c r="AD94" i="23"/>
  <c r="AT129" i="2"/>
  <c r="Q106" i="23"/>
  <c r="X106" i="23"/>
  <c r="Y106" i="23"/>
  <c r="AC106" i="23"/>
  <c r="AD106" i="23"/>
  <c r="AT141" i="2"/>
  <c r="Q27" i="23"/>
  <c r="X27" i="23"/>
  <c r="AB50" i="22"/>
  <c r="X76" i="22"/>
  <c r="Y76" i="22"/>
  <c r="Q157" i="23"/>
  <c r="X157" i="23"/>
  <c r="Y157" i="23"/>
  <c r="AC157" i="23"/>
  <c r="AD157" i="23"/>
  <c r="AT192" i="2"/>
  <c r="AB124" i="22"/>
  <c r="Q83" i="23"/>
  <c r="X125" i="23"/>
  <c r="Y125" i="23"/>
  <c r="AC125" i="23"/>
  <c r="AD125" i="23"/>
  <c r="AT160" i="2"/>
  <c r="X164" i="22"/>
  <c r="Y164" i="22"/>
  <c r="AC164" i="22"/>
  <c r="AD164" i="22"/>
  <c r="X90" i="22"/>
  <c r="Y90" i="22"/>
  <c r="AB90" i="22"/>
  <c r="AC90" i="22"/>
  <c r="AD90" i="22"/>
  <c r="Q38" i="23"/>
  <c r="Q150" i="23"/>
  <c r="X150" i="23"/>
  <c r="Y150" i="23"/>
  <c r="AC150" i="23"/>
  <c r="AD150" i="23"/>
  <c r="AT185" i="2"/>
  <c r="X77" i="22"/>
  <c r="Y77" i="22"/>
  <c r="AC77" i="22"/>
  <c r="AD77" i="22"/>
  <c r="Q74" i="23"/>
  <c r="X74" i="23"/>
  <c r="Y74" i="23"/>
  <c r="AC74" i="23"/>
  <c r="AD74" i="23"/>
  <c r="AT109" i="2"/>
  <c r="X39" i="22"/>
  <c r="Y39" i="22"/>
  <c r="Q23" i="23"/>
  <c r="X23" i="23"/>
  <c r="AB46" i="22"/>
  <c r="AB13" i="22"/>
  <c r="AC13" i="22"/>
  <c r="AD13" i="22"/>
  <c r="Q19" i="23"/>
  <c r="X16" i="22"/>
  <c r="X162" i="23"/>
  <c r="Y162" i="23"/>
  <c r="AC162" i="23"/>
  <c r="AD162" i="23"/>
  <c r="AT197" i="2"/>
  <c r="Q50" i="23"/>
  <c r="X50" i="23"/>
  <c r="Y50" i="23"/>
  <c r="AC50" i="23"/>
  <c r="AD50" i="23"/>
  <c r="AT85" i="2"/>
  <c r="Q126" i="23"/>
  <c r="X126" i="23"/>
  <c r="Y126" i="23"/>
  <c r="AC126" i="23"/>
  <c r="AD126" i="23"/>
  <c r="AT161" i="2"/>
  <c r="X138" i="23"/>
  <c r="Y138" i="23"/>
  <c r="AC138" i="23"/>
  <c r="AD138" i="23"/>
  <c r="AT173" i="2"/>
  <c r="X122" i="23"/>
  <c r="Y122" i="23"/>
  <c r="AC122" i="23"/>
  <c r="AD122" i="23"/>
  <c r="AT157" i="2"/>
  <c r="Q154" i="23"/>
  <c r="AB49" i="22"/>
  <c r="X11" i="23"/>
  <c r="X46" i="22"/>
  <c r="Y46" i="22"/>
  <c r="AB110" i="22"/>
  <c r="X110" i="22"/>
  <c r="Y110" i="22"/>
  <c r="Q61" i="23"/>
  <c r="X61" i="23"/>
  <c r="Y61" i="23"/>
  <c r="AC61" i="23"/>
  <c r="AD61" i="23"/>
  <c r="AT96" i="2"/>
  <c r="X95" i="23"/>
  <c r="Y95" i="23"/>
  <c r="AC95" i="23"/>
  <c r="AD95" i="23"/>
  <c r="AT130" i="2"/>
  <c r="Q107" i="23"/>
  <c r="X107" i="23"/>
  <c r="Y107" i="23"/>
  <c r="AC107" i="23"/>
  <c r="AD107" i="23"/>
  <c r="AT142" i="2"/>
  <c r="Q86" i="23"/>
  <c r="X86" i="23"/>
  <c r="Y86" i="23"/>
  <c r="AC86" i="23"/>
  <c r="AD86" i="23"/>
  <c r="AT121" i="2"/>
  <c r="Q127" i="23"/>
  <c r="AB25" i="22"/>
  <c r="AC25" i="22"/>
  <c r="AD25" i="22"/>
  <c r="AB148" i="22"/>
  <c r="X14" i="23"/>
  <c r="Q40" i="23"/>
  <c r="X40" i="23"/>
  <c r="Y40" i="23"/>
  <c r="AC40" i="23"/>
  <c r="AD40" i="23"/>
  <c r="AT75" i="2"/>
  <c r="Q121" i="23"/>
  <c r="X37" i="23"/>
  <c r="Y37" i="23"/>
  <c r="AC37" i="23"/>
  <c r="AD37" i="23"/>
  <c r="AT72" i="2"/>
  <c r="X21" i="23"/>
  <c r="X51" i="23"/>
  <c r="Y51" i="23"/>
  <c r="AC51" i="23"/>
  <c r="AD51" i="23"/>
  <c r="AT86" i="2"/>
  <c r="X82" i="23"/>
  <c r="Y82" i="23"/>
  <c r="AC82" i="23"/>
  <c r="AD82" i="23"/>
  <c r="AT117" i="2"/>
  <c r="X89" i="23"/>
  <c r="Y89" i="23"/>
  <c r="AC89" i="23"/>
  <c r="AD89" i="23"/>
  <c r="AT124" i="2"/>
  <c r="X25" i="23"/>
  <c r="Q78" i="23"/>
  <c r="X78" i="23"/>
  <c r="Y78" i="23"/>
  <c r="AC78" i="23"/>
  <c r="AD78" i="23"/>
  <c r="AT113" i="2"/>
  <c r="Q103" i="23"/>
  <c r="X103" i="23"/>
  <c r="Y103" i="23"/>
  <c r="AC103" i="23"/>
  <c r="AD103" i="23"/>
  <c r="AT138" i="2"/>
  <c r="Q135" i="23"/>
  <c r="X135" i="23"/>
  <c r="Y135" i="23"/>
  <c r="AC135" i="23"/>
  <c r="AD135" i="23"/>
  <c r="AT170" i="2"/>
  <c r="Q99" i="23"/>
  <c r="X99" i="23"/>
  <c r="Y99" i="23"/>
  <c r="AC99" i="23"/>
  <c r="AD99" i="23"/>
  <c r="AT134" i="2"/>
  <c r="X128" i="22"/>
  <c r="Y128" i="22"/>
  <c r="AB128" i="22"/>
  <c r="X119" i="23"/>
  <c r="Y119" i="23"/>
  <c r="AC119" i="23"/>
  <c r="AD119" i="23"/>
  <c r="AT154" i="2"/>
  <c r="X59" i="23"/>
  <c r="Y59" i="23"/>
  <c r="AC59" i="23"/>
  <c r="AD59" i="23"/>
  <c r="AT94" i="2"/>
  <c r="X164" i="23"/>
  <c r="Y164" i="23"/>
  <c r="AC164" i="23"/>
  <c r="AD164" i="23"/>
  <c r="AT199" i="2"/>
  <c r="X76" i="23"/>
  <c r="Y76" i="23"/>
  <c r="AC76" i="23"/>
  <c r="AD76" i="23"/>
  <c r="AT111" i="2"/>
  <c r="X127" i="23"/>
  <c r="Y127" i="23"/>
  <c r="AC127" i="23"/>
  <c r="AD127" i="23"/>
  <c r="AT162" i="2"/>
  <c r="X99" i="22"/>
  <c r="Y99" i="22"/>
  <c r="Q137" i="23"/>
  <c r="X28" i="23"/>
  <c r="Q159" i="23"/>
  <c r="X159" i="23"/>
  <c r="Y159" i="23"/>
  <c r="AC159" i="23"/>
  <c r="AD159" i="23"/>
  <c r="AT194" i="2"/>
  <c r="Q30" i="23"/>
  <c r="X30" i="23"/>
  <c r="AB150" i="22"/>
  <c r="AC150" i="22"/>
  <c r="AD150" i="22"/>
  <c r="Q32" i="23"/>
  <c r="X32" i="23"/>
  <c r="X93" i="23"/>
  <c r="Y93" i="23"/>
  <c r="AC93" i="23"/>
  <c r="AD93" i="23"/>
  <c r="AT128" i="2"/>
  <c r="X85" i="23"/>
  <c r="Y85" i="23"/>
  <c r="AC85" i="23"/>
  <c r="AD85" i="23"/>
  <c r="AT120" i="2"/>
  <c r="X116" i="23"/>
  <c r="Y116" i="23"/>
  <c r="AC116" i="23"/>
  <c r="AD116" i="23"/>
  <c r="AT151" i="2"/>
  <c r="Q54" i="23"/>
  <c r="X54" i="23"/>
  <c r="Y54" i="23"/>
  <c r="AC54" i="23"/>
  <c r="AD54" i="23"/>
  <c r="AT89" i="2"/>
  <c r="Q34" i="23"/>
  <c r="X34" i="23"/>
  <c r="AB135" i="22"/>
  <c r="X49" i="22"/>
  <c r="Y49" i="22"/>
  <c r="AC49" i="22"/>
  <c r="AD49" i="22"/>
  <c r="Q64" i="23"/>
  <c r="X64" i="23"/>
  <c r="Y64" i="23"/>
  <c r="AC64" i="23"/>
  <c r="AD64" i="23"/>
  <c r="AT99" i="2"/>
  <c r="Q62" i="23"/>
  <c r="X62" i="23"/>
  <c r="Y62" i="23"/>
  <c r="AC62" i="23"/>
  <c r="AD62" i="23"/>
  <c r="AT97" i="2"/>
  <c r="Q158" i="23"/>
  <c r="X158" i="23"/>
  <c r="Y158" i="23"/>
  <c r="AC158" i="23"/>
  <c r="AD158" i="23"/>
  <c r="AT193" i="2"/>
  <c r="AB39" i="22"/>
  <c r="AB116" i="22"/>
  <c r="Q118" i="23"/>
  <c r="X118" i="23"/>
  <c r="Y118" i="23"/>
  <c r="AC118" i="23"/>
  <c r="AD118" i="23"/>
  <c r="AT153" i="2"/>
  <c r="X144" i="23"/>
  <c r="Y144" i="23"/>
  <c r="AC144" i="23"/>
  <c r="AD144" i="23"/>
  <c r="AT179" i="2"/>
  <c r="Q134" i="23"/>
  <c r="X134" i="23"/>
  <c r="Y134" i="23"/>
  <c r="AC134" i="23"/>
  <c r="AD134" i="23"/>
  <c r="AT169" i="2"/>
  <c r="X71" i="23"/>
  <c r="Y71" i="23"/>
  <c r="AC71" i="23"/>
  <c r="AD71" i="23"/>
  <c r="AT106" i="2"/>
  <c r="X91" i="23"/>
  <c r="Y91" i="23"/>
  <c r="AC91" i="23"/>
  <c r="AD91" i="23"/>
  <c r="AT126" i="2"/>
  <c r="X78" i="22"/>
  <c r="Y78" i="22"/>
  <c r="Q96" i="23"/>
  <c r="X96" i="23"/>
  <c r="Y96" i="23"/>
  <c r="AC96" i="23"/>
  <c r="AD96" i="23"/>
  <c r="AT131" i="2"/>
  <c r="X128" i="23"/>
  <c r="Y128" i="23"/>
  <c r="AC128" i="23"/>
  <c r="AD128" i="23"/>
  <c r="AT163" i="2"/>
  <c r="Q77" i="23"/>
  <c r="X77" i="23"/>
  <c r="Y77" i="23"/>
  <c r="AC77" i="23"/>
  <c r="AD77" i="23"/>
  <c r="AT112" i="2"/>
  <c r="X109" i="23"/>
  <c r="Y109" i="23"/>
  <c r="AC109" i="23"/>
  <c r="AD109" i="23"/>
  <c r="AT144" i="2"/>
  <c r="X148" i="23"/>
  <c r="Y148" i="23"/>
  <c r="AC148" i="23"/>
  <c r="AD148" i="23"/>
  <c r="AT183" i="2"/>
  <c r="Q22" i="23"/>
  <c r="X22" i="23"/>
  <c r="Q110" i="23"/>
  <c r="X110" i="23"/>
  <c r="Y110" i="23"/>
  <c r="AC110" i="23"/>
  <c r="AD110" i="23"/>
  <c r="AT145" i="2"/>
  <c r="X47" i="23"/>
  <c r="Y47" i="23"/>
  <c r="AC47" i="23"/>
  <c r="AD47" i="23"/>
  <c r="AT82" i="2"/>
  <c r="Q111" i="23"/>
  <c r="X111" i="23"/>
  <c r="Y111" i="23"/>
  <c r="AC111" i="23"/>
  <c r="AD111" i="23"/>
  <c r="AT146" i="2"/>
  <c r="X85" i="22"/>
  <c r="Y85" i="22"/>
  <c r="Q90" i="23"/>
  <c r="X90" i="23"/>
  <c r="Y90" i="23"/>
  <c r="AC90" i="23"/>
  <c r="AD90" i="23"/>
  <c r="AT125" i="2"/>
  <c r="X154" i="23"/>
  <c r="Y154" i="23"/>
  <c r="AC154" i="23"/>
  <c r="AD154" i="23"/>
  <c r="AT189" i="2"/>
  <c r="AB32" i="22"/>
  <c r="AC32" i="22"/>
  <c r="AD32" i="22"/>
  <c r="N115" i="22"/>
  <c r="W115" i="22"/>
  <c r="X115" i="22"/>
  <c r="Y115" i="22"/>
  <c r="AC115" i="22"/>
  <c r="AD115" i="22"/>
  <c r="Q112" i="23"/>
  <c r="X112" i="23"/>
  <c r="Y112" i="23"/>
  <c r="AC112" i="23"/>
  <c r="AD112" i="23"/>
  <c r="AT147" i="2"/>
  <c r="X83" i="23"/>
  <c r="Y83" i="23"/>
  <c r="AC83" i="23"/>
  <c r="AD83" i="23"/>
  <c r="AT118" i="2"/>
  <c r="Q55" i="23"/>
  <c r="X55" i="23"/>
  <c r="Y55" i="23"/>
  <c r="AC55" i="23"/>
  <c r="AD55" i="23"/>
  <c r="AT90" i="2"/>
  <c r="Q92" i="23"/>
  <c r="Q105" i="23"/>
  <c r="X105" i="23"/>
  <c r="Y105" i="23"/>
  <c r="AC105" i="23"/>
  <c r="AD105" i="23"/>
  <c r="AT140" i="2"/>
  <c r="X69" i="23"/>
  <c r="Y69" i="23"/>
  <c r="AC69" i="23"/>
  <c r="AD69" i="23"/>
  <c r="AT104" i="2"/>
  <c r="X36" i="22"/>
  <c r="X121" i="22"/>
  <c r="Y121" i="22"/>
  <c r="Q104" i="23"/>
  <c r="X104" i="23"/>
  <c r="Y104" i="23"/>
  <c r="AC104" i="23"/>
  <c r="AD104" i="23"/>
  <c r="AT139" i="2"/>
  <c r="Q24" i="23"/>
  <c r="X24" i="23"/>
  <c r="Q45" i="23"/>
  <c r="X45" i="23"/>
  <c r="Y45" i="23"/>
  <c r="AC45" i="23"/>
  <c r="AD45" i="23"/>
  <c r="AT80" i="2"/>
  <c r="X19" i="23"/>
  <c r="Q142" i="23"/>
  <c r="X142" i="23"/>
  <c r="Y142" i="23"/>
  <c r="AC142" i="23"/>
  <c r="AD142" i="23"/>
  <c r="AT177" i="2"/>
  <c r="Q143" i="23"/>
  <c r="X143" i="23"/>
  <c r="Y143" i="23"/>
  <c r="AC143" i="23"/>
  <c r="AD143" i="23"/>
  <c r="AT178" i="2"/>
  <c r="Q66" i="23"/>
  <c r="X66" i="23"/>
  <c r="Y66" i="23"/>
  <c r="AC66" i="23"/>
  <c r="AD66" i="23"/>
  <c r="AT101" i="2"/>
  <c r="X98" i="23"/>
  <c r="Y98" i="23"/>
  <c r="AC98" i="23"/>
  <c r="AD98" i="23"/>
  <c r="AT133" i="2"/>
  <c r="AB76" i="22"/>
  <c r="Q115" i="23"/>
  <c r="X115" i="23"/>
  <c r="Y115" i="23"/>
  <c r="AC115" i="23"/>
  <c r="AD115" i="23"/>
  <c r="AT150" i="2"/>
  <c r="AB16" i="22"/>
  <c r="AC16" i="22"/>
  <c r="AD16" i="22"/>
  <c r="AB156" i="22"/>
  <c r="AB101" i="22"/>
  <c r="AC139" i="22"/>
  <c r="AD139" i="22"/>
  <c r="Q124" i="23"/>
  <c r="X124" i="23"/>
  <c r="Y124" i="23"/>
  <c r="AC124" i="23"/>
  <c r="AD124" i="23"/>
  <c r="AT159" i="2"/>
  <c r="N74" i="22"/>
  <c r="W74" i="22"/>
  <c r="AB74" i="22"/>
  <c r="AB141" i="22"/>
  <c r="N141" i="22"/>
  <c r="W141" i="22"/>
  <c r="N18" i="22"/>
  <c r="W18" i="22"/>
  <c r="AB18" i="22"/>
  <c r="AC18" i="22"/>
  <c r="AD18" i="22"/>
  <c r="AB83" i="22"/>
  <c r="N83" i="22"/>
  <c r="W83" i="22"/>
  <c r="X83" i="22"/>
  <c r="Y83" i="22"/>
  <c r="X65" i="23"/>
  <c r="Y65" i="23"/>
  <c r="AC65" i="23"/>
  <c r="AD65" i="23"/>
  <c r="AT100" i="2"/>
  <c r="AB107" i="22"/>
  <c r="N107" i="22"/>
  <c r="W107" i="22"/>
  <c r="AB24" i="22"/>
  <c r="AC24" i="22"/>
  <c r="AD24" i="22"/>
  <c r="N24" i="22"/>
  <c r="W24" i="22"/>
  <c r="N54" i="22"/>
  <c r="W54" i="22"/>
  <c r="AB54" i="22"/>
  <c r="Q41" i="23"/>
  <c r="X41" i="23"/>
  <c r="Y41" i="23"/>
  <c r="AC41" i="23"/>
  <c r="AD41" i="23"/>
  <c r="AT76" i="2"/>
  <c r="X70" i="23"/>
  <c r="Y70" i="23"/>
  <c r="AC70" i="23"/>
  <c r="AD70" i="23"/>
  <c r="AT105" i="2"/>
  <c r="X137" i="23"/>
  <c r="Y137" i="23"/>
  <c r="AC137" i="23"/>
  <c r="AD137" i="23"/>
  <c r="AT172" i="2"/>
  <c r="X73" i="23"/>
  <c r="Y73" i="23"/>
  <c r="AC73" i="23"/>
  <c r="AD73" i="23"/>
  <c r="AT108" i="2"/>
  <c r="X84" i="23"/>
  <c r="Y84" i="23"/>
  <c r="AC84" i="23"/>
  <c r="AD84" i="23"/>
  <c r="AT119" i="2"/>
  <c r="X20" i="23"/>
  <c r="AB133" i="22"/>
  <c r="AB117" i="22"/>
  <c r="AC117" i="22"/>
  <c r="AD117" i="22"/>
  <c r="X32" i="22"/>
  <c r="AB120" i="22"/>
  <c r="N120" i="22"/>
  <c r="W120" i="22"/>
  <c r="X120" i="22"/>
  <c r="Y120" i="22"/>
  <c r="N145" i="22"/>
  <c r="W145" i="22"/>
  <c r="AB145" i="22"/>
  <c r="N72" i="22"/>
  <c r="W72" i="22"/>
  <c r="X72" i="22"/>
  <c r="Y72" i="22"/>
  <c r="AB72" i="22"/>
  <c r="AB86" i="22"/>
  <c r="N86" i="22"/>
  <c r="W86" i="22"/>
  <c r="N22" i="22"/>
  <c r="W22" i="22"/>
  <c r="X22" i="22"/>
  <c r="AB22" i="22"/>
  <c r="AC22" i="22"/>
  <c r="AD22" i="22"/>
  <c r="X102" i="23"/>
  <c r="Y102" i="23"/>
  <c r="AC102" i="23"/>
  <c r="AD102" i="23"/>
  <c r="AT137" i="2"/>
  <c r="X113" i="23"/>
  <c r="Y113" i="23"/>
  <c r="AC113" i="23"/>
  <c r="AD113" i="23"/>
  <c r="AT148" i="2"/>
  <c r="X49" i="23"/>
  <c r="Y49" i="23"/>
  <c r="AC49" i="23"/>
  <c r="AD49" i="23"/>
  <c r="AT84" i="2"/>
  <c r="X60" i="23"/>
  <c r="Y60" i="23"/>
  <c r="AC60" i="23"/>
  <c r="AD60" i="23"/>
  <c r="AT95" i="2"/>
  <c r="AB17" i="22"/>
  <c r="AC17" i="22"/>
  <c r="AD17" i="22"/>
  <c r="X80" i="22"/>
  <c r="Y80" i="22"/>
  <c r="AC80" i="22"/>
  <c r="AD80" i="22"/>
  <c r="AB111" i="22"/>
  <c r="AC111" i="22"/>
  <c r="AD111" i="22"/>
  <c r="AB149" i="22"/>
  <c r="N149" i="22"/>
  <c r="W149" i="22"/>
  <c r="AB68" i="22"/>
  <c r="AB155" i="22"/>
  <c r="AB60" i="22"/>
  <c r="AB88" i="22"/>
  <c r="N88" i="22"/>
  <c r="W88" i="22"/>
  <c r="X88" i="22"/>
  <c r="Y88" i="22"/>
  <c r="AB71" i="22"/>
  <c r="N71" i="22"/>
  <c r="W71" i="22"/>
  <c r="AB123" i="22"/>
  <c r="N123" i="22"/>
  <c r="W123" i="22"/>
  <c r="X123" i="22"/>
  <c r="Y123" i="22"/>
  <c r="AC123" i="22"/>
  <c r="AD123" i="22"/>
  <c r="AB114" i="22"/>
  <c r="N114" i="22"/>
  <c r="W114" i="22"/>
  <c r="AB82" i="22"/>
  <c r="N82" i="22"/>
  <c r="W82" i="22"/>
  <c r="X82" i="22"/>
  <c r="Y82" i="22"/>
  <c r="N31" i="22"/>
  <c r="W31" i="22"/>
  <c r="X31" i="22"/>
  <c r="AB31" i="22"/>
  <c r="AC31" i="22"/>
  <c r="AD31" i="22"/>
  <c r="AB163" i="22"/>
  <c r="N163" i="22"/>
  <c r="W163" i="22"/>
  <c r="X163" i="22"/>
  <c r="Y163" i="22"/>
  <c r="N126" i="22"/>
  <c r="W126" i="22"/>
  <c r="X126" i="22"/>
  <c r="Y126" i="22"/>
  <c r="AB126" i="22"/>
  <c r="N62" i="22"/>
  <c r="W62" i="22"/>
  <c r="X62" i="22"/>
  <c r="Y62" i="22"/>
  <c r="AB62" i="22"/>
  <c r="X36" i="23"/>
  <c r="AB65" i="22"/>
  <c r="N65" i="22"/>
  <c r="W65" i="22"/>
  <c r="X65" i="22"/>
  <c r="Y65" i="22"/>
  <c r="AB40" i="22"/>
  <c r="N40" i="22"/>
  <c r="W40" i="22"/>
  <c r="N38" i="22"/>
  <c r="W38" i="22"/>
  <c r="AB38" i="22"/>
  <c r="X53" i="23"/>
  <c r="Y53" i="23"/>
  <c r="AC53" i="23"/>
  <c r="AD53" i="23"/>
  <c r="AT88" i="2"/>
  <c r="X129" i="23"/>
  <c r="Y129" i="23"/>
  <c r="AC129" i="23"/>
  <c r="AD129" i="23"/>
  <c r="AT164" i="2"/>
  <c r="X140" i="23"/>
  <c r="Y140" i="23"/>
  <c r="AC140" i="23"/>
  <c r="AD140" i="23"/>
  <c r="AT175" i="2"/>
  <c r="N112" i="22"/>
  <c r="W112" i="22"/>
  <c r="X112" i="22"/>
  <c r="Y112" i="22"/>
  <c r="AB112" i="22"/>
  <c r="AB138" i="22"/>
  <c r="N138" i="22"/>
  <c r="W138" i="22"/>
  <c r="N136" i="22"/>
  <c r="W136" i="22"/>
  <c r="AB136" i="22"/>
  <c r="X14" i="22"/>
  <c r="X52" i="23"/>
  <c r="Y52" i="23"/>
  <c r="AC52" i="23"/>
  <c r="AD52" i="23"/>
  <c r="AT87" i="2"/>
  <c r="AB92" i="22"/>
  <c r="AB78" i="22"/>
  <c r="AC78" i="22"/>
  <c r="AD78" i="22"/>
  <c r="AB97" i="22"/>
  <c r="N97" i="22"/>
  <c r="W97" i="22"/>
  <c r="N26" i="22"/>
  <c r="W26" i="22"/>
  <c r="AB26" i="22"/>
  <c r="AC26" i="22"/>
  <c r="AD26" i="22"/>
  <c r="AB102" i="22"/>
  <c r="AB61" i="22"/>
  <c r="N61" i="22"/>
  <c r="W61" i="22"/>
  <c r="N96" i="22"/>
  <c r="W96" i="22"/>
  <c r="X96" i="22"/>
  <c r="Y96" i="22"/>
  <c r="AB96" i="22"/>
  <c r="N162" i="22"/>
  <c r="W162" i="22"/>
  <c r="AB162" i="22"/>
  <c r="N11" i="22"/>
  <c r="W11" i="22"/>
  <c r="X11" i="22"/>
  <c r="AB11" i="22"/>
  <c r="AC11" i="22"/>
  <c r="AD11" i="22"/>
  <c r="X117" i="23"/>
  <c r="Y117" i="23"/>
  <c r="AC117" i="23"/>
  <c r="AD117" i="23"/>
  <c r="AT152" i="2"/>
  <c r="X17" i="23"/>
  <c r="X92" i="23"/>
  <c r="Y92" i="23"/>
  <c r="AC92" i="23"/>
  <c r="AD92" i="23"/>
  <c r="AT127" i="2"/>
  <c r="AB66" i="22"/>
  <c r="AB42" i="22"/>
  <c r="N108" i="22"/>
  <c r="W108" i="22"/>
  <c r="X108" i="22"/>
  <c r="Y108" i="22"/>
  <c r="AB108" i="22"/>
  <c r="AB157" i="22"/>
  <c r="AB143" i="22"/>
  <c r="N143" i="22"/>
  <c r="W143" i="22"/>
  <c r="AB55" i="22"/>
  <c r="N55" i="22"/>
  <c r="W55" i="22"/>
  <c r="N64" i="22"/>
  <c r="W64" i="22"/>
  <c r="AB64" i="22"/>
  <c r="N130" i="22"/>
  <c r="W130" i="22"/>
  <c r="AB130" i="22"/>
  <c r="AB57" i="22"/>
  <c r="N57" i="22"/>
  <c r="W57" i="22"/>
  <c r="X57" i="22"/>
  <c r="Y57" i="22"/>
  <c r="N94" i="22"/>
  <c r="W94" i="22"/>
  <c r="X94" i="22"/>
  <c r="Y94" i="22"/>
  <c r="AB94" i="22"/>
  <c r="X149" i="23"/>
  <c r="Y149" i="23"/>
  <c r="AC149" i="23"/>
  <c r="AD149" i="23"/>
  <c r="AT184" i="2"/>
  <c r="X121" i="23"/>
  <c r="Y121" i="23"/>
  <c r="AC121" i="23"/>
  <c r="AD121" i="23"/>
  <c r="AT156" i="2"/>
  <c r="X57" i="23"/>
  <c r="Y57" i="23"/>
  <c r="AC57" i="23"/>
  <c r="AD57" i="23"/>
  <c r="AT92" i="2"/>
  <c r="X132" i="23"/>
  <c r="Y132" i="23"/>
  <c r="AC132" i="23"/>
  <c r="AD132" i="23"/>
  <c r="AT167" i="2"/>
  <c r="X68" i="23"/>
  <c r="Y68" i="23"/>
  <c r="AC68" i="23"/>
  <c r="AD68" i="23"/>
  <c r="AT103" i="2"/>
  <c r="AB87" i="22"/>
  <c r="AB160" i="22"/>
  <c r="AC160" i="22"/>
  <c r="AD160" i="22"/>
  <c r="AB14" i="22"/>
  <c r="AC14" i="22"/>
  <c r="AD14" i="22"/>
  <c r="AB132" i="22"/>
  <c r="AB63" i="22"/>
  <c r="N23" i="22"/>
  <c r="W23" i="22"/>
  <c r="AB23" i="22"/>
  <c r="AC23" i="22"/>
  <c r="AD23" i="22"/>
  <c r="AB119" i="22"/>
  <c r="N119" i="22"/>
  <c r="W119" i="22"/>
  <c r="X119" i="22"/>
  <c r="Y119" i="22"/>
  <c r="AB85" i="22"/>
  <c r="N53" i="22"/>
  <c r="W53" i="22"/>
  <c r="X53" i="22"/>
  <c r="Y53" i="22"/>
  <c r="AB53" i="22"/>
  <c r="AC53" i="22"/>
  <c r="AD53" i="22"/>
  <c r="AB113" i="22"/>
  <c r="N113" i="22"/>
  <c r="W113" i="22"/>
  <c r="X113" i="22"/>
  <c r="Y113" i="22"/>
  <c r="AC113" i="22"/>
  <c r="AD113" i="22"/>
  <c r="AB12" i="22"/>
  <c r="AC12" i="22"/>
  <c r="AD12" i="22"/>
  <c r="AB131" i="22"/>
  <c r="N131" i="22"/>
  <c r="W131" i="22"/>
  <c r="N48" i="22"/>
  <c r="W48" i="22"/>
  <c r="X48" i="22"/>
  <c r="Y48" i="22"/>
  <c r="AB48" i="22"/>
  <c r="AB161" i="22"/>
  <c r="N161" i="22"/>
  <c r="W161" i="22"/>
  <c r="X161" i="22"/>
  <c r="Y161" i="22"/>
  <c r="AC161" i="22"/>
  <c r="AD161" i="22"/>
  <c r="AB79" i="22"/>
  <c r="N79" i="22"/>
  <c r="W79" i="22"/>
  <c r="N19" i="22"/>
  <c r="W19" i="22"/>
  <c r="X19" i="22"/>
  <c r="AB19" i="22"/>
  <c r="AC19" i="22"/>
  <c r="AD19" i="22"/>
  <c r="AB151" i="22"/>
  <c r="N151" i="22"/>
  <c r="W151" i="22"/>
  <c r="N125" i="22"/>
  <c r="W125" i="22"/>
  <c r="AB125" i="22"/>
  <c r="AB70" i="22"/>
  <c r="N70" i="22"/>
  <c r="W70" i="22"/>
  <c r="X70" i="22"/>
  <c r="Y70" i="22"/>
  <c r="AC70" i="22"/>
  <c r="AD70" i="22"/>
  <c r="AB142" i="22"/>
  <c r="X153" i="23"/>
  <c r="Y153" i="23"/>
  <c r="AC153" i="23"/>
  <c r="AD153" i="23"/>
  <c r="AT188" i="2"/>
  <c r="N109" i="22"/>
  <c r="W109" i="22"/>
  <c r="AB109" i="22"/>
  <c r="N44" i="22"/>
  <c r="W44" i="22"/>
  <c r="AB44" i="22"/>
  <c r="AB58" i="22"/>
  <c r="N58" i="22"/>
  <c r="W58" i="22"/>
  <c r="AB67" i="22"/>
  <c r="N67" i="22"/>
  <c r="W67" i="22"/>
  <c r="X67" i="22"/>
  <c r="Y67" i="22"/>
  <c r="N106" i="22"/>
  <c r="W106" i="22"/>
  <c r="X106" i="22"/>
  <c r="Y106" i="22"/>
  <c r="AB106" i="22"/>
  <c r="AB51" i="22"/>
  <c r="N51" i="22"/>
  <c r="W51" i="22"/>
  <c r="N140" i="22"/>
  <c r="W140" i="22"/>
  <c r="X140" i="22"/>
  <c r="Y140" i="22"/>
  <c r="AB140" i="22"/>
  <c r="AB104" i="22"/>
  <c r="N104" i="22"/>
  <c r="W104" i="22"/>
  <c r="X104" i="22"/>
  <c r="Y104" i="22"/>
  <c r="X42" i="22"/>
  <c r="Y42" i="22"/>
  <c r="X81" i="23"/>
  <c r="Y81" i="23"/>
  <c r="AC81" i="23"/>
  <c r="AD81" i="23"/>
  <c r="AT116" i="2"/>
  <c r="AB159" i="22"/>
  <c r="N159" i="22"/>
  <c r="W159" i="22"/>
  <c r="N98" i="22"/>
  <c r="W98" i="22"/>
  <c r="AB98" i="22"/>
  <c r="N30" i="22"/>
  <c r="W30" i="22"/>
  <c r="X30" i="22"/>
  <c r="AB30" i="22"/>
  <c r="AC30" i="22"/>
  <c r="AD30" i="22"/>
  <c r="X66" i="22"/>
  <c r="Y66" i="22"/>
  <c r="Q145" i="23"/>
  <c r="X145" i="23"/>
  <c r="Y145" i="23"/>
  <c r="AC145" i="23"/>
  <c r="AD145" i="23"/>
  <c r="AT180" i="2"/>
  <c r="X38" i="23"/>
  <c r="Y38" i="23"/>
  <c r="AC38" i="23"/>
  <c r="AD38" i="23"/>
  <c r="AT73" i="2"/>
  <c r="X161" i="23"/>
  <c r="Y161" i="23"/>
  <c r="AC161" i="23"/>
  <c r="AD161" i="23"/>
  <c r="AT196" i="2"/>
  <c r="X97" i="23"/>
  <c r="Y97" i="23"/>
  <c r="AC97" i="23"/>
  <c r="AD97" i="23"/>
  <c r="AT132" i="2"/>
  <c r="X33" i="23"/>
  <c r="X108" i="23"/>
  <c r="Y108" i="23"/>
  <c r="AC108" i="23"/>
  <c r="AD108" i="23"/>
  <c r="AT143" i="2"/>
  <c r="X44" i="23"/>
  <c r="Y44" i="23"/>
  <c r="AC44" i="23"/>
  <c r="AD44" i="23"/>
  <c r="AT79" i="2"/>
  <c r="X157" i="22"/>
  <c r="Y157" i="22"/>
  <c r="AB103" i="22"/>
  <c r="AB52" i="22"/>
  <c r="AB99" i="22"/>
  <c r="AB28" i="22"/>
  <c r="AC28" i="22"/>
  <c r="AD28" i="22"/>
  <c r="AB146" i="22"/>
  <c r="AC146" i="22"/>
  <c r="AD146" i="22"/>
  <c r="AB129" i="22"/>
  <c r="N129" i="22"/>
  <c r="W129" i="22"/>
  <c r="AB41" i="22"/>
  <c r="N41" i="22"/>
  <c r="W41" i="22"/>
  <c r="AB121" i="22"/>
  <c r="N89" i="22"/>
  <c r="W89" i="22"/>
  <c r="X89" i="22"/>
  <c r="Y89" i="22"/>
  <c r="AB89" i="22"/>
  <c r="AB73" i="22"/>
  <c r="AB91" i="22"/>
  <c r="N91" i="22"/>
  <c r="W91" i="22"/>
  <c r="X91" i="22"/>
  <c r="Y91" i="22"/>
  <c r="AC91" i="22"/>
  <c r="AD91" i="22"/>
  <c r="AB152" i="22"/>
  <c r="N152" i="22"/>
  <c r="W152" i="22"/>
  <c r="X152" i="22"/>
  <c r="Y152" i="22"/>
  <c r="N15" i="22"/>
  <c r="W15" i="22"/>
  <c r="X15" i="22"/>
  <c r="AB15" i="22"/>
  <c r="AC15" i="22"/>
  <c r="AD15" i="22"/>
  <c r="AB122" i="22"/>
  <c r="N122" i="22"/>
  <c r="W122" i="22"/>
  <c r="AB56" i="22"/>
  <c r="N56" i="22"/>
  <c r="W56" i="22"/>
  <c r="AB147" i="22"/>
  <c r="N147" i="22"/>
  <c r="W147" i="22"/>
  <c r="X147" i="22"/>
  <c r="Y147" i="22"/>
  <c r="AB75" i="22"/>
  <c r="N75" i="22"/>
  <c r="W75" i="22"/>
  <c r="Q40" i="22"/>
  <c r="Q43" i="22"/>
  <c r="X43" i="22"/>
  <c r="Y43" i="22"/>
  <c r="AC43" i="22"/>
  <c r="AD43" i="22"/>
  <c r="AC133" i="22"/>
  <c r="AD133" i="22"/>
  <c r="AS168" i="2"/>
  <c r="AC108" i="22"/>
  <c r="AD108" i="22"/>
  <c r="AS143" i="2"/>
  <c r="AC112" i="22"/>
  <c r="AD112" i="22"/>
  <c r="X54" i="22"/>
  <c r="Y54" i="22"/>
  <c r="AC54" i="22"/>
  <c r="AD54" i="22"/>
  <c r="AC101" i="22"/>
  <c r="AD101" i="22"/>
  <c r="X98" i="22"/>
  <c r="Y98" i="22"/>
  <c r="AC98" i="22"/>
  <c r="AD98" i="22"/>
  <c r="AC156" i="22"/>
  <c r="AD156" i="22"/>
  <c r="AC52" i="22"/>
  <c r="AD52" i="22"/>
  <c r="X143" i="22"/>
  <c r="Y143" i="22"/>
  <c r="AC143" i="22"/>
  <c r="AD143" i="22"/>
  <c r="AS178" i="2"/>
  <c r="AC148" i="22"/>
  <c r="AD148" i="22"/>
  <c r="AC124" i="22"/>
  <c r="AD124" i="22"/>
  <c r="X40" i="22"/>
  <c r="Y40" i="22"/>
  <c r="AC103" i="22"/>
  <c r="AD103" i="22"/>
  <c r="AS138" i="2"/>
  <c r="X18" i="22"/>
  <c r="X75" i="22"/>
  <c r="Y75" i="22"/>
  <c r="AC75" i="22"/>
  <c r="AD75" i="22"/>
  <c r="X56" i="22"/>
  <c r="Y56" i="22"/>
  <c r="AC56" i="22"/>
  <c r="AD56" i="22"/>
  <c r="X136" i="22"/>
  <c r="Y136" i="22"/>
  <c r="AC136" i="22"/>
  <c r="AD136" i="22"/>
  <c r="X58" i="22"/>
  <c r="Y58" i="22"/>
  <c r="AC58" i="22"/>
  <c r="AD58" i="22"/>
  <c r="X97" i="22"/>
  <c r="Y97" i="22"/>
  <c r="AC97" i="22"/>
  <c r="AD97" i="22"/>
  <c r="X114" i="22"/>
  <c r="Y114" i="22"/>
  <c r="X107" i="22"/>
  <c r="Y107" i="22"/>
  <c r="AC107" i="22"/>
  <c r="AD107" i="22"/>
  <c r="AS142" i="2"/>
  <c r="AS94" i="2"/>
  <c r="X125" i="22"/>
  <c r="Y125" i="22"/>
  <c r="AC92" i="22"/>
  <c r="AD92" i="22"/>
  <c r="AS127" i="2"/>
  <c r="X162" i="22"/>
  <c r="Y162" i="22"/>
  <c r="AC162" i="22"/>
  <c r="AD162" i="22"/>
  <c r="X109" i="22"/>
  <c r="Y109" i="22"/>
  <c r="AC109" i="22"/>
  <c r="AD109" i="22"/>
  <c r="X159" i="22"/>
  <c r="Y159" i="22"/>
  <c r="X51" i="22"/>
  <c r="Y51" i="22"/>
  <c r="AC51" i="22"/>
  <c r="AD51" i="22"/>
  <c r="AS86" i="2"/>
  <c r="X131" i="22"/>
  <c r="Y131" i="22"/>
  <c r="AC131" i="22"/>
  <c r="AD131" i="22"/>
  <c r="X38" i="22"/>
  <c r="Y38" i="22"/>
  <c r="AC38" i="22"/>
  <c r="AD38" i="22"/>
  <c r="AC60" i="22"/>
  <c r="AD60" i="22"/>
  <c r="X24" i="22"/>
  <c r="X74" i="22"/>
  <c r="Y74" i="22"/>
  <c r="AC74" i="22"/>
  <c r="AD74" i="22"/>
  <c r="X26" i="22"/>
  <c r="X44" i="22"/>
  <c r="Y44" i="22"/>
  <c r="X55" i="22"/>
  <c r="Y55" i="22"/>
  <c r="AC55" i="22"/>
  <c r="AD55" i="22"/>
  <c r="AC155" i="22"/>
  <c r="AD155" i="22"/>
  <c r="X145" i="22"/>
  <c r="Y145" i="22"/>
  <c r="AC145" i="22"/>
  <c r="AD145" i="22"/>
  <c r="AC135" i="22"/>
  <c r="AD135" i="22"/>
  <c r="X141" i="22"/>
  <c r="Y141" i="22"/>
  <c r="AC141" i="22"/>
  <c r="AD141" i="22"/>
  <c r="AS176" i="2"/>
  <c r="X149" i="22"/>
  <c r="Y149" i="22"/>
  <c r="AC149" i="22"/>
  <c r="AD149" i="22"/>
  <c r="X130" i="22"/>
  <c r="Y130" i="22"/>
  <c r="AC130" i="22"/>
  <c r="AD130" i="22"/>
  <c r="AC110" i="22"/>
  <c r="AD110" i="22"/>
  <c r="AC99" i="22"/>
  <c r="AD99" i="22"/>
  <c r="AC142" i="22"/>
  <c r="AD142" i="22"/>
  <c r="AS177" i="2"/>
  <c r="AC132" i="22"/>
  <c r="AD132" i="22"/>
  <c r="AC63" i="22"/>
  <c r="AD63" i="22"/>
  <c r="X41" i="22"/>
  <c r="Y41" i="22"/>
  <c r="AC41" i="22"/>
  <c r="AD41" i="22"/>
  <c r="X151" i="22"/>
  <c r="Y151" i="22"/>
  <c r="AC151" i="22"/>
  <c r="AD151" i="22"/>
  <c r="AS116" i="2"/>
  <c r="AS82" i="2"/>
  <c r="AS196" i="2"/>
  <c r="AS188" i="2"/>
  <c r="AS130" i="2"/>
  <c r="AS162" i="2"/>
  <c r="AS189" i="2"/>
  <c r="AS140" i="2"/>
  <c r="AS57" i="2"/>
  <c r="AS59" i="2"/>
  <c r="AS172" i="2"/>
  <c r="AS112" i="2"/>
  <c r="AS119" i="2"/>
  <c r="AS169" i="2"/>
  <c r="AS145" i="2"/>
  <c r="AS110" i="2"/>
  <c r="AS126" i="2"/>
  <c r="X129" i="22"/>
  <c r="Y129" i="22"/>
  <c r="AC129" i="22"/>
  <c r="AD129" i="22"/>
  <c r="AS72" i="2"/>
  <c r="AS167" i="2"/>
  <c r="AS61" i="2"/>
  <c r="AS147" i="2"/>
  <c r="AS158" i="2"/>
  <c r="AS146" i="2"/>
  <c r="AS152" i="2"/>
  <c r="AS150" i="2"/>
  <c r="AS84" i="2"/>
  <c r="AS134" i="2"/>
  <c r="AS65" i="2"/>
  <c r="AS105" i="2"/>
  <c r="X79" i="22"/>
  <c r="Y79" i="22"/>
  <c r="AC79" i="22"/>
  <c r="AD79" i="22"/>
  <c r="AS47" i="2"/>
  <c r="AS58" i="2"/>
  <c r="AS49" i="2"/>
  <c r="AS128" i="2"/>
  <c r="X61" i="22"/>
  <c r="Y61" i="22"/>
  <c r="AC61" i="22"/>
  <c r="AD61" i="22"/>
  <c r="AS52" i="2"/>
  <c r="X86" i="22"/>
  <c r="Y86" i="22"/>
  <c r="AC86" i="22"/>
  <c r="AD86" i="22"/>
  <c r="AS104" i="2"/>
  <c r="AS174" i="2"/>
  <c r="AS135" i="2"/>
  <c r="AS170" i="2"/>
  <c r="AC128" i="22"/>
  <c r="AD128" i="22"/>
  <c r="AS48" i="2"/>
  <c r="AS125" i="2"/>
  <c r="AS159" i="2"/>
  <c r="AS56" i="2"/>
  <c r="AS63" i="2"/>
  <c r="AS153" i="2"/>
  <c r="AS54" i="2"/>
  <c r="AS98" i="2"/>
  <c r="AS46" i="2"/>
  <c r="AS190" i="2"/>
  <c r="AS193" i="2"/>
  <c r="AS191" i="2"/>
  <c r="AS199" i="2"/>
  <c r="AS179" i="2"/>
  <c r="AS50" i="2"/>
  <c r="AS113" i="2"/>
  <c r="AC68" i="22"/>
  <c r="AD68" i="22"/>
  <c r="AS51" i="2"/>
  <c r="AS80" i="2"/>
  <c r="AC116" i="22"/>
  <c r="AD116" i="22"/>
  <c r="AS60" i="2"/>
  <c r="AS78" i="2"/>
  <c r="X122" i="22"/>
  <c r="Y122" i="22"/>
  <c r="AC122" i="22"/>
  <c r="AD122" i="22"/>
  <c r="AS181" i="2"/>
  <c r="AS87" i="2"/>
  <c r="AS88" i="2"/>
  <c r="AS148" i="2"/>
  <c r="X23" i="22"/>
  <c r="AS195" i="2"/>
  <c r="X64" i="22"/>
  <c r="Y64" i="22"/>
  <c r="AC64" i="22"/>
  <c r="AD64" i="22"/>
  <c r="AS132" i="2"/>
  <c r="X138" i="22"/>
  <c r="Y138" i="22"/>
  <c r="AC138" i="22"/>
  <c r="AD138" i="22"/>
  <c r="AS66" i="2"/>
  <c r="X71" i="22"/>
  <c r="Y71" i="22"/>
  <c r="AC71" i="22"/>
  <c r="AD71" i="22"/>
  <c r="AS95" i="2"/>
  <c r="AS115" i="2"/>
  <c r="AS53" i="2"/>
  <c r="AS136" i="2"/>
  <c r="AC76" i="22"/>
  <c r="AD76" i="22"/>
  <c r="AS67" i="2"/>
  <c r="AS185" i="2"/>
  <c r="AS183" i="2"/>
  <c r="AC46" i="22"/>
  <c r="AD46" i="22"/>
  <c r="AC96" i="22"/>
  <c r="AD96" i="22"/>
  <c r="AC50" i="22"/>
  <c r="AD50" i="22"/>
  <c r="AC42" i="22"/>
  <c r="AD42" i="22"/>
  <c r="AC89" i="22"/>
  <c r="AD89" i="22"/>
  <c r="AC121" i="22"/>
  <c r="AD121" i="22"/>
  <c r="AC39" i="22"/>
  <c r="AD39" i="22"/>
  <c r="AC147" i="22"/>
  <c r="AD147" i="22"/>
  <c r="AC152" i="22"/>
  <c r="AD152" i="22"/>
  <c r="AC159" i="22"/>
  <c r="AD159" i="22"/>
  <c r="AC67" i="22"/>
  <c r="AD67" i="22"/>
  <c r="AC65" i="22"/>
  <c r="AD65" i="22"/>
  <c r="AC88" i="22"/>
  <c r="AD88" i="22"/>
  <c r="AC72" i="22"/>
  <c r="AD72" i="22"/>
  <c r="AC106" i="22"/>
  <c r="AD106" i="22"/>
  <c r="AC140" i="22"/>
  <c r="AD140" i="22"/>
  <c r="AC102" i="22"/>
  <c r="AD102" i="22"/>
  <c r="AC85" i="22"/>
  <c r="AD85" i="22"/>
  <c r="AC157" i="22"/>
  <c r="AD157" i="22"/>
  <c r="AC87" i="22"/>
  <c r="AD87" i="22"/>
  <c r="AC66" i="22"/>
  <c r="AD66" i="22"/>
  <c r="AC44" i="22"/>
  <c r="AD44" i="22"/>
  <c r="AC57" i="22"/>
  <c r="AD57" i="22"/>
  <c r="AC126" i="22"/>
  <c r="AD126" i="22"/>
  <c r="AC163" i="22"/>
  <c r="AD163" i="22"/>
  <c r="AC82" i="22"/>
  <c r="AD82" i="22"/>
  <c r="AC119" i="22"/>
  <c r="AD119" i="22"/>
  <c r="AC83" i="22"/>
  <c r="AD83" i="22"/>
  <c r="AC104" i="22"/>
  <c r="AD104" i="22"/>
  <c r="AC125" i="22"/>
  <c r="AD125" i="22"/>
  <c r="AC120" i="22"/>
  <c r="AD120" i="22"/>
  <c r="AC114" i="22"/>
  <c r="AD114" i="22"/>
  <c r="AC40" i="22"/>
  <c r="AD40" i="22"/>
  <c r="AC73" i="22"/>
  <c r="AD73" i="22"/>
  <c r="AC48" i="22"/>
  <c r="AD48" i="22"/>
  <c r="AC94" i="22"/>
  <c r="AD94" i="22"/>
  <c r="AC62" i="22"/>
  <c r="AD62" i="22"/>
  <c r="AS93" i="2"/>
  <c r="AS184" i="2"/>
  <c r="AS106" i="2"/>
  <c r="AS121" i="2"/>
  <c r="AS96" i="2"/>
  <c r="AS73" i="2"/>
  <c r="AS117" i="2"/>
  <c r="AS79" i="2"/>
  <c r="AS175" i="2"/>
  <c r="AS107" i="2"/>
  <c r="AS187" i="2"/>
  <c r="AS85" i="2"/>
  <c r="AS157" i="2"/>
  <c r="AS114" i="2"/>
  <c r="AS129" i="2"/>
  <c r="AS160" i="2"/>
  <c r="AS133" i="2"/>
  <c r="AS192" i="2"/>
  <c r="AS123" i="2"/>
  <c r="AS182" i="2"/>
  <c r="AS131" i="2"/>
  <c r="AS151" i="2"/>
  <c r="AS163" i="2"/>
  <c r="AS83" i="2"/>
  <c r="AS155" i="2"/>
  <c r="AS197" i="2"/>
  <c r="AS118" i="2"/>
  <c r="AS171" i="2"/>
  <c r="AS89" i="2"/>
  <c r="AS180" i="2"/>
  <c r="AS120" i="2"/>
  <c r="AS91" i="2"/>
  <c r="AS144" i="2"/>
  <c r="AS194" i="2"/>
  <c r="AS109" i="2"/>
  <c r="AS124" i="2"/>
  <c r="AS103" i="2"/>
  <c r="AS75" i="2"/>
  <c r="AS99" i="2"/>
  <c r="AS161" i="2"/>
  <c r="AS122" i="2"/>
  <c r="AS166" i="2"/>
  <c r="AS186" i="2"/>
  <c r="AS81" i="2"/>
  <c r="AS149" i="2"/>
  <c r="AS139" i="2"/>
  <c r="AS101" i="2"/>
  <c r="AS164" i="2"/>
  <c r="AS102" i="2"/>
  <c r="AS156" i="2"/>
  <c r="AS97" i="2"/>
  <c r="AS108" i="2"/>
  <c r="AS165" i="2"/>
  <c r="AS154" i="2"/>
  <c r="AS198" i="2"/>
  <c r="AS92" i="2"/>
  <c r="AS90" i="2"/>
  <c r="AS137" i="2"/>
  <c r="AS141" i="2"/>
  <c r="AS100" i="2"/>
  <c r="AS76" i="2"/>
  <c r="AS74" i="2"/>
  <c r="AS77" i="2"/>
  <c r="AS111" i="2"/>
  <c r="AS173" i="2"/>
  <c r="W15" i="14"/>
  <c r="V19" i="14"/>
  <c r="W23" i="14"/>
  <c r="V32" i="14"/>
  <c r="V50" i="14"/>
  <c r="W63" i="14"/>
  <c r="V72" i="14"/>
  <c r="W79" i="14"/>
  <c r="V82" i="14"/>
  <c r="V83" i="14"/>
  <c r="W87" i="14"/>
  <c r="W88" i="14"/>
  <c r="W103" i="14"/>
  <c r="W104" i="14"/>
  <c r="V112" i="14"/>
  <c r="V118" i="14"/>
  <c r="V121" i="14"/>
  <c r="V123" i="14"/>
  <c r="W127" i="14"/>
  <c r="V131" i="14"/>
  <c r="V136" i="14"/>
  <c r="V139" i="14"/>
  <c r="W143" i="14"/>
  <c r="W144" i="14"/>
  <c r="W151" i="14"/>
  <c r="W155" i="14"/>
  <c r="W156" i="14"/>
  <c r="V157" i="14"/>
  <c r="V167" i="14"/>
  <c r="V168" i="14"/>
  <c r="V175" i="14"/>
  <c r="N7" i="14"/>
  <c r="C2" i="14"/>
  <c r="V171" i="14"/>
  <c r="W11" i="14"/>
  <c r="V11" i="14"/>
  <c r="W173" i="14"/>
  <c r="V173" i="14"/>
  <c r="V160" i="14"/>
  <c r="V59" i="14"/>
  <c r="AA176" i="23"/>
  <c r="AB176" i="23"/>
  <c r="O176" i="23"/>
  <c r="O165" i="22"/>
  <c r="AA165" i="22"/>
  <c r="AB165" i="22"/>
  <c r="AA174" i="23"/>
  <c r="AB174" i="23"/>
  <c r="O174" i="23"/>
  <c r="O171" i="22"/>
  <c r="AA171" i="22"/>
  <c r="AB171" i="22"/>
  <c r="AA166" i="23"/>
  <c r="AB166" i="23"/>
  <c r="O166" i="23"/>
  <c r="AA165" i="23"/>
  <c r="AB165" i="23"/>
  <c r="O165" i="23"/>
  <c r="AA176" i="22"/>
  <c r="AB176" i="22"/>
  <c r="O176" i="22"/>
  <c r="AA171" i="23"/>
  <c r="AB171" i="23"/>
  <c r="O171" i="23"/>
  <c r="O168" i="22"/>
  <c r="AA168" i="22"/>
  <c r="AB168" i="22"/>
  <c r="AA173" i="22"/>
  <c r="AB173" i="22"/>
  <c r="O173" i="22"/>
  <c r="AA170" i="22"/>
  <c r="AB170" i="22"/>
  <c r="O170" i="22"/>
  <c r="AA170" i="23"/>
  <c r="AB170" i="23"/>
  <c r="O170" i="23"/>
  <c r="AA175" i="23"/>
  <c r="AB175" i="23"/>
  <c r="O175" i="23"/>
  <c r="O172" i="22"/>
  <c r="AA172" i="22"/>
  <c r="AB172" i="22"/>
  <c r="AA167" i="23"/>
  <c r="AB167" i="23"/>
  <c r="O167" i="23"/>
  <c r="AA175" i="22"/>
  <c r="AB175" i="22"/>
  <c r="O175" i="22"/>
  <c r="AA167" i="22"/>
  <c r="AB167" i="22"/>
  <c r="O167" i="22"/>
  <c r="AA172" i="23"/>
  <c r="AB172" i="23"/>
  <c r="O172" i="23"/>
  <c r="O169" i="22"/>
  <c r="AA169" i="22"/>
  <c r="AB169" i="22"/>
  <c r="AA168" i="23"/>
  <c r="AB168" i="23"/>
  <c r="O168" i="23"/>
  <c r="AA173" i="23"/>
  <c r="AB173" i="23"/>
  <c r="O173" i="23"/>
  <c r="O174" i="22"/>
  <c r="AA174" i="22"/>
  <c r="AB174" i="22"/>
  <c r="AA169" i="23"/>
  <c r="AB169" i="23"/>
  <c r="O169" i="23"/>
  <c r="AA166" i="22"/>
  <c r="AB166" i="22"/>
  <c r="O166" i="22"/>
  <c r="W97" i="14"/>
  <c r="V97" i="14"/>
  <c r="V170" i="14"/>
  <c r="W170" i="14"/>
  <c r="V162" i="14"/>
  <c r="W162" i="14"/>
  <c r="V154" i="14"/>
  <c r="W154" i="14"/>
  <c r="W130" i="14"/>
  <c r="V130" i="14"/>
  <c r="W122" i="14"/>
  <c r="V122" i="14"/>
  <c r="W106" i="14"/>
  <c r="V106" i="14"/>
  <c r="W98" i="14"/>
  <c r="V98" i="14"/>
  <c r="W74" i="14"/>
  <c r="V74" i="14"/>
  <c r="W58" i="14"/>
  <c r="V58" i="14"/>
  <c r="W42" i="14"/>
  <c r="V42" i="14"/>
  <c r="W34" i="14"/>
  <c r="V34" i="14"/>
  <c r="W26" i="14"/>
  <c r="V26" i="14"/>
  <c r="W129" i="14"/>
  <c r="V129" i="14"/>
  <c r="W113" i="14"/>
  <c r="V113" i="14"/>
  <c r="W41" i="14"/>
  <c r="V41" i="14"/>
  <c r="W166" i="14"/>
  <c r="V166" i="14"/>
  <c r="W158" i="14"/>
  <c r="V158" i="14"/>
  <c r="W150" i="14"/>
  <c r="V150" i="14"/>
  <c r="W134" i="14"/>
  <c r="V134" i="14"/>
  <c r="V126" i="14"/>
  <c r="W126" i="14"/>
  <c r="V102" i="14"/>
  <c r="W102" i="14"/>
  <c r="V94" i="14"/>
  <c r="W94" i="14"/>
  <c r="W86" i="14"/>
  <c r="V86" i="14"/>
  <c r="W70" i="14"/>
  <c r="V70" i="14"/>
  <c r="V54" i="14"/>
  <c r="W54" i="14"/>
  <c r="V38" i="14"/>
  <c r="W38" i="14"/>
  <c r="V30" i="14"/>
  <c r="W30" i="14"/>
  <c r="W22" i="14"/>
  <c r="V22" i="14"/>
  <c r="V169" i="14"/>
  <c r="W169" i="14"/>
  <c r="W73" i="14"/>
  <c r="V73" i="14"/>
  <c r="W49" i="14"/>
  <c r="V49" i="14"/>
  <c r="V165" i="14"/>
  <c r="W165" i="14"/>
  <c r="V149" i="14"/>
  <c r="W149" i="14"/>
  <c r="V141" i="14"/>
  <c r="W141" i="14"/>
  <c r="V101" i="14"/>
  <c r="W101" i="14"/>
  <c r="V85" i="14"/>
  <c r="W85" i="14"/>
  <c r="V77" i="14"/>
  <c r="W77" i="14"/>
  <c r="V69" i="14"/>
  <c r="W69" i="14"/>
  <c r="V37" i="14"/>
  <c r="W37" i="14"/>
  <c r="V21" i="14"/>
  <c r="W21" i="14"/>
  <c r="V13" i="14"/>
  <c r="W13" i="14"/>
  <c r="W174" i="14"/>
  <c r="V174" i="14"/>
  <c r="V142" i="14"/>
  <c r="W142" i="14"/>
  <c r="W110" i="14"/>
  <c r="V110" i="14"/>
  <c r="V78" i="14"/>
  <c r="W78" i="14"/>
  <c r="W46" i="14"/>
  <c r="V46" i="14"/>
  <c r="V14" i="14"/>
  <c r="W152" i="14"/>
  <c r="W138" i="14"/>
  <c r="V138" i="14"/>
  <c r="W123" i="14"/>
  <c r="V109" i="14"/>
  <c r="W81" i="14"/>
  <c r="V81" i="14"/>
  <c r="W66" i="14"/>
  <c r="V66" i="14"/>
  <c r="V53" i="14"/>
  <c r="W53" i="14"/>
  <c r="V24" i="14"/>
  <c r="V152" i="14"/>
  <c r="W157" i="14"/>
  <c r="V125" i="14"/>
  <c r="W125" i="14"/>
  <c r="V93" i="14"/>
  <c r="W93" i="14"/>
  <c r="V61" i="14"/>
  <c r="W61" i="14"/>
  <c r="V29" i="14"/>
  <c r="W29" i="14"/>
  <c r="W137" i="14"/>
  <c r="V107" i="14"/>
  <c r="W107" i="14"/>
  <c r="W80" i="14"/>
  <c r="V80" i="14"/>
  <c r="W65" i="14"/>
  <c r="V65" i="14"/>
  <c r="V51" i="14"/>
  <c r="W51" i="14"/>
  <c r="V114" i="14"/>
  <c r="V172" i="14"/>
  <c r="W172" i="14"/>
  <c r="V164" i="14"/>
  <c r="W164" i="14"/>
  <c r="V156" i="14"/>
  <c r="V148" i="14"/>
  <c r="W148" i="14"/>
  <c r="V140" i="14"/>
  <c r="W140" i="14"/>
  <c r="V132" i="14"/>
  <c r="W132" i="14"/>
  <c r="V124" i="14"/>
  <c r="W124" i="14"/>
  <c r="V116" i="14"/>
  <c r="W116" i="14"/>
  <c r="V108" i="14"/>
  <c r="W108" i="14"/>
  <c r="V100" i="14"/>
  <c r="W100" i="14"/>
  <c r="V92" i="14"/>
  <c r="W92" i="14"/>
  <c r="V84" i="14"/>
  <c r="W84" i="14"/>
  <c r="V76" i="14"/>
  <c r="W76" i="14"/>
  <c r="V68" i="14"/>
  <c r="W68" i="14"/>
  <c r="V60" i="14"/>
  <c r="W60" i="14"/>
  <c r="V52" i="14"/>
  <c r="W52" i="14"/>
  <c r="V44" i="14"/>
  <c r="W44" i="14"/>
  <c r="V36" i="14"/>
  <c r="W36" i="14"/>
  <c r="V28" i="14"/>
  <c r="W28" i="14"/>
  <c r="V20" i="14"/>
  <c r="W20" i="14"/>
  <c r="V12" i="14"/>
  <c r="W12" i="14"/>
  <c r="V120" i="14"/>
  <c r="W120" i="14"/>
  <c r="V91" i="14"/>
  <c r="V64" i="14"/>
  <c r="W64" i="14"/>
  <c r="V137" i="14"/>
  <c r="V163" i="14"/>
  <c r="W99" i="14"/>
  <c r="V99" i="14"/>
  <c r="V67" i="14"/>
  <c r="V161" i="14"/>
  <c r="W161" i="14"/>
  <c r="V133" i="14"/>
  <c r="W133" i="14"/>
  <c r="W105" i="14"/>
  <c r="V105" i="14"/>
  <c r="V75" i="14"/>
  <c r="W75" i="14"/>
  <c r="W33" i="14"/>
  <c r="V33" i="14"/>
  <c r="W146" i="14"/>
  <c r="W160" i="14"/>
  <c r="W145" i="14"/>
  <c r="V145" i="14"/>
  <c r="V117" i="14"/>
  <c r="W117" i="14"/>
  <c r="V45" i="14"/>
  <c r="W45" i="14"/>
  <c r="W14" i="14"/>
  <c r="W57" i="14"/>
  <c r="V57" i="14"/>
  <c r="W16" i="14"/>
  <c r="V16" i="14"/>
  <c r="W131" i="14"/>
  <c r="W109" i="14"/>
  <c r="W96" i="14"/>
  <c r="W67" i="14"/>
  <c r="W136" i="14"/>
  <c r="V104" i="14"/>
  <c r="W72" i="14"/>
  <c r="V40" i="14"/>
  <c r="W40" i="14"/>
  <c r="V155" i="14"/>
  <c r="V128" i="14"/>
  <c r="W128" i="14"/>
  <c r="V56" i="14"/>
  <c r="W56" i="14"/>
  <c r="V27" i="14"/>
  <c r="W27" i="14"/>
  <c r="V96" i="14"/>
  <c r="W35" i="14"/>
  <c r="V35" i="14"/>
  <c r="V176" i="14"/>
  <c r="V147" i="14"/>
  <c r="W147" i="14"/>
  <c r="W118" i="14"/>
  <c r="W90" i="14"/>
  <c r="V90" i="14"/>
  <c r="V62" i="14"/>
  <c r="W62" i="14"/>
  <c r="W48" i="14"/>
  <c r="V48" i="14"/>
  <c r="W19" i="14"/>
  <c r="W114" i="14"/>
  <c r="W82" i="14"/>
  <c r="W50" i="14"/>
  <c r="W18" i="14"/>
  <c r="V18" i="14"/>
  <c r="V88" i="14"/>
  <c r="W59" i="14"/>
  <c r="W17" i="14"/>
  <c r="V17" i="14"/>
  <c r="W163" i="14"/>
  <c r="V146" i="14"/>
  <c r="W32" i="14"/>
  <c r="V153" i="14"/>
  <c r="W153" i="14"/>
  <c r="W121" i="14"/>
  <c r="W89" i="14"/>
  <c r="V89" i="14"/>
  <c r="W25" i="14"/>
  <c r="V25" i="14"/>
  <c r="W171" i="14"/>
  <c r="V144" i="14"/>
  <c r="V115" i="14"/>
  <c r="W115" i="14"/>
  <c r="V43" i="14"/>
  <c r="W43" i="14"/>
  <c r="W175" i="14"/>
  <c r="W167" i="14"/>
  <c r="W159" i="14"/>
  <c r="V159" i="14"/>
  <c r="V151" i="14"/>
  <c r="V143" i="14"/>
  <c r="V135" i="14"/>
  <c r="W135" i="14"/>
  <c r="V127" i="14"/>
  <c r="V119" i="14"/>
  <c r="W119" i="14"/>
  <c r="V111" i="14"/>
  <c r="W111" i="14"/>
  <c r="V103" i="14"/>
  <c r="V95" i="14"/>
  <c r="W95" i="14"/>
  <c r="V87" i="14"/>
  <c r="V79" i="14"/>
  <c r="V71" i="14"/>
  <c r="W71" i="14"/>
  <c r="V63" i="14"/>
  <c r="V55" i="14"/>
  <c r="W55" i="14"/>
  <c r="V47" i="14"/>
  <c r="W47" i="14"/>
  <c r="V39" i="14"/>
  <c r="W39" i="14"/>
  <c r="V31" i="14"/>
  <c r="W31" i="14"/>
  <c r="V23" i="14"/>
  <c r="V15" i="14"/>
  <c r="W139" i="14"/>
  <c r="W112" i="14"/>
  <c r="W83" i="14"/>
  <c r="W176" i="14"/>
  <c r="W168" i="14"/>
  <c r="W91" i="14"/>
  <c r="W24" i="14"/>
  <c r="P2" i="15"/>
  <c r="A5" i="21"/>
  <c r="S172" i="23"/>
  <c r="T172" i="23"/>
  <c r="U172" i="23"/>
  <c r="Q172" i="23"/>
  <c r="X172" i="23"/>
  <c r="Y172" i="23"/>
  <c r="AC172" i="23"/>
  <c r="AD172" i="23"/>
  <c r="AT207" i="2"/>
  <c r="S173" i="22"/>
  <c r="T173" i="22"/>
  <c r="Q173" i="22"/>
  <c r="X173" i="22"/>
  <c r="Y173" i="22"/>
  <c r="AC173" i="22"/>
  <c r="AD173" i="22"/>
  <c r="U173" i="22"/>
  <c r="U165" i="23"/>
  <c r="Q165" i="23"/>
  <c r="X165" i="23"/>
  <c r="Y165" i="23"/>
  <c r="AC165" i="23"/>
  <c r="AD165" i="23"/>
  <c r="AT200" i="2"/>
  <c r="S165" i="23"/>
  <c r="T165" i="23"/>
  <c r="T174" i="22"/>
  <c r="Q174" i="22"/>
  <c r="X174" i="22"/>
  <c r="Y174" i="22"/>
  <c r="AC174" i="22"/>
  <c r="AD174" i="22"/>
  <c r="S174" i="22"/>
  <c r="U174" i="22"/>
  <c r="S172" i="22"/>
  <c r="T172" i="22"/>
  <c r="Q172" i="22"/>
  <c r="X172" i="22"/>
  <c r="Y172" i="22"/>
  <c r="AC172" i="22"/>
  <c r="AD172" i="22"/>
  <c r="U172" i="22"/>
  <c r="S165" i="22"/>
  <c r="T165" i="22"/>
  <c r="Q165" i="22"/>
  <c r="X165" i="22"/>
  <c r="Y165" i="22"/>
  <c r="AC165" i="22"/>
  <c r="AD165" i="22"/>
  <c r="U165" i="22"/>
  <c r="U167" i="22"/>
  <c r="T167" i="22"/>
  <c r="Q167" i="22"/>
  <c r="X167" i="22"/>
  <c r="Y167" i="22"/>
  <c r="S167" i="22"/>
  <c r="T166" i="23"/>
  <c r="U166" i="23"/>
  <c r="Q166" i="23"/>
  <c r="X166" i="23"/>
  <c r="Y166" i="23"/>
  <c r="AC166" i="23"/>
  <c r="AD166" i="23"/>
  <c r="AT201" i="2"/>
  <c r="S166" i="23"/>
  <c r="U166" i="22"/>
  <c r="S166" i="22"/>
  <c r="T166" i="22"/>
  <c r="Q166" i="22"/>
  <c r="X166" i="22"/>
  <c r="Y166" i="22"/>
  <c r="AC166" i="22"/>
  <c r="AD166" i="22"/>
  <c r="S168" i="23"/>
  <c r="U168" i="23"/>
  <c r="Q168" i="23"/>
  <c r="X168" i="23"/>
  <c r="Y168" i="23"/>
  <c r="AC168" i="23"/>
  <c r="AD168" i="23"/>
  <c r="AT203" i="2"/>
  <c r="T168" i="23"/>
  <c r="S175" i="22"/>
  <c r="U175" i="22"/>
  <c r="T175" i="22"/>
  <c r="Q175" i="22"/>
  <c r="X175" i="22"/>
  <c r="Y175" i="22"/>
  <c r="AC175" i="22"/>
  <c r="AD175" i="22"/>
  <c r="S170" i="23"/>
  <c r="T170" i="23"/>
  <c r="U170" i="23"/>
  <c r="Q170" i="23"/>
  <c r="X170" i="23"/>
  <c r="Y170" i="23"/>
  <c r="AC170" i="23"/>
  <c r="AD170" i="23"/>
  <c r="AT205" i="2"/>
  <c r="U171" i="23"/>
  <c r="Q171" i="23"/>
  <c r="X171" i="23"/>
  <c r="Y171" i="23"/>
  <c r="AC171" i="23"/>
  <c r="AD171" i="23"/>
  <c r="AT206" i="2"/>
  <c r="S171" i="23"/>
  <c r="T171" i="23"/>
  <c r="U173" i="23"/>
  <c r="Q173" i="23"/>
  <c r="X173" i="23"/>
  <c r="Y173" i="23"/>
  <c r="AC173" i="23"/>
  <c r="AD173" i="23"/>
  <c r="AT208" i="2"/>
  <c r="S173" i="23"/>
  <c r="T173" i="23"/>
  <c r="S176" i="23"/>
  <c r="T176" i="23"/>
  <c r="U176" i="23"/>
  <c r="Q176" i="23"/>
  <c r="X176" i="23"/>
  <c r="Y176" i="23"/>
  <c r="AC176" i="23"/>
  <c r="AD176" i="23"/>
  <c r="AT211" i="2"/>
  <c r="T171" i="22"/>
  <c r="Q171" i="22"/>
  <c r="X171" i="22"/>
  <c r="Y171" i="22"/>
  <c r="AC171" i="22"/>
  <c r="AD171" i="22"/>
  <c r="S171" i="22"/>
  <c r="U171" i="22"/>
  <c r="S169" i="23"/>
  <c r="T169" i="23"/>
  <c r="U169" i="23"/>
  <c r="Q169" i="23"/>
  <c r="X169" i="23"/>
  <c r="Y169" i="23"/>
  <c r="AC169" i="23"/>
  <c r="AD169" i="23"/>
  <c r="AT204" i="2"/>
  <c r="U167" i="23"/>
  <c r="Q167" i="23"/>
  <c r="X167" i="23"/>
  <c r="Y167" i="23"/>
  <c r="AC167" i="23"/>
  <c r="AD167" i="23"/>
  <c r="AT202" i="2"/>
  <c r="S167" i="23"/>
  <c r="T167" i="23"/>
  <c r="U170" i="22"/>
  <c r="S170" i="22"/>
  <c r="T170" i="22"/>
  <c r="Q170" i="22"/>
  <c r="X170" i="22"/>
  <c r="Y170" i="22"/>
  <c r="AC170" i="22"/>
  <c r="AD170" i="22"/>
  <c r="S176" i="22"/>
  <c r="T176" i="22"/>
  <c r="Q176" i="22"/>
  <c r="X176" i="22"/>
  <c r="Y176" i="22"/>
  <c r="AC176" i="22"/>
  <c r="AD176" i="22"/>
  <c r="U176" i="22"/>
  <c r="U174" i="23"/>
  <c r="Q174" i="23"/>
  <c r="X174" i="23"/>
  <c r="Y174" i="23"/>
  <c r="AC174" i="23"/>
  <c r="AD174" i="23"/>
  <c r="AT209" i="2"/>
  <c r="T174" i="23"/>
  <c r="S174" i="23"/>
  <c r="S175" i="23"/>
  <c r="U175" i="23"/>
  <c r="Q175" i="23"/>
  <c r="X175" i="23"/>
  <c r="Y175" i="23"/>
  <c r="AC175" i="23"/>
  <c r="AD175" i="23"/>
  <c r="AT210" i="2"/>
  <c r="T175" i="23"/>
  <c r="AC167" i="22"/>
  <c r="AD167" i="22"/>
  <c r="T168" i="22"/>
  <c r="Q168" i="22"/>
  <c r="X168" i="22"/>
  <c r="Y168" i="22"/>
  <c r="AC168" i="22"/>
  <c r="AD168" i="22"/>
  <c r="S168" i="22"/>
  <c r="U168" i="22"/>
  <c r="S169" i="22"/>
  <c r="T169" i="22"/>
  <c r="Q169" i="22"/>
  <c r="X169" i="22"/>
  <c r="Y169" i="22"/>
  <c r="AC169" i="22"/>
  <c r="AD169" i="22"/>
  <c r="U169" i="22"/>
  <c r="N250" i="21"/>
  <c r="I250" i="21"/>
  <c r="Q250" i="21"/>
  <c r="O249" i="21"/>
  <c r="I249" i="21"/>
  <c r="Q249" i="21"/>
  <c r="O248" i="21"/>
  <c r="I248" i="21"/>
  <c r="Q248" i="21"/>
  <c r="N247" i="21"/>
  <c r="I247" i="21"/>
  <c r="Q247" i="21"/>
  <c r="N246" i="21"/>
  <c r="I246" i="21"/>
  <c r="Q246" i="21"/>
  <c r="I245" i="21"/>
  <c r="Q245" i="21"/>
  <c r="O244" i="21"/>
  <c r="I244" i="21"/>
  <c r="Q244" i="21"/>
  <c r="I243" i="21"/>
  <c r="Q243" i="21"/>
  <c r="U242" i="21"/>
  <c r="N242" i="21"/>
  <c r="M242" i="21"/>
  <c r="I242" i="21"/>
  <c r="Q242" i="21"/>
  <c r="I241" i="21"/>
  <c r="Q241" i="21"/>
  <c r="I240" i="21"/>
  <c r="Q240" i="21"/>
  <c r="U239" i="21"/>
  <c r="O239" i="21"/>
  <c r="N239" i="21"/>
  <c r="I239" i="21"/>
  <c r="Q239" i="21"/>
  <c r="M238" i="21"/>
  <c r="I238" i="21"/>
  <c r="Q238" i="21"/>
  <c r="O237" i="21"/>
  <c r="I237" i="21"/>
  <c r="Q237" i="21"/>
  <c r="U236" i="21"/>
  <c r="I236" i="21"/>
  <c r="Q236" i="21"/>
  <c r="O235" i="21"/>
  <c r="N235" i="21"/>
  <c r="I235" i="21"/>
  <c r="Q235" i="21"/>
  <c r="N234" i="21"/>
  <c r="I234" i="21"/>
  <c r="Q234" i="21"/>
  <c r="U233" i="21"/>
  <c r="O233" i="21"/>
  <c r="I233" i="21"/>
  <c r="Q233" i="21"/>
  <c r="O232" i="21"/>
  <c r="I232" i="21"/>
  <c r="Q232" i="21"/>
  <c r="I231" i="21"/>
  <c r="Q231" i="21"/>
  <c r="I230" i="21"/>
  <c r="Q230" i="21"/>
  <c r="O229" i="21"/>
  <c r="I229" i="21"/>
  <c r="Q229" i="21"/>
  <c r="O228" i="21"/>
  <c r="I228" i="21"/>
  <c r="Q228" i="21"/>
  <c r="I227" i="21"/>
  <c r="Q227" i="21"/>
  <c r="N226" i="21"/>
  <c r="I226" i="21"/>
  <c r="Q226" i="21"/>
  <c r="O225" i="21"/>
  <c r="I225" i="21"/>
  <c r="Q225" i="21"/>
  <c r="I224" i="21"/>
  <c r="Q224" i="21"/>
  <c r="N223" i="21"/>
  <c r="I223" i="21"/>
  <c r="Q223" i="21"/>
  <c r="I222" i="21"/>
  <c r="Q222" i="21"/>
  <c r="U221" i="21"/>
  <c r="M221" i="21"/>
  <c r="I221" i="21"/>
  <c r="Q221" i="21"/>
  <c r="U220" i="21"/>
  <c r="I220" i="21"/>
  <c r="Q220" i="21"/>
  <c r="N219" i="21"/>
  <c r="I219" i="21"/>
  <c r="Q219" i="21"/>
  <c r="I218" i="21"/>
  <c r="Q218" i="21"/>
  <c r="I217" i="21"/>
  <c r="Q217" i="21"/>
  <c r="O216" i="21"/>
  <c r="I216" i="21"/>
  <c r="Q216" i="21"/>
  <c r="U215" i="21"/>
  <c r="N215" i="21"/>
  <c r="I215" i="21"/>
  <c r="Q215" i="21"/>
  <c r="I214" i="21"/>
  <c r="Q214" i="21"/>
  <c r="O213" i="21"/>
  <c r="I213" i="21"/>
  <c r="Q213" i="21"/>
  <c r="O212" i="21"/>
  <c r="I212" i="21"/>
  <c r="Q212" i="21"/>
  <c r="I211" i="21"/>
  <c r="Q211" i="21"/>
  <c r="N210" i="21"/>
  <c r="M210" i="21"/>
  <c r="I210" i="21"/>
  <c r="Q210" i="21"/>
  <c r="O209" i="21"/>
  <c r="I209" i="21"/>
  <c r="Q209" i="21"/>
  <c r="I208" i="21"/>
  <c r="Q208" i="21"/>
  <c r="O207" i="21"/>
  <c r="N207" i="21"/>
  <c r="I207" i="21"/>
  <c r="Q207" i="21"/>
  <c r="M206" i="21"/>
  <c r="I206" i="21"/>
  <c r="Q206" i="21"/>
  <c r="I205" i="21"/>
  <c r="Q205" i="21"/>
  <c r="O204" i="21"/>
  <c r="M204" i="21"/>
  <c r="N204" i="21"/>
  <c r="K204" i="21"/>
  <c r="I204" i="21"/>
  <c r="Q204" i="21"/>
  <c r="M203" i="21"/>
  <c r="I203" i="21"/>
  <c r="Q203" i="21"/>
  <c r="O202" i="21"/>
  <c r="I202" i="21"/>
  <c r="Q202" i="21"/>
  <c r="I201" i="21"/>
  <c r="Q201" i="21"/>
  <c r="M200" i="21"/>
  <c r="I200" i="21"/>
  <c r="Q200" i="21"/>
  <c r="I199" i="21"/>
  <c r="Q199" i="21"/>
  <c r="I198" i="21"/>
  <c r="Q198" i="21"/>
  <c r="N197" i="21"/>
  <c r="I197" i="21"/>
  <c r="Q197" i="21"/>
  <c r="I196" i="21"/>
  <c r="Q196" i="21"/>
  <c r="U195" i="21"/>
  <c r="O195" i="21"/>
  <c r="I195" i="21"/>
  <c r="Q195" i="21"/>
  <c r="O194" i="21"/>
  <c r="I194" i="21"/>
  <c r="Q194" i="21"/>
  <c r="N193" i="21"/>
  <c r="I193" i="21"/>
  <c r="Q193" i="21"/>
  <c r="I192" i="21"/>
  <c r="Q192" i="21"/>
  <c r="I191" i="21"/>
  <c r="Q191" i="21"/>
  <c r="I190" i="21"/>
  <c r="Q190" i="21"/>
  <c r="N189" i="21"/>
  <c r="I189" i="21"/>
  <c r="Q189" i="21"/>
  <c r="M188" i="21"/>
  <c r="O188" i="21"/>
  <c r="I188" i="21"/>
  <c r="Q188" i="21"/>
  <c r="I187" i="21"/>
  <c r="Q187" i="21"/>
  <c r="I186" i="21"/>
  <c r="Q186" i="21"/>
  <c r="N185" i="21"/>
  <c r="M185" i="21"/>
  <c r="O185" i="21"/>
  <c r="I185" i="21"/>
  <c r="Q185" i="21"/>
  <c r="U184" i="21"/>
  <c r="N184" i="21"/>
  <c r="I184" i="21"/>
  <c r="Q184" i="21"/>
  <c r="O183" i="21"/>
  <c r="M183" i="21"/>
  <c r="N183" i="21"/>
  <c r="I183" i="21"/>
  <c r="Q183" i="21"/>
  <c r="U182" i="21"/>
  <c r="M182" i="21"/>
  <c r="I182" i="21"/>
  <c r="Q182" i="21"/>
  <c r="I181" i="21"/>
  <c r="Q181" i="21"/>
  <c r="U180" i="21"/>
  <c r="I180" i="21"/>
  <c r="Q180" i="21"/>
  <c r="O179" i="21"/>
  <c r="N179" i="21"/>
  <c r="I179" i="21"/>
  <c r="Q179" i="21"/>
  <c r="N178" i="21"/>
  <c r="I178" i="21"/>
  <c r="Q178" i="21"/>
  <c r="I177" i="21"/>
  <c r="Q177" i="21"/>
  <c r="M176" i="21"/>
  <c r="O176" i="21"/>
  <c r="I176" i="21"/>
  <c r="Q176" i="21"/>
  <c r="O175" i="21"/>
  <c r="I175" i="21"/>
  <c r="Q175" i="21"/>
  <c r="O174" i="21"/>
  <c r="I174" i="21"/>
  <c r="Q174" i="21"/>
  <c r="I173" i="21"/>
  <c r="Q173" i="21"/>
  <c r="U172" i="21"/>
  <c r="N172" i="21"/>
  <c r="I172" i="21"/>
  <c r="Q172" i="21"/>
  <c r="U171" i="21"/>
  <c r="I171" i="21"/>
  <c r="Q171" i="21"/>
  <c r="I170" i="21"/>
  <c r="Q170" i="21"/>
  <c r="N169" i="21"/>
  <c r="I169" i="21"/>
  <c r="Q169" i="21"/>
  <c r="I168" i="21"/>
  <c r="Q168" i="21"/>
  <c r="N167" i="21"/>
  <c r="M167" i="21"/>
  <c r="I167" i="21"/>
  <c r="Q167" i="21"/>
  <c r="O166" i="21"/>
  <c r="I166" i="21"/>
  <c r="Q166" i="21"/>
  <c r="I165" i="21"/>
  <c r="Q165" i="21"/>
  <c r="U164" i="21"/>
  <c r="O164" i="21"/>
  <c r="I164" i="21"/>
  <c r="Q164" i="21"/>
  <c r="I163" i="21"/>
  <c r="Q163" i="21"/>
  <c r="I162" i="21"/>
  <c r="Q162" i="21"/>
  <c r="I161" i="21"/>
  <c r="Q161" i="21"/>
  <c r="I160" i="21"/>
  <c r="Q160" i="21"/>
  <c r="I159" i="21"/>
  <c r="Q159" i="21"/>
  <c r="I158" i="21"/>
  <c r="Q158" i="21"/>
  <c r="I157" i="21"/>
  <c r="Q157" i="21"/>
  <c r="I156" i="21"/>
  <c r="Q156" i="21"/>
  <c r="I155" i="21"/>
  <c r="Q155" i="21"/>
  <c r="I154" i="21"/>
  <c r="Q154" i="21"/>
  <c r="I153" i="21"/>
  <c r="Q153" i="21"/>
  <c r="I152" i="21"/>
  <c r="Q152" i="21"/>
  <c r="I151" i="21"/>
  <c r="Q151" i="21"/>
  <c r="I150" i="21"/>
  <c r="Q150" i="21"/>
  <c r="I149" i="21"/>
  <c r="Q149" i="21"/>
  <c r="I148" i="21"/>
  <c r="Q148" i="21"/>
  <c r="I147" i="21"/>
  <c r="Q147" i="21"/>
  <c r="I146" i="21"/>
  <c r="Q146" i="21"/>
  <c r="I145" i="21"/>
  <c r="Q145" i="21"/>
  <c r="I144" i="21"/>
  <c r="Q144" i="21"/>
  <c r="I143" i="21"/>
  <c r="Q143" i="21"/>
  <c r="I142" i="21"/>
  <c r="Q142" i="21"/>
  <c r="I141" i="21"/>
  <c r="Q141" i="21"/>
  <c r="I140" i="21"/>
  <c r="Q140" i="21"/>
  <c r="I139" i="21"/>
  <c r="Q139" i="21"/>
  <c r="I138" i="21"/>
  <c r="Q138" i="21"/>
  <c r="I137" i="21"/>
  <c r="Q137" i="21"/>
  <c r="I136" i="21"/>
  <c r="Q136" i="21"/>
  <c r="I135" i="21"/>
  <c r="Q135" i="21"/>
  <c r="I134" i="21"/>
  <c r="Q134" i="21"/>
  <c r="I133" i="21"/>
  <c r="Q133" i="21"/>
  <c r="I132" i="21"/>
  <c r="Q132" i="21"/>
  <c r="I131" i="21"/>
  <c r="Q131" i="21"/>
  <c r="I130" i="21"/>
  <c r="Q130" i="21"/>
  <c r="I129" i="21"/>
  <c r="Q129" i="21"/>
  <c r="I128" i="21"/>
  <c r="Q128" i="21"/>
  <c r="I127" i="21"/>
  <c r="Q127" i="21"/>
  <c r="I126" i="21"/>
  <c r="Q126" i="21"/>
  <c r="I125" i="21"/>
  <c r="Q125" i="21"/>
  <c r="I124" i="21"/>
  <c r="Q124" i="21"/>
  <c r="I123" i="21"/>
  <c r="Q123" i="21"/>
  <c r="I122" i="21"/>
  <c r="Q122" i="21"/>
  <c r="I121" i="21"/>
  <c r="Q121" i="21"/>
  <c r="I120" i="21"/>
  <c r="Q120" i="21"/>
  <c r="I119" i="21"/>
  <c r="Q119" i="21"/>
  <c r="I118" i="21"/>
  <c r="Q118" i="21"/>
  <c r="I117" i="21"/>
  <c r="Q117" i="21"/>
  <c r="I116" i="21"/>
  <c r="Q116" i="21"/>
  <c r="I115" i="21"/>
  <c r="Q115" i="21"/>
  <c r="I114" i="21"/>
  <c r="Q114" i="21"/>
  <c r="I113" i="21"/>
  <c r="Q113" i="21"/>
  <c r="I112" i="21"/>
  <c r="Q112" i="21"/>
  <c r="I111" i="21"/>
  <c r="Q111" i="21"/>
  <c r="I110" i="21"/>
  <c r="Q110" i="21"/>
  <c r="I109" i="21"/>
  <c r="Q109" i="21"/>
  <c r="I108" i="21"/>
  <c r="Q108" i="21"/>
  <c r="I107" i="21"/>
  <c r="Q107" i="21"/>
  <c r="I106" i="21"/>
  <c r="Q106" i="21"/>
  <c r="I105" i="21"/>
  <c r="Q105" i="21"/>
  <c r="I104" i="21"/>
  <c r="Q104" i="21"/>
  <c r="I103" i="21"/>
  <c r="Q103" i="21"/>
  <c r="I102" i="21"/>
  <c r="Q102" i="21"/>
  <c r="I101" i="21"/>
  <c r="Q101" i="21"/>
  <c r="I100" i="21"/>
  <c r="Q100" i="21"/>
  <c r="I99" i="21"/>
  <c r="Q99" i="21"/>
  <c r="I98" i="21"/>
  <c r="Q98" i="21"/>
  <c r="I97" i="21"/>
  <c r="Q97" i="21"/>
  <c r="I96" i="21"/>
  <c r="Q96" i="21"/>
  <c r="I95" i="21"/>
  <c r="Q95" i="21"/>
  <c r="I94" i="21"/>
  <c r="Q94" i="21"/>
  <c r="I93" i="21"/>
  <c r="Q93" i="21"/>
  <c r="I92" i="21"/>
  <c r="Q92" i="21"/>
  <c r="I91" i="21"/>
  <c r="Q91" i="21"/>
  <c r="I90" i="21"/>
  <c r="Q90" i="21"/>
  <c r="I89" i="21"/>
  <c r="Q89" i="21"/>
  <c r="I88" i="21"/>
  <c r="Q88" i="21"/>
  <c r="I87" i="21"/>
  <c r="Q87" i="21"/>
  <c r="I86" i="21"/>
  <c r="Q86" i="21"/>
  <c r="I85" i="21"/>
  <c r="Q85" i="21"/>
  <c r="I84" i="21"/>
  <c r="Q84" i="21"/>
  <c r="I83" i="21"/>
  <c r="Q83" i="21"/>
  <c r="I82" i="21"/>
  <c r="Q82" i="21"/>
  <c r="I81" i="21"/>
  <c r="Q81" i="21"/>
  <c r="I80" i="21"/>
  <c r="Q80" i="21"/>
  <c r="I79" i="21"/>
  <c r="Q79" i="21"/>
  <c r="I78" i="21"/>
  <c r="Q78" i="21"/>
  <c r="I77" i="21"/>
  <c r="Q77" i="21"/>
  <c r="I76" i="21"/>
  <c r="Q76" i="21"/>
  <c r="I75" i="21"/>
  <c r="Q75" i="21"/>
  <c r="I74" i="21"/>
  <c r="Q74" i="21"/>
  <c r="I73" i="21"/>
  <c r="Q73" i="21"/>
  <c r="I72" i="21"/>
  <c r="Q72" i="21"/>
  <c r="I71" i="21"/>
  <c r="Q71" i="21"/>
  <c r="I70" i="21"/>
  <c r="Q70" i="21"/>
  <c r="I69" i="21"/>
  <c r="Q69" i="21"/>
  <c r="I68" i="21"/>
  <c r="Q68" i="21"/>
  <c r="I67" i="21"/>
  <c r="Q67" i="21"/>
  <c r="I66" i="21"/>
  <c r="Q66" i="21"/>
  <c r="I65" i="21"/>
  <c r="Q65" i="21"/>
  <c r="I64" i="21"/>
  <c r="Q64" i="21"/>
  <c r="I63" i="21"/>
  <c r="Q63" i="21"/>
  <c r="I62" i="21"/>
  <c r="Q62" i="21"/>
  <c r="I61" i="21"/>
  <c r="Q61" i="21"/>
  <c r="I60" i="21"/>
  <c r="Q60" i="21"/>
  <c r="I59" i="21"/>
  <c r="Q59" i="21"/>
  <c r="I58" i="21"/>
  <c r="Q58" i="21"/>
  <c r="I57" i="21"/>
  <c r="Q57" i="21"/>
  <c r="I56" i="21"/>
  <c r="Q56" i="21"/>
  <c r="I55" i="21"/>
  <c r="Q55" i="21"/>
  <c r="I54" i="21"/>
  <c r="Q54" i="21"/>
  <c r="I53" i="21"/>
  <c r="Q53" i="21"/>
  <c r="I52" i="21"/>
  <c r="Q52" i="21"/>
  <c r="I51" i="21"/>
  <c r="Q51" i="21"/>
  <c r="I50" i="21"/>
  <c r="Q50" i="21"/>
  <c r="I49" i="21"/>
  <c r="Q49" i="21"/>
  <c r="I48" i="21"/>
  <c r="Q48" i="21"/>
  <c r="I47" i="21"/>
  <c r="Q47" i="21"/>
  <c r="I46" i="21"/>
  <c r="Q46" i="21"/>
  <c r="I45" i="21"/>
  <c r="Q45" i="21"/>
  <c r="I44" i="21"/>
  <c r="Q44" i="21"/>
  <c r="I43" i="21"/>
  <c r="Q43" i="21"/>
  <c r="I42" i="21"/>
  <c r="Q42" i="21"/>
  <c r="I41" i="21"/>
  <c r="Q41" i="21"/>
  <c r="I40" i="21"/>
  <c r="Q40" i="21"/>
  <c r="I39" i="21"/>
  <c r="Q39" i="21"/>
  <c r="I38" i="21"/>
  <c r="Q38" i="21"/>
  <c r="I37" i="21"/>
  <c r="Q37" i="21"/>
  <c r="I36" i="21"/>
  <c r="Q36" i="21"/>
  <c r="I35" i="21"/>
  <c r="Q35" i="21"/>
  <c r="I34" i="21"/>
  <c r="Q34" i="21"/>
  <c r="I33" i="21"/>
  <c r="Q33" i="21"/>
  <c r="I32" i="21"/>
  <c r="Q32" i="21"/>
  <c r="S32" i="21"/>
  <c r="I31" i="21"/>
  <c r="Q31" i="21"/>
  <c r="S31" i="21"/>
  <c r="I30" i="21"/>
  <c r="Q30" i="21"/>
  <c r="S30" i="21"/>
  <c r="I29" i="21"/>
  <c r="Q29" i="21"/>
  <c r="S29" i="21"/>
  <c r="I28" i="21"/>
  <c r="Q28" i="21"/>
  <c r="S28" i="21"/>
  <c r="I27" i="21"/>
  <c r="Q27" i="21"/>
  <c r="S27" i="21"/>
  <c r="I26" i="21"/>
  <c r="Q26" i="21"/>
  <c r="S26" i="21"/>
  <c r="I25" i="21"/>
  <c r="Q25" i="21"/>
  <c r="S25" i="21"/>
  <c r="I24" i="21"/>
  <c r="Q24" i="21"/>
  <c r="S24" i="21"/>
  <c r="I23" i="21"/>
  <c r="Q23" i="21"/>
  <c r="S23" i="21"/>
  <c r="I22" i="21"/>
  <c r="Q22" i="21"/>
  <c r="S22" i="21"/>
  <c r="I21" i="21"/>
  <c r="Q21" i="21"/>
  <c r="S21" i="21"/>
  <c r="I20" i="21"/>
  <c r="Q20" i="21"/>
  <c r="S20" i="21"/>
  <c r="I19" i="21"/>
  <c r="Q19" i="21"/>
  <c r="S19" i="21"/>
  <c r="I18" i="21"/>
  <c r="Q18" i="21"/>
  <c r="S18" i="21"/>
  <c r="I17" i="21"/>
  <c r="Q17" i="21"/>
  <c r="S17" i="21"/>
  <c r="I16" i="21"/>
  <c r="Q16" i="21"/>
  <c r="S16" i="21"/>
  <c r="I15" i="21"/>
  <c r="Q15" i="21"/>
  <c r="S15" i="21"/>
  <c r="I14" i="21"/>
  <c r="Q14" i="21"/>
  <c r="S14" i="21"/>
  <c r="I13" i="21"/>
  <c r="Q13" i="21"/>
  <c r="S13" i="21"/>
  <c r="I12" i="21"/>
  <c r="Q12" i="21"/>
  <c r="S12" i="21"/>
  <c r="I11" i="21"/>
  <c r="Q11" i="21"/>
  <c r="S11" i="21"/>
  <c r="K183" i="21"/>
  <c r="R183" i="21"/>
  <c r="S183" i="21"/>
  <c r="AS205" i="2"/>
  <c r="AS204" i="2"/>
  <c r="AS201" i="2"/>
  <c r="AS202" i="2"/>
  <c r="AS210" i="2"/>
  <c r="AS207" i="2"/>
  <c r="AS211" i="2"/>
  <c r="AS200" i="2"/>
  <c r="AS208" i="2"/>
  <c r="AS203" i="2"/>
  <c r="AS206" i="2"/>
  <c r="AS209" i="2"/>
  <c r="U177" i="21"/>
  <c r="O189" i="21"/>
  <c r="O197" i="21"/>
  <c r="M209" i="21"/>
  <c r="M229" i="21"/>
  <c r="N238" i="21"/>
  <c r="U246" i="21"/>
  <c r="U165" i="21"/>
  <c r="U167" i="21"/>
  <c r="O169" i="21"/>
  <c r="U181" i="21"/>
  <c r="U189" i="21"/>
  <c r="U190" i="21"/>
  <c r="U191" i="21"/>
  <c r="U192" i="21"/>
  <c r="U194" i="21"/>
  <c r="M195" i="21"/>
  <c r="U199" i="21"/>
  <c r="U200" i="21"/>
  <c r="N203" i="21"/>
  <c r="K203" i="21"/>
  <c r="R203" i="21"/>
  <c r="S203" i="21"/>
  <c r="U204" i="21"/>
  <c r="U205" i="21"/>
  <c r="U209" i="21"/>
  <c r="M225" i="21"/>
  <c r="U230" i="21"/>
  <c r="M233" i="21"/>
  <c r="M237" i="21"/>
  <c r="U240" i="21"/>
  <c r="U243" i="21"/>
  <c r="U247" i="21"/>
  <c r="U170" i="21"/>
  <c r="U226" i="21"/>
  <c r="O223" i="21"/>
  <c r="U174" i="21"/>
  <c r="O182" i="21"/>
  <c r="N213" i="21"/>
  <c r="U217" i="21"/>
  <c r="U218" i="21"/>
  <c r="U219" i="21"/>
  <c r="U225" i="21"/>
  <c r="N237" i="21"/>
  <c r="O199" i="21"/>
  <c r="M199" i="21"/>
  <c r="O217" i="21"/>
  <c r="N217" i="21"/>
  <c r="M217" i="21"/>
  <c r="O241" i="21"/>
  <c r="N241" i="21"/>
  <c r="M241" i="21"/>
  <c r="M165" i="21"/>
  <c r="O165" i="21"/>
  <c r="N165" i="21"/>
  <c r="O180" i="21"/>
  <c r="N180" i="21"/>
  <c r="M180" i="21"/>
  <c r="N218" i="21"/>
  <c r="M218" i="21"/>
  <c r="O196" i="21"/>
  <c r="N196" i="21"/>
  <c r="M196" i="21"/>
  <c r="N206" i="21"/>
  <c r="K206" i="21"/>
  <c r="R206" i="21"/>
  <c r="S206" i="21"/>
  <c r="O219" i="21"/>
  <c r="U168" i="21"/>
  <c r="U176" i="21"/>
  <c r="U188" i="21"/>
  <c r="U203" i="21"/>
  <c r="U213" i="21"/>
  <c r="N214" i="21"/>
  <c r="O245" i="21"/>
  <c r="M245" i="21"/>
  <c r="M181" i="21"/>
  <c r="O181" i="21"/>
  <c r="N181" i="21"/>
  <c r="O200" i="21"/>
  <c r="N200" i="21"/>
  <c r="K200" i="21"/>
  <c r="R200" i="21"/>
  <c r="S200" i="21"/>
  <c r="M222" i="21"/>
  <c r="N222" i="21"/>
  <c r="M234" i="21"/>
  <c r="K234" i="21"/>
  <c r="R234" i="21"/>
  <c r="S234" i="21"/>
  <c r="U169" i="21"/>
  <c r="O171" i="21"/>
  <c r="N171" i="21"/>
  <c r="M171" i="21"/>
  <c r="O191" i="21"/>
  <c r="M191" i="21"/>
  <c r="M214" i="21"/>
  <c r="K226" i="21"/>
  <c r="R226" i="21"/>
  <c r="S226" i="21"/>
  <c r="M226" i="21"/>
  <c r="N245" i="21"/>
  <c r="O167" i="21"/>
  <c r="K167" i="21"/>
  <c r="R167" i="21"/>
  <c r="S167" i="21"/>
  <c r="O172" i="21"/>
  <c r="M172" i="21"/>
  <c r="K172" i="21"/>
  <c r="R172" i="21"/>
  <c r="S172" i="21"/>
  <c r="V172" i="21"/>
  <c r="W172" i="21"/>
  <c r="M178" i="21"/>
  <c r="K178" i="21"/>
  <c r="R178" i="21"/>
  <c r="S178" i="21"/>
  <c r="O178" i="21"/>
  <c r="O205" i="21"/>
  <c r="N205" i="21"/>
  <c r="M205" i="21"/>
  <c r="K210" i="21"/>
  <c r="R210" i="21"/>
  <c r="S210" i="21"/>
  <c r="O221" i="21"/>
  <c r="N221" i="21"/>
  <c r="K221" i="21"/>
  <c r="R221" i="21"/>
  <c r="S221" i="21"/>
  <c r="V221" i="21"/>
  <c r="W221" i="21"/>
  <c r="U173" i="21"/>
  <c r="U183" i="21"/>
  <c r="O184" i="21"/>
  <c r="M184" i="21"/>
  <c r="K184" i="21"/>
  <c r="R184" i="21"/>
  <c r="S184" i="21"/>
  <c r="V184" i="21"/>
  <c r="W184" i="21"/>
  <c r="U206" i="21"/>
  <c r="O168" i="21"/>
  <c r="N168" i="21"/>
  <c r="M168" i="21"/>
  <c r="O192" i="21"/>
  <c r="N192" i="21"/>
  <c r="M192" i="21"/>
  <c r="U212" i="21"/>
  <c r="U222" i="21"/>
  <c r="U229" i="21"/>
  <c r="M230" i="21"/>
  <c r="U249" i="21"/>
  <c r="N230" i="21"/>
  <c r="M250" i="21"/>
  <c r="K250" i="21"/>
  <c r="R250" i="21"/>
  <c r="S250" i="21"/>
  <c r="U185" i="21"/>
  <c r="U186" i="21"/>
  <c r="U201" i="21"/>
  <c r="U207" i="21"/>
  <c r="U210" i="21"/>
  <c r="U214" i="21"/>
  <c r="U223" i="21"/>
  <c r="U227" i="21"/>
  <c r="U231" i="21"/>
  <c r="U234" i="21"/>
  <c r="U237" i="21"/>
  <c r="U244" i="21"/>
  <c r="U175" i="21"/>
  <c r="N176" i="21"/>
  <c r="K176" i="21"/>
  <c r="R176" i="21"/>
  <c r="S176" i="21"/>
  <c r="U178" i="21"/>
  <c r="M179" i="21"/>
  <c r="K179" i="21"/>
  <c r="R179" i="21"/>
  <c r="S179" i="21"/>
  <c r="U187" i="21"/>
  <c r="U196" i="21"/>
  <c r="U202" i="21"/>
  <c r="R204" i="21"/>
  <c r="S204" i="21"/>
  <c r="U208" i="21"/>
  <c r="U211" i="21"/>
  <c r="U224" i="21"/>
  <c r="U228" i="21"/>
  <c r="U232" i="21"/>
  <c r="U248" i="21"/>
  <c r="M249" i="21"/>
  <c r="U166" i="21"/>
  <c r="U179" i="21"/>
  <c r="N182" i="21"/>
  <c r="K182" i="21"/>
  <c r="R182" i="21"/>
  <c r="S182" i="21"/>
  <c r="V182" i="21"/>
  <c r="W182" i="21"/>
  <c r="N188" i="21"/>
  <c r="K188" i="21"/>
  <c r="R188" i="21"/>
  <c r="S188" i="21"/>
  <c r="U193" i="21"/>
  <c r="U197" i="21"/>
  <c r="U198" i="21"/>
  <c r="O203" i="21"/>
  <c r="N209" i="21"/>
  <c r="K209" i="21"/>
  <c r="R209" i="21"/>
  <c r="S209" i="21"/>
  <c r="V209" i="21"/>
  <c r="W209" i="21"/>
  <c r="M213" i="21"/>
  <c r="U216" i="21"/>
  <c r="N225" i="21"/>
  <c r="N229" i="21"/>
  <c r="N233" i="21"/>
  <c r="U235" i="21"/>
  <c r="U238" i="21"/>
  <c r="U241" i="21"/>
  <c r="K242" i="21"/>
  <c r="R242" i="21"/>
  <c r="S242" i="21"/>
  <c r="V242" i="21"/>
  <c r="W242" i="21"/>
  <c r="U245" i="21"/>
  <c r="N249" i="21"/>
  <c r="M246" i="21"/>
  <c r="K246" i="21"/>
  <c r="R246" i="21"/>
  <c r="S246" i="21"/>
  <c r="U250" i="21"/>
  <c r="N173" i="21"/>
  <c r="O173" i="21"/>
  <c r="M173" i="21"/>
  <c r="N220" i="21"/>
  <c r="M220" i="21"/>
  <c r="O220" i="21"/>
  <c r="M231" i="21"/>
  <c r="O231" i="21"/>
  <c r="N231" i="21"/>
  <c r="M170" i="21"/>
  <c r="N170" i="21"/>
  <c r="O170" i="21"/>
  <c r="M201" i="21"/>
  <c r="O201" i="21"/>
  <c r="N201" i="21"/>
  <c r="M164" i="21"/>
  <c r="N164" i="21"/>
  <c r="M174" i="21"/>
  <c r="N174" i="21"/>
  <c r="K174" i="21"/>
  <c r="R174" i="21"/>
  <c r="S174" i="21"/>
  <c r="M177" i="21"/>
  <c r="N177" i="21"/>
  <c r="O177" i="21"/>
  <c r="M186" i="21"/>
  <c r="N186" i="21"/>
  <c r="O186" i="21"/>
  <c r="M169" i="21"/>
  <c r="K169" i="21"/>
  <c r="R169" i="21"/>
  <c r="S169" i="21"/>
  <c r="N190" i="21"/>
  <c r="M190" i="21"/>
  <c r="O190" i="21"/>
  <c r="N224" i="21"/>
  <c r="M224" i="21"/>
  <c r="O224" i="21"/>
  <c r="M227" i="21"/>
  <c r="O227" i="21"/>
  <c r="N227" i="21"/>
  <c r="M166" i="21"/>
  <c r="N166" i="21"/>
  <c r="K166" i="21"/>
  <c r="R166" i="21"/>
  <c r="S166" i="21"/>
  <c r="N175" i="21"/>
  <c r="M175" i="21"/>
  <c r="N187" i="21"/>
  <c r="M187" i="21"/>
  <c r="O187" i="21"/>
  <c r="M193" i="21"/>
  <c r="K193" i="21"/>
  <c r="R193" i="21"/>
  <c r="S193" i="21"/>
  <c r="O193" i="21"/>
  <c r="N198" i="21"/>
  <c r="M198" i="21"/>
  <c r="O198" i="21"/>
  <c r="K185" i="21"/>
  <c r="R185" i="21"/>
  <c r="S185" i="21"/>
  <c r="N208" i="21"/>
  <c r="M208" i="21"/>
  <c r="O208" i="21"/>
  <c r="M215" i="21"/>
  <c r="K215" i="21"/>
  <c r="R215" i="21"/>
  <c r="S215" i="21"/>
  <c r="V215" i="21"/>
  <c r="W215" i="21"/>
  <c r="O215" i="21"/>
  <c r="N240" i="21"/>
  <c r="M240" i="21"/>
  <c r="O240" i="21"/>
  <c r="M247" i="21"/>
  <c r="K247" i="21"/>
  <c r="R247" i="21"/>
  <c r="S247" i="21"/>
  <c r="O247" i="21"/>
  <c r="K181" i="21"/>
  <c r="R181" i="21"/>
  <c r="S181" i="21"/>
  <c r="M189" i="21"/>
  <c r="K189" i="21"/>
  <c r="R189" i="21"/>
  <c r="S189" i="21"/>
  <c r="N194" i="21"/>
  <c r="M194" i="21"/>
  <c r="M197" i="21"/>
  <c r="K197" i="21"/>
  <c r="R197" i="21"/>
  <c r="S197" i="21"/>
  <c r="N202" i="21"/>
  <c r="M202" i="21"/>
  <c r="M211" i="21"/>
  <c r="O211" i="21"/>
  <c r="N211" i="21"/>
  <c r="N236" i="21"/>
  <c r="M236" i="21"/>
  <c r="O236" i="21"/>
  <c r="M243" i="21"/>
  <c r="O243" i="21"/>
  <c r="N243" i="21"/>
  <c r="N191" i="21"/>
  <c r="N195" i="21"/>
  <c r="K195" i="21"/>
  <c r="R195" i="21"/>
  <c r="S195" i="21"/>
  <c r="V195" i="21"/>
  <c r="W195" i="21"/>
  <c r="N199" i="21"/>
  <c r="K199" i="21"/>
  <c r="R199" i="21"/>
  <c r="S199" i="21"/>
  <c r="M207" i="21"/>
  <c r="K207" i="21"/>
  <c r="R207" i="21"/>
  <c r="S207" i="21"/>
  <c r="N216" i="21"/>
  <c r="M216" i="21"/>
  <c r="M223" i="21"/>
  <c r="K223" i="21"/>
  <c r="R223" i="21"/>
  <c r="S223" i="21"/>
  <c r="N232" i="21"/>
  <c r="M232" i="21"/>
  <c r="K238" i="21"/>
  <c r="R238" i="21"/>
  <c r="S238" i="21"/>
  <c r="M239" i="21"/>
  <c r="K239" i="21"/>
  <c r="R239" i="21"/>
  <c r="S239" i="21"/>
  <c r="V239" i="21"/>
  <c r="W239" i="21"/>
  <c r="N248" i="21"/>
  <c r="M248" i="21"/>
  <c r="N212" i="21"/>
  <c r="M212" i="21"/>
  <c r="M219" i="21"/>
  <c r="K219" i="21"/>
  <c r="R219" i="21"/>
  <c r="S219" i="21"/>
  <c r="N228" i="21"/>
  <c r="M228" i="21"/>
  <c r="M235" i="21"/>
  <c r="K235" i="21"/>
  <c r="R235" i="21"/>
  <c r="S235" i="21"/>
  <c r="N244" i="21"/>
  <c r="M244" i="21"/>
  <c r="O206" i="21"/>
  <c r="O210" i="21"/>
  <c r="O214" i="21"/>
  <c r="O218" i="21"/>
  <c r="O222" i="21"/>
  <c r="O226" i="21"/>
  <c r="O230" i="21"/>
  <c r="O234" i="21"/>
  <c r="O238" i="21"/>
  <c r="O242" i="21"/>
  <c r="O246" i="21"/>
  <c r="O250" i="21"/>
  <c r="K233" i="21"/>
  <c r="R233" i="21"/>
  <c r="S233" i="21"/>
  <c r="V233" i="21"/>
  <c r="W233" i="21"/>
  <c r="K175" i="21"/>
  <c r="R175" i="21"/>
  <c r="S175" i="21"/>
  <c r="V204" i="21"/>
  <c r="W204" i="21"/>
  <c r="K248" i="21"/>
  <c r="R248" i="21"/>
  <c r="S248" i="21"/>
  <c r="V248" i="21"/>
  <c r="W248" i="21"/>
  <c r="K231" i="21"/>
  <c r="R231" i="21"/>
  <c r="S231" i="21"/>
  <c r="K211" i="21"/>
  <c r="R211" i="21"/>
  <c r="S211" i="21"/>
  <c r="V211" i="21"/>
  <c r="W211" i="21"/>
  <c r="K229" i="21"/>
  <c r="R229" i="21"/>
  <c r="S229" i="21"/>
  <c r="K240" i="21"/>
  <c r="R240" i="21"/>
  <c r="S240" i="21"/>
  <c r="V240" i="21"/>
  <c r="W240" i="21"/>
  <c r="AR275" i="2"/>
  <c r="K220" i="21"/>
  <c r="R220" i="21"/>
  <c r="S220" i="21"/>
  <c r="V220" i="21"/>
  <c r="W220" i="21"/>
  <c r="AR255" i="2"/>
  <c r="K217" i="21"/>
  <c r="R217" i="21"/>
  <c r="S217" i="21"/>
  <c r="K212" i="21"/>
  <c r="R212" i="21"/>
  <c r="S212" i="21"/>
  <c r="K227" i="21"/>
  <c r="R227" i="21"/>
  <c r="S227" i="21"/>
  <c r="V227" i="21"/>
  <c r="W227" i="21"/>
  <c r="K190" i="21"/>
  <c r="R190" i="21"/>
  <c r="S190" i="21"/>
  <c r="V190" i="21"/>
  <c r="W190" i="21"/>
  <c r="AR225" i="2"/>
  <c r="V246" i="21"/>
  <c r="W246" i="21"/>
  <c r="AR281" i="2"/>
  <c r="K205" i="21"/>
  <c r="R205" i="21"/>
  <c r="S205" i="21"/>
  <c r="V205" i="21"/>
  <c r="W205" i="21"/>
  <c r="K245" i="21"/>
  <c r="R245" i="21"/>
  <c r="S245" i="21"/>
  <c r="V245" i="21"/>
  <c r="W245" i="21"/>
  <c r="K214" i="21"/>
  <c r="R214" i="21"/>
  <c r="S214" i="21"/>
  <c r="V214" i="21"/>
  <c r="W214" i="21"/>
  <c r="K213" i="21"/>
  <c r="R213" i="21"/>
  <c r="S213" i="21"/>
  <c r="V213" i="21"/>
  <c r="W213" i="21"/>
  <c r="K244" i="21"/>
  <c r="R244" i="21"/>
  <c r="S244" i="21"/>
  <c r="V244" i="21"/>
  <c r="W244" i="21"/>
  <c r="K228" i="21"/>
  <c r="R228" i="21"/>
  <c r="S228" i="21"/>
  <c r="V228" i="21"/>
  <c r="W228" i="21"/>
  <c r="V199" i="21"/>
  <c r="W199" i="21"/>
  <c r="AR234" i="2"/>
  <c r="K236" i="21"/>
  <c r="R236" i="21"/>
  <c r="S236" i="21"/>
  <c r="V236" i="21"/>
  <c r="W236" i="21"/>
  <c r="K208" i="21"/>
  <c r="R208" i="21"/>
  <c r="S208" i="21"/>
  <c r="K249" i="21"/>
  <c r="R249" i="21"/>
  <c r="S249" i="21"/>
  <c r="V249" i="21"/>
  <c r="W249" i="21"/>
  <c r="K230" i="21"/>
  <c r="R230" i="21"/>
  <c r="S230" i="21"/>
  <c r="V230" i="21"/>
  <c r="W230" i="21"/>
  <c r="AR265" i="2"/>
  <c r="K191" i="21"/>
  <c r="R191" i="21"/>
  <c r="S191" i="21"/>
  <c r="V191" i="21"/>
  <c r="W191" i="21"/>
  <c r="AR226" i="2"/>
  <c r="K173" i="21"/>
  <c r="R173" i="21"/>
  <c r="S173" i="21"/>
  <c r="K243" i="21"/>
  <c r="R243" i="21"/>
  <c r="S243" i="21"/>
  <c r="V243" i="21"/>
  <c r="W243" i="21"/>
  <c r="AR278" i="2"/>
  <c r="K187" i="21"/>
  <c r="R187" i="21"/>
  <c r="S187" i="21"/>
  <c r="V187" i="21"/>
  <c r="W187" i="21"/>
  <c r="K224" i="21"/>
  <c r="R224" i="21"/>
  <c r="S224" i="21"/>
  <c r="V224" i="21"/>
  <c r="W224" i="21"/>
  <c r="K201" i="21"/>
  <c r="R201" i="21"/>
  <c r="S201" i="21"/>
  <c r="V201" i="21"/>
  <c r="W201" i="21"/>
  <c r="K225" i="21"/>
  <c r="R225" i="21"/>
  <c r="S225" i="21"/>
  <c r="V225" i="21"/>
  <c r="W225" i="21"/>
  <c r="AR260" i="2"/>
  <c r="K218" i="21"/>
  <c r="R218" i="21"/>
  <c r="S218" i="21"/>
  <c r="V218" i="21"/>
  <c r="W218" i="21"/>
  <c r="AR253" i="2"/>
  <c r="K241" i="21"/>
  <c r="R241" i="21"/>
  <c r="S241" i="21"/>
  <c r="V241" i="21"/>
  <c r="W241" i="21"/>
  <c r="K237" i="21"/>
  <c r="R237" i="21"/>
  <c r="S237" i="21"/>
  <c r="V237" i="21"/>
  <c r="W237" i="21"/>
  <c r="K232" i="21"/>
  <c r="R232" i="21"/>
  <c r="S232" i="21"/>
  <c r="V232" i="21"/>
  <c r="W232" i="21"/>
  <c r="K216" i="21"/>
  <c r="R216" i="21"/>
  <c r="S216" i="21"/>
  <c r="V216" i="21"/>
  <c r="W216" i="21"/>
  <c r="K202" i="21"/>
  <c r="R202" i="21"/>
  <c r="S202" i="21"/>
  <c r="V202" i="21"/>
  <c r="W202" i="21"/>
  <c r="K194" i="21"/>
  <c r="R194" i="21"/>
  <c r="S194" i="21"/>
  <c r="V194" i="21"/>
  <c r="W194" i="21"/>
  <c r="K198" i="21"/>
  <c r="R198" i="21"/>
  <c r="S198" i="21"/>
  <c r="V198" i="21"/>
  <c r="W198" i="21"/>
  <c r="K192" i="21"/>
  <c r="R192" i="21"/>
  <c r="S192" i="21"/>
  <c r="V192" i="21"/>
  <c r="W192" i="21"/>
  <c r="K222" i="21"/>
  <c r="R222" i="21"/>
  <c r="S222" i="21"/>
  <c r="V222" i="21"/>
  <c r="W222" i="21"/>
  <c r="K196" i="21"/>
  <c r="R196" i="21"/>
  <c r="S196" i="21"/>
  <c r="V196" i="21"/>
  <c r="W196" i="21"/>
  <c r="K177" i="21"/>
  <c r="R177" i="21"/>
  <c r="S177" i="21"/>
  <c r="V177" i="21"/>
  <c r="W177" i="21"/>
  <c r="AR212" i="2"/>
  <c r="K170" i="21"/>
  <c r="R170" i="21"/>
  <c r="S170" i="21"/>
  <c r="V170" i="21"/>
  <c r="W170" i="21"/>
  <c r="K165" i="21"/>
  <c r="R165" i="21"/>
  <c r="S165" i="21"/>
  <c r="V165" i="21"/>
  <c r="W165" i="21"/>
  <c r="K164" i="21"/>
  <c r="R164" i="21"/>
  <c r="S164" i="21"/>
  <c r="V164" i="21"/>
  <c r="W164" i="21"/>
  <c r="AR199" i="2"/>
  <c r="K186" i="21"/>
  <c r="R186" i="21"/>
  <c r="S186" i="21"/>
  <c r="V186" i="21"/>
  <c r="W186" i="21"/>
  <c r="K168" i="21"/>
  <c r="R168" i="21"/>
  <c r="S168" i="21"/>
  <c r="V168" i="21"/>
  <c r="W168" i="21"/>
  <c r="K171" i="21"/>
  <c r="R171" i="21"/>
  <c r="S171" i="21"/>
  <c r="V171" i="21"/>
  <c r="W171" i="21"/>
  <c r="AR206" i="2"/>
  <c r="K180" i="21"/>
  <c r="R180" i="21"/>
  <c r="S180" i="21"/>
  <c r="V180" i="21"/>
  <c r="W180" i="21"/>
  <c r="AR215" i="2"/>
  <c r="V217" i="21"/>
  <c r="W217" i="21"/>
  <c r="AR252" i="2"/>
  <c r="V181" i="21"/>
  <c r="W181" i="21"/>
  <c r="AR216" i="2"/>
  <c r="V174" i="21"/>
  <c r="W174" i="21"/>
  <c r="AR209" i="2"/>
  <c r="V226" i="21"/>
  <c r="W226" i="21"/>
  <c r="AR261" i="2"/>
  <c r="V200" i="21"/>
  <c r="W200" i="21"/>
  <c r="AR235" i="2"/>
  <c r="AR244" i="2"/>
  <c r="AR217" i="2"/>
  <c r="AR250" i="2"/>
  <c r="AR256" i="2"/>
  <c r="AR277" i="2"/>
  <c r="V185" i="21"/>
  <c r="W185" i="21"/>
  <c r="AR219" i="2"/>
  <c r="V167" i="21"/>
  <c r="W167" i="21"/>
  <c r="V247" i="21"/>
  <c r="W247" i="21"/>
  <c r="AR274" i="2"/>
  <c r="V189" i="21"/>
  <c r="W189" i="21"/>
  <c r="V234" i="21"/>
  <c r="W234" i="21"/>
  <c r="V188" i="21"/>
  <c r="W188" i="21"/>
  <c r="AR207" i="2"/>
  <c r="AR268" i="2"/>
  <c r="V183" i="21"/>
  <c r="W183" i="21"/>
  <c r="AR240" i="2"/>
  <c r="AR239" i="2"/>
  <c r="V203" i="21"/>
  <c r="W203" i="21"/>
  <c r="V219" i="21"/>
  <c r="W219" i="21"/>
  <c r="AR230" i="2"/>
  <c r="AR271" i="2"/>
  <c r="V166" i="21"/>
  <c r="W166" i="21"/>
  <c r="V197" i="21"/>
  <c r="W197" i="21"/>
  <c r="V173" i="21"/>
  <c r="W173" i="21"/>
  <c r="V210" i="21"/>
  <c r="W210" i="21"/>
  <c r="V176" i="21"/>
  <c r="W176" i="21"/>
  <c r="V175" i="21"/>
  <c r="W175" i="21"/>
  <c r="V207" i="21"/>
  <c r="W207" i="21"/>
  <c r="V208" i="21"/>
  <c r="W208" i="21"/>
  <c r="V229" i="21"/>
  <c r="W229" i="21"/>
  <c r="V193" i="21"/>
  <c r="W193" i="21"/>
  <c r="V169" i="21"/>
  <c r="W169" i="21"/>
  <c r="V223" i="21"/>
  <c r="W223" i="21"/>
  <c r="V179" i="21"/>
  <c r="W179" i="21"/>
  <c r="V235" i="21"/>
  <c r="W235" i="21"/>
  <c r="V178" i="21"/>
  <c r="W178" i="21"/>
  <c r="V206" i="21"/>
  <c r="W206" i="21"/>
  <c r="V250" i="21"/>
  <c r="W250" i="21"/>
  <c r="V231" i="21"/>
  <c r="W231" i="21"/>
  <c r="V212" i="21"/>
  <c r="W212" i="21"/>
  <c r="V238" i="21"/>
  <c r="W238" i="21"/>
  <c r="AR270" i="2"/>
  <c r="AR248" i="2"/>
  <c r="AR204" i="2"/>
  <c r="AR249" i="2"/>
  <c r="AR279" i="2"/>
  <c r="AR251" i="2"/>
  <c r="AR254" i="2"/>
  <c r="AR227" i="2"/>
  <c r="AR273" i="2"/>
  <c r="AR231" i="2"/>
  <c r="AR210" i="2"/>
  <c r="AR224" i="2"/>
  <c r="AR284" i="2"/>
  <c r="AR236" i="2"/>
  <c r="AR246" i="2"/>
  <c r="AR266" i="2"/>
  <c r="AR283" i="2"/>
  <c r="AR280" i="2"/>
  <c r="AR213" i="2"/>
  <c r="AR221" i="2"/>
  <c r="AR258" i="2"/>
  <c r="AR257" i="2"/>
  <c r="AR242" i="2"/>
  <c r="AR259" i="2"/>
  <c r="AR237" i="2"/>
  <c r="AR232" i="2"/>
  <c r="AR223" i="2"/>
  <c r="AR282" i="2"/>
  <c r="AR222" i="2"/>
  <c r="AR264" i="2"/>
  <c r="AR233" i="2"/>
  <c r="AR203" i="2"/>
  <c r="AR272" i="2"/>
  <c r="AR269" i="2"/>
  <c r="AR202" i="2"/>
  <c r="AR220" i="2"/>
  <c r="AR247" i="2"/>
  <c r="AR263" i="2"/>
  <c r="AR245" i="2"/>
  <c r="AR238" i="2"/>
  <c r="AR218" i="2"/>
  <c r="AR200" i="2"/>
  <c r="AR285" i="2"/>
  <c r="AR241" i="2"/>
  <c r="AR214" i="2"/>
  <c r="AR276" i="2"/>
  <c r="AR228" i="2"/>
  <c r="AR243" i="2"/>
  <c r="AR262" i="2"/>
  <c r="AR211" i="2"/>
  <c r="AR208" i="2"/>
  <c r="AR267" i="2"/>
  <c r="AR201" i="2"/>
  <c r="AR205" i="2"/>
  <c r="AR229" i="2"/>
  <c r="AN21" i="2"/>
  <c r="V160" i="3"/>
  <c r="V161" i="3"/>
  <c r="V162" i="3"/>
  <c r="V163" i="3"/>
  <c r="V164" i="3"/>
  <c r="V165" i="3"/>
  <c r="V166" i="3"/>
  <c r="V167" i="3"/>
  <c r="V168" i="3"/>
  <c r="V169" i="3"/>
  <c r="V170" i="3"/>
  <c r="V159" i="3"/>
  <c r="V172" i="3"/>
  <c r="V173" i="3"/>
  <c r="V180" i="3"/>
  <c r="D160" i="3"/>
  <c r="D161" i="3"/>
  <c r="D162" i="3"/>
  <c r="D163" i="3"/>
  <c r="D164" i="3"/>
  <c r="D165" i="3"/>
  <c r="D166" i="3"/>
  <c r="D167" i="3"/>
  <c r="D168" i="3"/>
  <c r="D169" i="3"/>
  <c r="D170" i="3"/>
  <c r="D171" i="3"/>
  <c r="D172" i="3"/>
  <c r="D173" i="3"/>
  <c r="D174" i="3"/>
  <c r="D175" i="3"/>
  <c r="D176" i="3"/>
  <c r="D177" i="3"/>
  <c r="D178" i="3"/>
  <c r="D179" i="3"/>
  <c r="D180" i="3"/>
  <c r="D181" i="3"/>
  <c r="D182" i="3"/>
  <c r="D183" i="3"/>
  <c r="D184" i="3"/>
  <c r="D185" i="3"/>
  <c r="D186" i="3"/>
  <c r="D187" i="3"/>
  <c r="D188" i="3"/>
  <c r="D189" i="3"/>
  <c r="D190" i="3"/>
  <c r="D191" i="3"/>
  <c r="D192" i="3"/>
  <c r="D193" i="3"/>
  <c r="D194" i="3"/>
  <c r="D195" i="3"/>
  <c r="D196" i="3"/>
  <c r="D197" i="3"/>
  <c r="D198" i="3"/>
  <c r="D199" i="3"/>
  <c r="D200" i="3"/>
  <c r="D201" i="3"/>
  <c r="D202" i="3"/>
  <c r="D203" i="3"/>
  <c r="D204" i="3"/>
  <c r="D205" i="3"/>
  <c r="D206" i="3"/>
  <c r="D207" i="3"/>
  <c r="D208" i="3"/>
  <c r="D209" i="3"/>
  <c r="D210" i="3"/>
  <c r="D211" i="3"/>
  <c r="D212" i="3"/>
  <c r="D213" i="3"/>
  <c r="D214" i="3"/>
  <c r="D215" i="3"/>
  <c r="D216" i="3"/>
  <c r="D217" i="3"/>
  <c r="D218" i="3"/>
  <c r="D219" i="3"/>
  <c r="D220" i="3"/>
  <c r="D221" i="3"/>
  <c r="D222" i="3"/>
  <c r="D223" i="3"/>
  <c r="D224" i="3"/>
  <c r="D225" i="3"/>
  <c r="D226" i="3"/>
  <c r="D227" i="3"/>
  <c r="D228" i="3"/>
  <c r="D229" i="3"/>
  <c r="D230" i="3"/>
  <c r="D231" i="3"/>
  <c r="D232" i="3"/>
  <c r="D233" i="3"/>
  <c r="D234" i="3"/>
  <c r="D235" i="3"/>
  <c r="D236" i="3"/>
  <c r="D237" i="3"/>
  <c r="D238" i="3"/>
  <c r="D239" i="3"/>
  <c r="D240" i="3"/>
  <c r="D241" i="3"/>
  <c r="D242" i="3"/>
  <c r="D243" i="3"/>
  <c r="D244" i="3"/>
  <c r="D245" i="3"/>
  <c r="D246" i="3"/>
  <c r="D247" i="3"/>
  <c r="D248" i="3"/>
  <c r="D249" i="3"/>
  <c r="D250" i="3"/>
  <c r="D251" i="3"/>
  <c r="D252" i="3"/>
  <c r="D253" i="3"/>
  <c r="D254" i="3"/>
  <c r="D255" i="3"/>
  <c r="D256" i="3"/>
  <c r="D257" i="3"/>
  <c r="D258" i="3"/>
  <c r="D259" i="3"/>
  <c r="D260" i="3"/>
  <c r="D261" i="3"/>
  <c r="D262" i="3"/>
  <c r="D263" i="3"/>
  <c r="D264" i="3"/>
  <c r="D265" i="3"/>
  <c r="D266" i="3"/>
  <c r="D267" i="3"/>
  <c r="D268" i="3"/>
  <c r="D269" i="3"/>
  <c r="D270" i="3"/>
  <c r="D271" i="3"/>
  <c r="D272" i="3"/>
  <c r="D273" i="3"/>
  <c r="D274" i="3"/>
  <c r="D275" i="3"/>
  <c r="D276" i="3"/>
  <c r="D277" i="3"/>
  <c r="D278" i="3"/>
  <c r="D279" i="3"/>
  <c r="D280" i="3"/>
  <c r="D281" i="3"/>
  <c r="D282" i="3"/>
  <c r="D283" i="3"/>
  <c r="D284" i="3"/>
  <c r="D285" i="3"/>
  <c r="D286" i="3"/>
  <c r="D287" i="3"/>
  <c r="D288" i="3"/>
  <c r="D289" i="3"/>
  <c r="D290" i="3"/>
  <c r="D291" i="3"/>
  <c r="D292" i="3"/>
  <c r="D293" i="3"/>
  <c r="D294" i="3"/>
  <c r="D295" i="3"/>
  <c r="D296" i="3"/>
  <c r="D297" i="3"/>
  <c r="D298" i="3"/>
  <c r="D299" i="3"/>
  <c r="D300" i="3"/>
  <c r="D301" i="3"/>
  <c r="D302" i="3"/>
  <c r="D303" i="3"/>
  <c r="D304" i="3"/>
  <c r="D305" i="3"/>
  <c r="D306" i="3"/>
  <c r="D307" i="3"/>
  <c r="D308" i="3"/>
  <c r="D309" i="3"/>
  <c r="D310" i="3"/>
  <c r="D311" i="3"/>
  <c r="D312" i="3"/>
  <c r="D313" i="3"/>
  <c r="D314" i="3"/>
  <c r="D315" i="3"/>
  <c r="D316" i="3"/>
  <c r="D317" i="3"/>
  <c r="D318" i="3"/>
  <c r="D319" i="3"/>
  <c r="D320" i="3"/>
  <c r="D321" i="3"/>
  <c r="D322" i="3"/>
  <c r="D323" i="3"/>
  <c r="D324" i="3"/>
  <c r="D325" i="3"/>
  <c r="D326" i="3"/>
  <c r="D327" i="3"/>
  <c r="D328" i="3"/>
  <c r="D329" i="3"/>
  <c r="D330" i="3"/>
  <c r="D331" i="3"/>
  <c r="D332" i="3"/>
  <c r="D333" i="3"/>
  <c r="D334" i="3"/>
  <c r="D335" i="3"/>
  <c r="D336" i="3"/>
  <c r="D337" i="3"/>
  <c r="D338" i="3"/>
  <c r="D339" i="3"/>
  <c r="D340" i="3"/>
  <c r="D341" i="3"/>
  <c r="D342" i="3"/>
  <c r="D343" i="3"/>
  <c r="D159" i="3"/>
  <c r="E7" i="4"/>
  <c r="B14" i="13"/>
  <c r="T34" i="2"/>
  <c r="U34" i="2"/>
  <c r="T35" i="2"/>
  <c r="U35" i="2"/>
  <c r="T36" i="2"/>
  <c r="U36" i="2"/>
  <c r="T37" i="2"/>
  <c r="T38" i="2"/>
  <c r="U38" i="2"/>
  <c r="T39" i="2"/>
  <c r="U39" i="2"/>
  <c r="T40" i="2"/>
  <c r="U40" i="2"/>
  <c r="T41" i="2"/>
  <c r="U41" i="2"/>
  <c r="T42" i="2"/>
  <c r="U42" i="2"/>
  <c r="T43" i="2"/>
  <c r="U43" i="2"/>
  <c r="T44" i="2"/>
  <c r="U44" i="2"/>
  <c r="T45" i="2"/>
  <c r="U45" i="2"/>
  <c r="T46" i="2"/>
  <c r="U46" i="2"/>
  <c r="T47" i="2"/>
  <c r="U47" i="2"/>
  <c r="T48" i="2"/>
  <c r="U48" i="2"/>
  <c r="T49" i="2"/>
  <c r="U49" i="2"/>
  <c r="T50" i="2"/>
  <c r="U50" i="2"/>
  <c r="T51" i="2"/>
  <c r="U51" i="2"/>
  <c r="T52" i="2"/>
  <c r="U52" i="2"/>
  <c r="T53" i="2"/>
  <c r="U53" i="2"/>
  <c r="T54" i="2"/>
  <c r="U54" i="2"/>
  <c r="T55" i="2"/>
  <c r="U55" i="2"/>
  <c r="T33" i="2"/>
  <c r="U33" i="2"/>
  <c r="V33" i="2"/>
  <c r="W33" i="2"/>
  <c r="S33" i="2"/>
  <c r="V181" i="3"/>
  <c r="V182" i="3"/>
  <c r="V175" i="3"/>
  <c r="F129" i="3"/>
  <c r="V174" i="3"/>
  <c r="V190" i="3"/>
  <c r="V184" i="3"/>
  <c r="V192" i="3"/>
  <c r="V178" i="3"/>
  <c r="V183" i="3"/>
  <c r="V179" i="3"/>
  <c r="V177" i="3"/>
  <c r="F125" i="3"/>
  <c r="F113" i="3"/>
  <c r="V176" i="3"/>
  <c r="V171" i="3"/>
  <c r="F134" i="3"/>
  <c r="J135" i="21"/>
  <c r="T135" i="21"/>
  <c r="U135" i="21"/>
  <c r="U129" i="3"/>
  <c r="J140" i="21"/>
  <c r="T140" i="21"/>
  <c r="U140" i="21"/>
  <c r="U134" i="3"/>
  <c r="J119" i="21"/>
  <c r="T119" i="21"/>
  <c r="U119" i="21"/>
  <c r="U113" i="3"/>
  <c r="J131" i="21"/>
  <c r="T131" i="21"/>
  <c r="U131" i="21"/>
  <c r="U125" i="3"/>
  <c r="V194" i="3"/>
  <c r="V189" i="14"/>
  <c r="W189" i="14"/>
  <c r="V177" i="14"/>
  <c r="W177" i="14"/>
  <c r="W185" i="14"/>
  <c r="V185" i="14"/>
  <c r="AA179" i="23"/>
  <c r="AB179" i="23"/>
  <c r="O179" i="23"/>
  <c r="AA180" i="23"/>
  <c r="AB180" i="23"/>
  <c r="O180" i="23"/>
  <c r="O180" i="22"/>
  <c r="AA180" i="22"/>
  <c r="AB180" i="22"/>
  <c r="AA185" i="23"/>
  <c r="AB185" i="23"/>
  <c r="O185" i="23"/>
  <c r="AA182" i="22"/>
  <c r="AB182" i="22"/>
  <c r="O182" i="22"/>
  <c r="O178" i="22"/>
  <c r="AA178" i="22"/>
  <c r="AB178" i="22"/>
  <c r="O184" i="23"/>
  <c r="AA184" i="23"/>
  <c r="AB184" i="23"/>
  <c r="O187" i="22"/>
  <c r="AA187" i="22"/>
  <c r="AB187" i="22"/>
  <c r="O188" i="22"/>
  <c r="AA188" i="22"/>
  <c r="AB188" i="22"/>
  <c r="O179" i="22"/>
  <c r="AA179" i="22"/>
  <c r="AB179" i="22"/>
  <c r="AA182" i="23"/>
  <c r="AB182" i="23"/>
  <c r="O182" i="23"/>
  <c r="V180" i="14"/>
  <c r="W180" i="14"/>
  <c r="AA177" i="23"/>
  <c r="AB177" i="23"/>
  <c r="O177" i="23"/>
  <c r="F148" i="3"/>
  <c r="O181" i="22"/>
  <c r="AA181" i="22"/>
  <c r="AB181" i="22"/>
  <c r="W186" i="14"/>
  <c r="V186" i="14"/>
  <c r="AA178" i="23"/>
  <c r="AB178" i="23"/>
  <c r="O178" i="23"/>
  <c r="V184" i="14"/>
  <c r="W184" i="14"/>
  <c r="AA187" i="23"/>
  <c r="AB187" i="23"/>
  <c r="O187" i="23"/>
  <c r="AA188" i="23"/>
  <c r="AB188" i="23"/>
  <c r="O188" i="23"/>
  <c r="AA185" i="22"/>
  <c r="AB185" i="22"/>
  <c r="O185" i="22"/>
  <c r="V182" i="14"/>
  <c r="W182" i="14"/>
  <c r="V185" i="3"/>
  <c r="AA181" i="23"/>
  <c r="AB181" i="23"/>
  <c r="O181" i="23"/>
  <c r="AA186" i="22"/>
  <c r="AB186" i="22"/>
  <c r="O186" i="22"/>
  <c r="AA189" i="22"/>
  <c r="AB189" i="22"/>
  <c r="O189" i="22"/>
  <c r="AA183" i="22"/>
  <c r="AB183" i="22"/>
  <c r="O183" i="22"/>
  <c r="W178" i="14"/>
  <c r="V178" i="14"/>
  <c r="V187" i="14"/>
  <c r="W187" i="14"/>
  <c r="W188" i="14"/>
  <c r="V188" i="14"/>
  <c r="W183" i="14"/>
  <c r="V183" i="14"/>
  <c r="AA177" i="22"/>
  <c r="AB177" i="22"/>
  <c r="O177" i="22"/>
  <c r="V179" i="14"/>
  <c r="W179" i="14"/>
  <c r="O184" i="22"/>
  <c r="AA184" i="22"/>
  <c r="AB184" i="22"/>
  <c r="V193" i="3"/>
  <c r="W181" i="14"/>
  <c r="V181" i="14"/>
  <c r="AA186" i="23"/>
  <c r="AB186" i="23"/>
  <c r="O186" i="23"/>
  <c r="AA189" i="23"/>
  <c r="AB189" i="23"/>
  <c r="O189" i="23"/>
  <c r="AA183" i="23"/>
  <c r="AB183" i="23"/>
  <c r="O183" i="23"/>
  <c r="V204" i="3"/>
  <c r="F147" i="3"/>
  <c r="V195" i="3"/>
  <c r="F149" i="3"/>
  <c r="F146" i="3"/>
  <c r="F118" i="3"/>
  <c r="V186" i="3"/>
  <c r="F140" i="3"/>
  <c r="F117" i="3"/>
  <c r="F127" i="3"/>
  <c r="F137" i="3"/>
  <c r="F132" i="3"/>
  <c r="F126" i="3"/>
  <c r="F145" i="3"/>
  <c r="V191" i="3"/>
  <c r="F138" i="3"/>
  <c r="V202" i="3"/>
  <c r="F156" i="3"/>
  <c r="V188" i="3"/>
  <c r="F142" i="3"/>
  <c r="F151" i="3"/>
  <c r="V197" i="3"/>
  <c r="F121" i="3"/>
  <c r="F130" i="3"/>
  <c r="F139" i="3"/>
  <c r="V196" i="3"/>
  <c r="F150" i="3"/>
  <c r="F120" i="3"/>
  <c r="F6" i="3"/>
  <c r="F14" i="3"/>
  <c r="F22" i="3"/>
  <c r="F30" i="3"/>
  <c r="F38" i="3"/>
  <c r="F46" i="3"/>
  <c r="F54" i="3"/>
  <c r="F62" i="3"/>
  <c r="F70" i="3"/>
  <c r="F78" i="3"/>
  <c r="F86" i="3"/>
  <c r="F94" i="3"/>
  <c r="F102" i="3"/>
  <c r="F110" i="3"/>
  <c r="F123" i="3"/>
  <c r="F7" i="3"/>
  <c r="F15" i="3"/>
  <c r="F23" i="3"/>
  <c r="F31" i="3"/>
  <c r="F39" i="3"/>
  <c r="F47" i="3"/>
  <c r="F55" i="3"/>
  <c r="F63" i="3"/>
  <c r="F71" i="3"/>
  <c r="F79" i="3"/>
  <c r="F87" i="3"/>
  <c r="F95" i="3"/>
  <c r="F103" i="3"/>
  <c r="F111" i="3"/>
  <c r="F8" i="3"/>
  <c r="F16" i="3"/>
  <c r="F24" i="3"/>
  <c r="F32" i="3"/>
  <c r="F40" i="3"/>
  <c r="F48" i="3"/>
  <c r="F56" i="3"/>
  <c r="F64" i="3"/>
  <c r="F72" i="3"/>
  <c r="F80" i="3"/>
  <c r="F88" i="3"/>
  <c r="F96" i="3"/>
  <c r="F104" i="3"/>
  <c r="F112" i="3"/>
  <c r="F9" i="3"/>
  <c r="F17" i="3"/>
  <c r="F25" i="3"/>
  <c r="F33" i="3"/>
  <c r="F41" i="3"/>
  <c r="F49" i="3"/>
  <c r="F57" i="3"/>
  <c r="F65" i="3"/>
  <c r="F73" i="3"/>
  <c r="F81" i="3"/>
  <c r="F89" i="3"/>
  <c r="F97" i="3"/>
  <c r="F105" i="3"/>
  <c r="F119" i="3"/>
  <c r="F5" i="3"/>
  <c r="F21" i="3"/>
  <c r="F37" i="3"/>
  <c r="F53" i="3"/>
  <c r="F69" i="3"/>
  <c r="F85" i="3"/>
  <c r="F101" i="3"/>
  <c r="F10" i="3"/>
  <c r="F26" i="3"/>
  <c r="F42" i="3"/>
  <c r="F58" i="3"/>
  <c r="F74" i="3"/>
  <c r="F90" i="3"/>
  <c r="F106" i="3"/>
  <c r="F11" i="3"/>
  <c r="F27" i="3"/>
  <c r="F43" i="3"/>
  <c r="F59" i="3"/>
  <c r="F75" i="3"/>
  <c r="F91" i="3"/>
  <c r="F107" i="3"/>
  <c r="F135" i="3"/>
  <c r="F13" i="3"/>
  <c r="F29" i="3"/>
  <c r="F45" i="3"/>
  <c r="F61" i="3"/>
  <c r="F77" i="3"/>
  <c r="F93" i="3"/>
  <c r="F109" i="3"/>
  <c r="F18" i="3"/>
  <c r="F50" i="3"/>
  <c r="F82" i="3"/>
  <c r="F114" i="3"/>
  <c r="F52" i="3"/>
  <c r="F122" i="3"/>
  <c r="F28" i="3"/>
  <c r="F68" i="3"/>
  <c r="F44" i="3"/>
  <c r="F19" i="3"/>
  <c r="F51" i="3"/>
  <c r="F83" i="3"/>
  <c r="F20" i="3"/>
  <c r="F84" i="3"/>
  <c r="F115" i="3"/>
  <c r="F60" i="3"/>
  <c r="F92" i="3"/>
  <c r="F36" i="3"/>
  <c r="F100" i="3"/>
  <c r="F12" i="3"/>
  <c r="F76" i="3"/>
  <c r="F108" i="3"/>
  <c r="F116" i="3"/>
  <c r="F34" i="3"/>
  <c r="F66" i="3"/>
  <c r="F98" i="3"/>
  <c r="F35" i="3"/>
  <c r="F67" i="3"/>
  <c r="F99" i="3"/>
  <c r="F124" i="3"/>
  <c r="F143" i="3"/>
  <c r="V189" i="3"/>
  <c r="F131" i="3"/>
  <c r="F128" i="3"/>
  <c r="F144" i="3"/>
  <c r="V187" i="3"/>
  <c r="F141" i="3"/>
  <c r="F133" i="3"/>
  <c r="V205" i="3"/>
  <c r="F136" i="3"/>
  <c r="J142" i="21"/>
  <c r="T142" i="21"/>
  <c r="U142" i="21"/>
  <c r="U136" i="3"/>
  <c r="J149" i="21"/>
  <c r="T149" i="21"/>
  <c r="U149" i="21"/>
  <c r="U143" i="3"/>
  <c r="J122" i="21"/>
  <c r="T122" i="21"/>
  <c r="U122" i="21"/>
  <c r="U116" i="3"/>
  <c r="J121" i="21"/>
  <c r="T121" i="21"/>
  <c r="U121" i="21"/>
  <c r="U115" i="3"/>
  <c r="J34" i="21"/>
  <c r="T34" i="21"/>
  <c r="U34" i="21"/>
  <c r="U28" i="3"/>
  <c r="J99" i="21"/>
  <c r="T99" i="21"/>
  <c r="U99" i="21"/>
  <c r="U93" i="3"/>
  <c r="J33" i="21"/>
  <c r="T33" i="21"/>
  <c r="U33" i="21"/>
  <c r="U27" i="3"/>
  <c r="J16" i="21"/>
  <c r="T16" i="21"/>
  <c r="U16" i="21"/>
  <c r="V16" i="21"/>
  <c r="W16" i="21"/>
  <c r="AR51" i="2"/>
  <c r="U10" i="3"/>
  <c r="J125" i="21"/>
  <c r="T125" i="21"/>
  <c r="U125" i="21"/>
  <c r="U119" i="3"/>
  <c r="J55" i="21"/>
  <c r="T55" i="21"/>
  <c r="U55" i="21"/>
  <c r="U49" i="3"/>
  <c r="J23" i="21"/>
  <c r="T23" i="21"/>
  <c r="U23" i="21"/>
  <c r="V23" i="21"/>
  <c r="W23" i="21"/>
  <c r="AR58" i="2"/>
  <c r="U17" i="3"/>
  <c r="J70" i="21"/>
  <c r="T70" i="21"/>
  <c r="U70" i="21"/>
  <c r="U64" i="3"/>
  <c r="J85" i="21"/>
  <c r="T85" i="21"/>
  <c r="U85" i="21"/>
  <c r="U79" i="3"/>
  <c r="J21" i="21"/>
  <c r="T21" i="21"/>
  <c r="U21" i="21"/>
  <c r="V21" i="21"/>
  <c r="W21" i="21"/>
  <c r="AR56" i="2"/>
  <c r="U15" i="3"/>
  <c r="J76" i="21"/>
  <c r="T76" i="21"/>
  <c r="U76" i="21"/>
  <c r="U70" i="3"/>
  <c r="J44" i="21"/>
  <c r="T44" i="21"/>
  <c r="U44" i="21"/>
  <c r="U38" i="3"/>
  <c r="J151" i="21"/>
  <c r="T151" i="21"/>
  <c r="U151" i="21"/>
  <c r="U145" i="3"/>
  <c r="M131" i="21"/>
  <c r="O131" i="21"/>
  <c r="N131" i="21"/>
  <c r="J137" i="21"/>
  <c r="T137" i="21"/>
  <c r="U137" i="21"/>
  <c r="U131" i="3"/>
  <c r="J130" i="21"/>
  <c r="T130" i="21"/>
  <c r="U130" i="21"/>
  <c r="U124" i="3"/>
  <c r="J114" i="21"/>
  <c r="T114" i="21"/>
  <c r="U114" i="21"/>
  <c r="U108" i="3"/>
  <c r="J90" i="21"/>
  <c r="T90" i="21"/>
  <c r="U90" i="21"/>
  <c r="U84" i="3"/>
  <c r="J128" i="21"/>
  <c r="T128" i="21"/>
  <c r="U128" i="21"/>
  <c r="U122" i="3"/>
  <c r="J83" i="21"/>
  <c r="T83" i="21"/>
  <c r="U83" i="21"/>
  <c r="U77" i="3"/>
  <c r="J17" i="21"/>
  <c r="T17" i="21"/>
  <c r="U17" i="21"/>
  <c r="V17" i="21"/>
  <c r="W17" i="21"/>
  <c r="AR52" i="2"/>
  <c r="U11" i="3"/>
  <c r="J105" i="21"/>
  <c r="T105" i="21"/>
  <c r="U105" i="21"/>
  <c r="U99" i="3"/>
  <c r="J72" i="21"/>
  <c r="T72" i="21"/>
  <c r="U72" i="21"/>
  <c r="U66" i="3"/>
  <c r="J82" i="21"/>
  <c r="T82" i="21"/>
  <c r="U82" i="21"/>
  <c r="U76" i="3"/>
  <c r="J98" i="21"/>
  <c r="T98" i="21"/>
  <c r="U98" i="21"/>
  <c r="U92" i="3"/>
  <c r="J26" i="21"/>
  <c r="T26" i="21"/>
  <c r="U26" i="21"/>
  <c r="V26" i="21"/>
  <c r="W26" i="21"/>
  <c r="AR61" i="2"/>
  <c r="U20" i="3"/>
  <c r="J50" i="21"/>
  <c r="T50" i="21"/>
  <c r="U50" i="21"/>
  <c r="U44" i="3"/>
  <c r="J58" i="21"/>
  <c r="T58" i="21"/>
  <c r="U58" i="21"/>
  <c r="U52" i="3"/>
  <c r="J24" i="21"/>
  <c r="T24" i="21"/>
  <c r="U24" i="21"/>
  <c r="V24" i="21"/>
  <c r="W24" i="21"/>
  <c r="AR59" i="2"/>
  <c r="U18" i="3"/>
  <c r="J67" i="21"/>
  <c r="T67" i="21"/>
  <c r="U67" i="21"/>
  <c r="U61" i="3"/>
  <c r="J141" i="21"/>
  <c r="T141" i="21"/>
  <c r="U141" i="21"/>
  <c r="U135" i="3"/>
  <c r="J65" i="21"/>
  <c r="T65" i="21"/>
  <c r="U65" i="21"/>
  <c r="U59" i="3"/>
  <c r="J112" i="21"/>
  <c r="T112" i="21"/>
  <c r="U112" i="21"/>
  <c r="U106" i="3"/>
  <c r="J48" i="21"/>
  <c r="T48" i="21"/>
  <c r="U48" i="21"/>
  <c r="U42" i="3"/>
  <c r="J91" i="21"/>
  <c r="T91" i="21"/>
  <c r="U91" i="21"/>
  <c r="U85" i="3"/>
  <c r="J27" i="21"/>
  <c r="T27" i="21"/>
  <c r="U27" i="21"/>
  <c r="V27" i="21"/>
  <c r="W27" i="21"/>
  <c r="AR62" i="2"/>
  <c r="U21" i="3"/>
  <c r="J103" i="21"/>
  <c r="T103" i="21"/>
  <c r="U103" i="21"/>
  <c r="U97" i="3"/>
  <c r="J71" i="21"/>
  <c r="T71" i="21"/>
  <c r="U71" i="21"/>
  <c r="U65" i="3"/>
  <c r="J39" i="21"/>
  <c r="T39" i="21"/>
  <c r="U39" i="21"/>
  <c r="U33" i="3"/>
  <c r="J118" i="21"/>
  <c r="T118" i="21"/>
  <c r="U118" i="21"/>
  <c r="U112" i="3"/>
  <c r="J86" i="21"/>
  <c r="T86" i="21"/>
  <c r="U86" i="21"/>
  <c r="U80" i="3"/>
  <c r="J54" i="21"/>
  <c r="T54" i="21"/>
  <c r="U54" i="21"/>
  <c r="U48" i="3"/>
  <c r="J22" i="21"/>
  <c r="T22" i="21"/>
  <c r="U22" i="21"/>
  <c r="V22" i="21"/>
  <c r="W22" i="21"/>
  <c r="AR57" i="2"/>
  <c r="U16" i="3"/>
  <c r="J101" i="21"/>
  <c r="T101" i="21"/>
  <c r="U101" i="21"/>
  <c r="U95" i="3"/>
  <c r="J69" i="21"/>
  <c r="T69" i="21"/>
  <c r="U69" i="21"/>
  <c r="U63" i="3"/>
  <c r="J37" i="21"/>
  <c r="T37" i="21"/>
  <c r="U37" i="21"/>
  <c r="U31" i="3"/>
  <c r="J129" i="21"/>
  <c r="T129" i="21"/>
  <c r="U129" i="21"/>
  <c r="U123" i="3"/>
  <c r="J92" i="21"/>
  <c r="T92" i="21"/>
  <c r="U92" i="21"/>
  <c r="U86" i="3"/>
  <c r="J60" i="21"/>
  <c r="T60" i="21"/>
  <c r="U60" i="21"/>
  <c r="U54" i="3"/>
  <c r="J28" i="21"/>
  <c r="T28" i="21"/>
  <c r="U28" i="21"/>
  <c r="V28" i="21"/>
  <c r="W28" i="21"/>
  <c r="AR63" i="2"/>
  <c r="U22" i="3"/>
  <c r="J156" i="21"/>
  <c r="T156" i="21"/>
  <c r="U156" i="21"/>
  <c r="U150" i="3"/>
  <c r="J136" i="21"/>
  <c r="T136" i="21"/>
  <c r="U136" i="21"/>
  <c r="U130" i="3"/>
  <c r="J138" i="21"/>
  <c r="T138" i="21"/>
  <c r="U138" i="21"/>
  <c r="U132" i="3"/>
  <c r="J152" i="21"/>
  <c r="T152" i="21"/>
  <c r="U152" i="21"/>
  <c r="U146" i="3"/>
  <c r="J153" i="21"/>
  <c r="T153" i="21"/>
  <c r="U153" i="21"/>
  <c r="U147" i="3"/>
  <c r="O140" i="21"/>
  <c r="M140" i="21"/>
  <c r="N140" i="21"/>
  <c r="J139" i="21"/>
  <c r="T139" i="21"/>
  <c r="U139" i="21"/>
  <c r="U133" i="3"/>
  <c r="J150" i="21"/>
  <c r="T150" i="21"/>
  <c r="U150" i="21"/>
  <c r="U144" i="3"/>
  <c r="J73" i="21"/>
  <c r="T73" i="21"/>
  <c r="U73" i="21"/>
  <c r="U67" i="3"/>
  <c r="J40" i="21"/>
  <c r="T40" i="21"/>
  <c r="U40" i="21"/>
  <c r="U34" i="3"/>
  <c r="J18" i="21"/>
  <c r="T18" i="21"/>
  <c r="U18" i="21"/>
  <c r="V18" i="21"/>
  <c r="W18" i="21"/>
  <c r="AR53" i="2"/>
  <c r="U12" i="3"/>
  <c r="J66" i="21"/>
  <c r="T66" i="21"/>
  <c r="U66" i="21"/>
  <c r="U60" i="3"/>
  <c r="J89" i="21"/>
  <c r="T89" i="21"/>
  <c r="U89" i="21"/>
  <c r="U83" i="3"/>
  <c r="J74" i="21"/>
  <c r="T74" i="21"/>
  <c r="U74" i="21"/>
  <c r="U68" i="3"/>
  <c r="J120" i="21"/>
  <c r="T120" i="21"/>
  <c r="U120" i="21"/>
  <c r="U114" i="3"/>
  <c r="J115" i="21"/>
  <c r="T115" i="21"/>
  <c r="U115" i="21"/>
  <c r="U109" i="3"/>
  <c r="J51" i="21"/>
  <c r="T51" i="21"/>
  <c r="U51" i="21"/>
  <c r="U45" i="3"/>
  <c r="J113" i="21"/>
  <c r="T113" i="21"/>
  <c r="U113" i="21"/>
  <c r="U107" i="3"/>
  <c r="J49" i="21"/>
  <c r="T49" i="21"/>
  <c r="U49" i="21"/>
  <c r="U43" i="3"/>
  <c r="J96" i="21"/>
  <c r="T96" i="21"/>
  <c r="U96" i="21"/>
  <c r="U90" i="3"/>
  <c r="J32" i="21"/>
  <c r="T32" i="21"/>
  <c r="U32" i="21"/>
  <c r="V32" i="21"/>
  <c r="W32" i="21"/>
  <c r="AR67" i="2"/>
  <c r="U26" i="3"/>
  <c r="J75" i="21"/>
  <c r="T75" i="21"/>
  <c r="U75" i="21"/>
  <c r="U69" i="3"/>
  <c r="J95" i="21"/>
  <c r="T95" i="21"/>
  <c r="U95" i="21"/>
  <c r="U89" i="3"/>
  <c r="J63" i="21"/>
  <c r="T63" i="21"/>
  <c r="U63" i="21"/>
  <c r="U57" i="3"/>
  <c r="J31" i="21"/>
  <c r="T31" i="21"/>
  <c r="U31" i="21"/>
  <c r="V31" i="21"/>
  <c r="W31" i="21"/>
  <c r="AR66" i="2"/>
  <c r="U25" i="3"/>
  <c r="J110" i="21"/>
  <c r="T110" i="21"/>
  <c r="U110" i="21"/>
  <c r="U104" i="3"/>
  <c r="J78" i="21"/>
  <c r="T78" i="21"/>
  <c r="U78" i="21"/>
  <c r="U72" i="3"/>
  <c r="J46" i="21"/>
  <c r="T46" i="21"/>
  <c r="U46" i="21"/>
  <c r="U40" i="3"/>
  <c r="J14" i="21"/>
  <c r="T14" i="21"/>
  <c r="U14" i="21"/>
  <c r="V14" i="21"/>
  <c r="W14" i="21"/>
  <c r="AR49" i="2"/>
  <c r="U8" i="3"/>
  <c r="J93" i="21"/>
  <c r="T93" i="21"/>
  <c r="U93" i="21"/>
  <c r="U87" i="3"/>
  <c r="J61" i="21"/>
  <c r="T61" i="21"/>
  <c r="U61" i="21"/>
  <c r="U55" i="3"/>
  <c r="J29" i="21"/>
  <c r="T29" i="21"/>
  <c r="U29" i="21"/>
  <c r="V29" i="21"/>
  <c r="W29" i="21"/>
  <c r="AR64" i="2"/>
  <c r="U23" i="3"/>
  <c r="J116" i="21"/>
  <c r="T116" i="21"/>
  <c r="U116" i="21"/>
  <c r="U110" i="3"/>
  <c r="J84" i="21"/>
  <c r="T84" i="21"/>
  <c r="U84" i="21"/>
  <c r="U78" i="3"/>
  <c r="J52" i="21"/>
  <c r="T52" i="21"/>
  <c r="U52" i="21"/>
  <c r="U46" i="3"/>
  <c r="J20" i="21"/>
  <c r="T20" i="21"/>
  <c r="U20" i="21"/>
  <c r="V20" i="21"/>
  <c r="W20" i="21"/>
  <c r="AR55" i="2"/>
  <c r="U14" i="3"/>
  <c r="J127" i="21"/>
  <c r="T127" i="21"/>
  <c r="U127" i="21"/>
  <c r="U121" i="3"/>
  <c r="J162" i="21"/>
  <c r="T162" i="21"/>
  <c r="U162" i="21"/>
  <c r="U156" i="3"/>
  <c r="J143" i="21"/>
  <c r="T143" i="21"/>
  <c r="U143" i="21"/>
  <c r="U137" i="3"/>
  <c r="J146" i="21"/>
  <c r="T146" i="21"/>
  <c r="U146" i="21"/>
  <c r="U140" i="3"/>
  <c r="J155" i="21"/>
  <c r="T155" i="21"/>
  <c r="U155" i="21"/>
  <c r="U149" i="3"/>
  <c r="O119" i="21"/>
  <c r="N119" i="21"/>
  <c r="M119" i="21"/>
  <c r="K119" i="21"/>
  <c r="R119" i="21"/>
  <c r="S119" i="21"/>
  <c r="V119" i="21"/>
  <c r="W119" i="21"/>
  <c r="AR154" i="2"/>
  <c r="J134" i="21"/>
  <c r="T134" i="21"/>
  <c r="U134" i="21"/>
  <c r="U128" i="3"/>
  <c r="J41" i="21"/>
  <c r="T41" i="21"/>
  <c r="U41" i="21"/>
  <c r="U35" i="3"/>
  <c r="J106" i="21"/>
  <c r="T106" i="21"/>
  <c r="U106" i="21"/>
  <c r="U100" i="3"/>
  <c r="J57" i="21"/>
  <c r="T57" i="21"/>
  <c r="U57" i="21"/>
  <c r="U51" i="3"/>
  <c r="J88" i="21"/>
  <c r="T88" i="21"/>
  <c r="U88" i="21"/>
  <c r="U82" i="3"/>
  <c r="J35" i="21"/>
  <c r="T35" i="21"/>
  <c r="U35" i="21"/>
  <c r="U29" i="3"/>
  <c r="J97" i="21"/>
  <c r="T97" i="21"/>
  <c r="U97" i="21"/>
  <c r="U91" i="3"/>
  <c r="J80" i="21"/>
  <c r="T80" i="21"/>
  <c r="U80" i="21"/>
  <c r="U74" i="3"/>
  <c r="J59" i="21"/>
  <c r="T59" i="21"/>
  <c r="U59" i="21"/>
  <c r="U53" i="3"/>
  <c r="J87" i="21"/>
  <c r="T87" i="21"/>
  <c r="U87" i="21"/>
  <c r="U81" i="3"/>
  <c r="J102" i="21"/>
  <c r="T102" i="21"/>
  <c r="U102" i="21"/>
  <c r="U96" i="3"/>
  <c r="J38" i="21"/>
  <c r="T38" i="21"/>
  <c r="U38" i="21"/>
  <c r="U32" i="3"/>
  <c r="J117" i="21"/>
  <c r="T117" i="21"/>
  <c r="U117" i="21"/>
  <c r="U111" i="3"/>
  <c r="J53" i="21"/>
  <c r="T53" i="21"/>
  <c r="U53" i="21"/>
  <c r="U47" i="3"/>
  <c r="J108" i="21"/>
  <c r="T108" i="21"/>
  <c r="U108" i="21"/>
  <c r="U102" i="3"/>
  <c r="J12" i="21"/>
  <c r="T12" i="21"/>
  <c r="U12" i="21"/>
  <c r="V12" i="21"/>
  <c r="W12" i="21"/>
  <c r="AR47" i="2"/>
  <c r="U6" i="3"/>
  <c r="J148" i="21"/>
  <c r="T148" i="21"/>
  <c r="U148" i="21"/>
  <c r="U142" i="3"/>
  <c r="J133" i="21"/>
  <c r="T133" i="21"/>
  <c r="U133" i="21"/>
  <c r="U127" i="3"/>
  <c r="J154" i="21"/>
  <c r="T154" i="21"/>
  <c r="U154" i="21"/>
  <c r="U148" i="3"/>
  <c r="J147" i="21"/>
  <c r="T147" i="21"/>
  <c r="U147" i="21"/>
  <c r="U141" i="3"/>
  <c r="J104" i="21"/>
  <c r="T104" i="21"/>
  <c r="U104" i="21"/>
  <c r="U98" i="3"/>
  <c r="J42" i="21"/>
  <c r="T42" i="21"/>
  <c r="U42" i="21"/>
  <c r="U36" i="3"/>
  <c r="J25" i="21"/>
  <c r="T25" i="21"/>
  <c r="U25" i="21"/>
  <c r="V25" i="21"/>
  <c r="W25" i="21"/>
  <c r="AR60" i="2"/>
  <c r="U19" i="3"/>
  <c r="J56" i="21"/>
  <c r="T56" i="21"/>
  <c r="U56" i="21"/>
  <c r="U50" i="3"/>
  <c r="J19" i="21"/>
  <c r="T19" i="21"/>
  <c r="U19" i="21"/>
  <c r="V19" i="21"/>
  <c r="W19" i="21"/>
  <c r="AR54" i="2"/>
  <c r="U13" i="3"/>
  <c r="J81" i="21"/>
  <c r="T81" i="21"/>
  <c r="U81" i="21"/>
  <c r="U75" i="3"/>
  <c r="J64" i="21"/>
  <c r="T64" i="21"/>
  <c r="U64" i="21"/>
  <c r="U58" i="3"/>
  <c r="J107" i="21"/>
  <c r="T107" i="21"/>
  <c r="U107" i="21"/>
  <c r="U101" i="3"/>
  <c r="J43" i="21"/>
  <c r="T43" i="21"/>
  <c r="U43" i="21"/>
  <c r="U37" i="3"/>
  <c r="J111" i="21"/>
  <c r="T111" i="21"/>
  <c r="U111" i="21"/>
  <c r="U105" i="3"/>
  <c r="J79" i="21"/>
  <c r="T79" i="21"/>
  <c r="U79" i="21"/>
  <c r="U73" i="3"/>
  <c r="J47" i="21"/>
  <c r="T47" i="21"/>
  <c r="U47" i="21"/>
  <c r="U41" i="3"/>
  <c r="J15" i="21"/>
  <c r="T15" i="21"/>
  <c r="U15" i="21"/>
  <c r="V15" i="21"/>
  <c r="W15" i="21"/>
  <c r="AR50" i="2"/>
  <c r="U9" i="3"/>
  <c r="J94" i="21"/>
  <c r="T94" i="21"/>
  <c r="U94" i="21"/>
  <c r="U88" i="3"/>
  <c r="J62" i="21"/>
  <c r="T62" i="21"/>
  <c r="U62" i="21"/>
  <c r="U56" i="3"/>
  <c r="J30" i="21"/>
  <c r="T30" i="21"/>
  <c r="U30" i="21"/>
  <c r="V30" i="21"/>
  <c r="W30" i="21"/>
  <c r="AR65" i="2"/>
  <c r="U24" i="3"/>
  <c r="J109" i="21"/>
  <c r="T109" i="21"/>
  <c r="U109" i="21"/>
  <c r="U103" i="3"/>
  <c r="J77" i="21"/>
  <c r="T77" i="21"/>
  <c r="U77" i="21"/>
  <c r="U71" i="3"/>
  <c r="J45" i="21"/>
  <c r="T45" i="21"/>
  <c r="U45" i="21"/>
  <c r="U39" i="3"/>
  <c r="J13" i="21"/>
  <c r="T13" i="21"/>
  <c r="U13" i="21"/>
  <c r="V13" i="21"/>
  <c r="W13" i="21"/>
  <c r="AR48" i="2"/>
  <c r="U7" i="3"/>
  <c r="J100" i="21"/>
  <c r="T100" i="21"/>
  <c r="U100" i="21"/>
  <c r="U94" i="3"/>
  <c r="J68" i="21"/>
  <c r="T68" i="21"/>
  <c r="U68" i="21"/>
  <c r="U62" i="3"/>
  <c r="J36" i="21"/>
  <c r="T36" i="21"/>
  <c r="U36" i="21"/>
  <c r="U30" i="3"/>
  <c r="J126" i="21"/>
  <c r="T126" i="21"/>
  <c r="U126" i="21"/>
  <c r="U120" i="3"/>
  <c r="J145" i="21"/>
  <c r="T145" i="21"/>
  <c r="U145" i="21"/>
  <c r="U139" i="3"/>
  <c r="J157" i="21"/>
  <c r="T157" i="21"/>
  <c r="U157" i="21"/>
  <c r="U151" i="3"/>
  <c r="J144" i="21"/>
  <c r="T144" i="21"/>
  <c r="U144" i="21"/>
  <c r="U138" i="3"/>
  <c r="J132" i="21"/>
  <c r="T132" i="21"/>
  <c r="U132" i="21"/>
  <c r="U126" i="3"/>
  <c r="J123" i="21"/>
  <c r="T123" i="21"/>
  <c r="U123" i="21"/>
  <c r="U117" i="3"/>
  <c r="J124" i="21"/>
  <c r="T124" i="21"/>
  <c r="U124" i="21"/>
  <c r="U118" i="3"/>
  <c r="N135" i="21"/>
  <c r="M135" i="21"/>
  <c r="O135" i="21"/>
  <c r="J11" i="21"/>
  <c r="T11" i="21"/>
  <c r="U11" i="21"/>
  <c r="V11" i="21"/>
  <c r="W11" i="21"/>
  <c r="AR46" i="2"/>
  <c r="U5" i="3"/>
  <c r="AA190" i="23"/>
  <c r="AB190" i="23"/>
  <c r="O190" i="23"/>
  <c r="AA197" i="23"/>
  <c r="AB197" i="23"/>
  <c r="O197" i="23"/>
  <c r="V210" i="14"/>
  <c r="W210" i="14"/>
  <c r="U185" i="22"/>
  <c r="S185" i="22"/>
  <c r="T185" i="22"/>
  <c r="Q185" i="22"/>
  <c r="X185" i="22"/>
  <c r="Y185" i="22"/>
  <c r="AC185" i="22"/>
  <c r="AD185" i="22"/>
  <c r="V193" i="14"/>
  <c r="W193" i="14"/>
  <c r="AA201" i="22"/>
  <c r="AB201" i="22"/>
  <c r="O201" i="22"/>
  <c r="O191" i="22"/>
  <c r="AA191" i="22"/>
  <c r="AB191" i="22"/>
  <c r="S177" i="23"/>
  <c r="T177" i="23"/>
  <c r="U177" i="23"/>
  <c r="Q177" i="23"/>
  <c r="X177" i="23"/>
  <c r="Y177" i="23"/>
  <c r="AC177" i="23"/>
  <c r="AD177" i="23"/>
  <c r="AT212" i="2"/>
  <c r="O199" i="22"/>
  <c r="AA199" i="22"/>
  <c r="AB199" i="22"/>
  <c r="AA202" i="23"/>
  <c r="AB202" i="23"/>
  <c r="O202" i="23"/>
  <c r="V190" i="14"/>
  <c r="W190" i="14"/>
  <c r="O210" i="22"/>
  <c r="AA210" i="22"/>
  <c r="AB210" i="22"/>
  <c r="U181" i="23"/>
  <c r="Q181" i="23"/>
  <c r="X181" i="23"/>
  <c r="Y181" i="23"/>
  <c r="AC181" i="23"/>
  <c r="AD181" i="23"/>
  <c r="AT216" i="2"/>
  <c r="S181" i="23"/>
  <c r="T181" i="23"/>
  <c r="O193" i="22"/>
  <c r="AA193" i="22"/>
  <c r="AB193" i="22"/>
  <c r="O201" i="23"/>
  <c r="AA201" i="23"/>
  <c r="AB201" i="23"/>
  <c r="AA191" i="23"/>
  <c r="AB191" i="23"/>
  <c r="O191" i="23"/>
  <c r="T179" i="22"/>
  <c r="Q179" i="22"/>
  <c r="X179" i="22"/>
  <c r="Y179" i="22"/>
  <c r="AC179" i="22"/>
  <c r="AD179" i="22"/>
  <c r="S179" i="22"/>
  <c r="U179" i="22"/>
  <c r="U178" i="22"/>
  <c r="T178" i="22"/>
  <c r="Q178" i="22"/>
  <c r="X178" i="22"/>
  <c r="Y178" i="22"/>
  <c r="AC178" i="22"/>
  <c r="AD178" i="22"/>
  <c r="S178" i="22"/>
  <c r="AA208" i="22"/>
  <c r="AB208" i="22"/>
  <c r="O208" i="22"/>
  <c r="S182" i="22"/>
  <c r="U182" i="22"/>
  <c r="T182" i="22"/>
  <c r="Q182" i="22"/>
  <c r="X182" i="22"/>
  <c r="Y182" i="22"/>
  <c r="AC182" i="22"/>
  <c r="AD182" i="22"/>
  <c r="U183" i="23"/>
  <c r="Q183" i="23"/>
  <c r="X183" i="23"/>
  <c r="Y183" i="23"/>
  <c r="AC183" i="23"/>
  <c r="AD183" i="23"/>
  <c r="AT218" i="2"/>
  <c r="T183" i="23"/>
  <c r="S183" i="23"/>
  <c r="S180" i="23"/>
  <c r="T180" i="23"/>
  <c r="U180" i="23"/>
  <c r="Q180" i="23"/>
  <c r="X180" i="23"/>
  <c r="Y180" i="23"/>
  <c r="AC180" i="23"/>
  <c r="AD180" i="23"/>
  <c r="AT215" i="2"/>
  <c r="O196" i="22"/>
  <c r="AA196" i="22"/>
  <c r="AB196" i="22"/>
  <c r="V208" i="14"/>
  <c r="W208" i="14"/>
  <c r="AA198" i="23"/>
  <c r="AB198" i="23"/>
  <c r="O198" i="23"/>
  <c r="U181" i="22"/>
  <c r="S181" i="22"/>
  <c r="T181" i="22"/>
  <c r="Q181" i="22"/>
  <c r="X181" i="22"/>
  <c r="Y181" i="22"/>
  <c r="AC181" i="22"/>
  <c r="AD181" i="22"/>
  <c r="AA194" i="23"/>
  <c r="AB194" i="23"/>
  <c r="O194" i="23"/>
  <c r="U185" i="23"/>
  <c r="Q185" i="23"/>
  <c r="X185" i="23"/>
  <c r="Y185" i="23"/>
  <c r="AC185" i="23"/>
  <c r="AD185" i="23"/>
  <c r="AT220" i="2"/>
  <c r="S185" i="23"/>
  <c r="T185" i="23"/>
  <c r="AA210" i="23"/>
  <c r="AB210" i="23"/>
  <c r="O210" i="23"/>
  <c r="AA193" i="23"/>
  <c r="AB193" i="23"/>
  <c r="O193" i="23"/>
  <c r="AA194" i="22"/>
  <c r="AB194" i="22"/>
  <c r="O194" i="22"/>
  <c r="S188" i="23"/>
  <c r="T188" i="23"/>
  <c r="U188" i="23"/>
  <c r="Q188" i="23"/>
  <c r="X188" i="23"/>
  <c r="Y188" i="23"/>
  <c r="AC188" i="23"/>
  <c r="AD188" i="23"/>
  <c r="AT223" i="2"/>
  <c r="V206" i="3"/>
  <c r="S189" i="23"/>
  <c r="T189" i="23"/>
  <c r="U189" i="23"/>
  <c r="Q189" i="23"/>
  <c r="X189" i="23"/>
  <c r="Y189" i="23"/>
  <c r="AC189" i="23"/>
  <c r="AD189" i="23"/>
  <c r="AT224" i="2"/>
  <c r="AA196" i="23"/>
  <c r="AB196" i="23"/>
  <c r="O196" i="23"/>
  <c r="T189" i="22"/>
  <c r="U189" i="22"/>
  <c r="Q189" i="22"/>
  <c r="X189" i="22"/>
  <c r="Y189" i="22"/>
  <c r="AC189" i="22"/>
  <c r="AD189" i="22"/>
  <c r="S189" i="22"/>
  <c r="O195" i="22"/>
  <c r="AA195" i="22"/>
  <c r="AB195" i="22"/>
  <c r="U187" i="23"/>
  <c r="Q187" i="23"/>
  <c r="X187" i="23"/>
  <c r="Y187" i="23"/>
  <c r="AC187" i="23"/>
  <c r="AD187" i="23"/>
  <c r="AT222" i="2"/>
  <c r="S187" i="23"/>
  <c r="T187" i="23"/>
  <c r="V198" i="14"/>
  <c r="W198" i="14"/>
  <c r="O192" i="22"/>
  <c r="AA192" i="22"/>
  <c r="AB192" i="22"/>
  <c r="O200" i="22"/>
  <c r="AA200" i="22"/>
  <c r="AB200" i="22"/>
  <c r="S187" i="22"/>
  <c r="T187" i="22"/>
  <c r="Q187" i="22"/>
  <c r="X187" i="22"/>
  <c r="Y187" i="22"/>
  <c r="AC187" i="22"/>
  <c r="AD187" i="22"/>
  <c r="U187" i="22"/>
  <c r="U179" i="23"/>
  <c r="Q179" i="23"/>
  <c r="X179" i="23"/>
  <c r="Y179" i="23"/>
  <c r="AC179" i="23"/>
  <c r="AD179" i="23"/>
  <c r="AT214" i="2"/>
  <c r="T179" i="23"/>
  <c r="S179" i="23"/>
  <c r="O203" i="22"/>
  <c r="AA203" i="22"/>
  <c r="AB203" i="22"/>
  <c r="T183" i="22"/>
  <c r="Q183" i="22"/>
  <c r="X183" i="22"/>
  <c r="Y183" i="22"/>
  <c r="AC183" i="22"/>
  <c r="AD183" i="22"/>
  <c r="U183" i="22"/>
  <c r="S183" i="22"/>
  <c r="V194" i="14"/>
  <c r="W194" i="14"/>
  <c r="AA197" i="22"/>
  <c r="AB197" i="22"/>
  <c r="O197" i="22"/>
  <c r="U177" i="22"/>
  <c r="T177" i="22"/>
  <c r="Q177" i="22"/>
  <c r="X177" i="22"/>
  <c r="Y177" i="22"/>
  <c r="AC177" i="22"/>
  <c r="AD177" i="22"/>
  <c r="S177" i="22"/>
  <c r="V196" i="14"/>
  <c r="W196" i="14"/>
  <c r="AA195" i="23"/>
  <c r="AB195" i="23"/>
  <c r="O195" i="23"/>
  <c r="AA198" i="22"/>
  <c r="AB198" i="22"/>
  <c r="O198" i="22"/>
  <c r="AA192" i="23"/>
  <c r="AB192" i="23"/>
  <c r="O192" i="23"/>
  <c r="AA200" i="23"/>
  <c r="AB200" i="23"/>
  <c r="O200" i="23"/>
  <c r="T182" i="23"/>
  <c r="U182" i="23"/>
  <c r="Q182" i="23"/>
  <c r="X182" i="23"/>
  <c r="Y182" i="23"/>
  <c r="AC182" i="23"/>
  <c r="AD182" i="23"/>
  <c r="AT217" i="2"/>
  <c r="S182" i="23"/>
  <c r="AA199" i="23"/>
  <c r="AB199" i="23"/>
  <c r="O199" i="23"/>
  <c r="O202" i="22"/>
  <c r="AA202" i="22"/>
  <c r="AB202" i="22"/>
  <c r="AA203" i="23"/>
  <c r="AB203" i="23"/>
  <c r="O203" i="23"/>
  <c r="AA190" i="22"/>
  <c r="AB190" i="22"/>
  <c r="O190" i="22"/>
  <c r="U184" i="22"/>
  <c r="S184" i="22"/>
  <c r="T184" i="22"/>
  <c r="Q184" i="22"/>
  <c r="X184" i="22"/>
  <c r="Y184" i="22"/>
  <c r="AC184" i="22"/>
  <c r="AD184" i="22"/>
  <c r="T178" i="23"/>
  <c r="S178" i="23"/>
  <c r="U178" i="23"/>
  <c r="Q178" i="23"/>
  <c r="X178" i="23"/>
  <c r="Y178" i="23"/>
  <c r="AC178" i="23"/>
  <c r="AD178" i="23"/>
  <c r="AT213" i="2"/>
  <c r="V191" i="14"/>
  <c r="W191" i="14"/>
  <c r="S180" i="22"/>
  <c r="T180" i="22"/>
  <c r="Q180" i="22"/>
  <c r="X180" i="22"/>
  <c r="Y180" i="22"/>
  <c r="AC180" i="22"/>
  <c r="AD180" i="22"/>
  <c r="U180" i="22"/>
  <c r="O208" i="23"/>
  <c r="AA208" i="23"/>
  <c r="AB208" i="23"/>
  <c r="S188" i="22"/>
  <c r="T188" i="22"/>
  <c r="Q188" i="22"/>
  <c r="X188" i="22"/>
  <c r="Y188" i="22"/>
  <c r="AC188" i="22"/>
  <c r="AD188" i="22"/>
  <c r="U188" i="22"/>
  <c r="S186" i="23"/>
  <c r="T186" i="23"/>
  <c r="U186" i="23"/>
  <c r="Q186" i="23"/>
  <c r="X186" i="23"/>
  <c r="Y186" i="23"/>
  <c r="AC186" i="23"/>
  <c r="AD186" i="23"/>
  <c r="AT221" i="2"/>
  <c r="W197" i="14"/>
  <c r="V197" i="14"/>
  <c r="S186" i="22"/>
  <c r="T186" i="22"/>
  <c r="Q186" i="22"/>
  <c r="X186" i="22"/>
  <c r="Y186" i="22"/>
  <c r="AC186" i="22"/>
  <c r="AD186" i="22"/>
  <c r="U186" i="22"/>
  <c r="V195" i="14"/>
  <c r="W195" i="14"/>
  <c r="W201" i="14"/>
  <c r="V201" i="14"/>
  <c r="V192" i="14"/>
  <c r="W192" i="14"/>
  <c r="V200" i="14"/>
  <c r="W200" i="14"/>
  <c r="U184" i="23"/>
  <c r="Q184" i="23"/>
  <c r="X184" i="23"/>
  <c r="Y184" i="23"/>
  <c r="AC184" i="23"/>
  <c r="AD184" i="23"/>
  <c r="AT219" i="2"/>
  <c r="S184" i="23"/>
  <c r="T184" i="23"/>
  <c r="W199" i="14"/>
  <c r="V199" i="14"/>
  <c r="V202" i="14"/>
  <c r="W202" i="14"/>
  <c r="W203" i="14"/>
  <c r="V203" i="14"/>
  <c r="F153" i="3"/>
  <c r="V199" i="3"/>
  <c r="V201" i="3"/>
  <c r="F155" i="3"/>
  <c r="V200" i="3"/>
  <c r="F154" i="3"/>
  <c r="V208" i="3"/>
  <c r="V214" i="3"/>
  <c r="V203" i="3"/>
  <c r="F157" i="3"/>
  <c r="V209" i="3"/>
  <c r="F152" i="3"/>
  <c r="V198" i="3"/>
  <c r="V216" i="3"/>
  <c r="V207" i="3"/>
  <c r="V217" i="3"/>
  <c r="K140" i="21"/>
  <c r="R140" i="21"/>
  <c r="S140" i="21"/>
  <c r="V140" i="21"/>
  <c r="W140" i="21"/>
  <c r="AR175" i="2"/>
  <c r="K135" i="21"/>
  <c r="R135" i="21"/>
  <c r="S135" i="21"/>
  <c r="V135" i="21"/>
  <c r="W135" i="21"/>
  <c r="AR170" i="2"/>
  <c r="K131" i="21"/>
  <c r="R131" i="21"/>
  <c r="S131" i="21"/>
  <c r="V131" i="21"/>
  <c r="W131" i="21"/>
  <c r="AR166" i="2"/>
  <c r="J163" i="21"/>
  <c r="T163" i="21"/>
  <c r="U163" i="21"/>
  <c r="U157" i="3"/>
  <c r="J160" i="21"/>
  <c r="T160" i="21"/>
  <c r="U160" i="21"/>
  <c r="U154" i="3"/>
  <c r="N144" i="21"/>
  <c r="O144" i="21"/>
  <c r="M144" i="21"/>
  <c r="K144" i="21"/>
  <c r="R144" i="21"/>
  <c r="S144" i="21"/>
  <c r="V144" i="21"/>
  <c r="W144" i="21"/>
  <c r="AR179" i="2"/>
  <c r="N36" i="21"/>
  <c r="O36" i="21"/>
  <c r="M36" i="21"/>
  <c r="K36" i="21"/>
  <c r="R36" i="21"/>
  <c r="S36" i="21"/>
  <c r="V36" i="21"/>
  <c r="W36" i="21"/>
  <c r="AR71" i="2"/>
  <c r="M79" i="21"/>
  <c r="K79" i="21"/>
  <c r="R79" i="21"/>
  <c r="S79" i="21"/>
  <c r="V79" i="21"/>
  <c r="W79" i="21"/>
  <c r="AR114" i="2"/>
  <c r="O79" i="21"/>
  <c r="N79" i="21"/>
  <c r="N64" i="21"/>
  <c r="M64" i="21"/>
  <c r="K64" i="21"/>
  <c r="R64" i="21"/>
  <c r="S64" i="21"/>
  <c r="V64" i="21"/>
  <c r="W64" i="21"/>
  <c r="AR99" i="2"/>
  <c r="O64" i="21"/>
  <c r="N102" i="21"/>
  <c r="M102" i="21"/>
  <c r="K102" i="21"/>
  <c r="R102" i="21"/>
  <c r="S102" i="21"/>
  <c r="O102" i="21"/>
  <c r="O97" i="21"/>
  <c r="N97" i="21"/>
  <c r="M97" i="21"/>
  <c r="K97" i="21"/>
  <c r="R97" i="21"/>
  <c r="S97" i="21"/>
  <c r="V97" i="21"/>
  <c r="W97" i="21"/>
  <c r="AR132" i="2"/>
  <c r="M106" i="21"/>
  <c r="K106" i="21"/>
  <c r="R106" i="21"/>
  <c r="S106" i="21"/>
  <c r="V106" i="21"/>
  <c r="W106" i="21"/>
  <c r="AR141" i="2"/>
  <c r="N106" i="21"/>
  <c r="O106" i="21"/>
  <c r="O143" i="21"/>
  <c r="N143" i="21"/>
  <c r="M143" i="21"/>
  <c r="N52" i="21"/>
  <c r="M52" i="21"/>
  <c r="K52" i="21"/>
  <c r="R52" i="21"/>
  <c r="S52" i="21"/>
  <c r="V52" i="21"/>
  <c r="W52" i="21"/>
  <c r="AR87" i="2"/>
  <c r="O52" i="21"/>
  <c r="N61" i="21"/>
  <c r="M61" i="21"/>
  <c r="K61" i="21"/>
  <c r="R61" i="21"/>
  <c r="S61" i="21"/>
  <c r="V61" i="21"/>
  <c r="W61" i="21"/>
  <c r="AR96" i="2"/>
  <c r="O61" i="21"/>
  <c r="M78" i="21"/>
  <c r="K78" i="21"/>
  <c r="R78" i="21"/>
  <c r="S78" i="21"/>
  <c r="V78" i="21"/>
  <c r="W78" i="21"/>
  <c r="AR113" i="2"/>
  <c r="O78" i="21"/>
  <c r="N78" i="21"/>
  <c r="O95" i="21"/>
  <c r="M95" i="21"/>
  <c r="K95" i="21"/>
  <c r="R95" i="21"/>
  <c r="S95" i="21"/>
  <c r="V95" i="21"/>
  <c r="W95" i="21"/>
  <c r="AR130" i="2"/>
  <c r="N95" i="21"/>
  <c r="O49" i="21"/>
  <c r="M49" i="21"/>
  <c r="K49" i="21"/>
  <c r="R49" i="21"/>
  <c r="S49" i="21"/>
  <c r="V49" i="21"/>
  <c r="W49" i="21"/>
  <c r="AR84" i="2"/>
  <c r="N49" i="21"/>
  <c r="M120" i="21"/>
  <c r="O120" i="21"/>
  <c r="N120" i="21"/>
  <c r="M18" i="21"/>
  <c r="N18" i="21"/>
  <c r="K18" i="21"/>
  <c r="R18" i="21"/>
  <c r="O18" i="21"/>
  <c r="O139" i="21"/>
  <c r="M139" i="21"/>
  <c r="N139" i="21"/>
  <c r="K139" i="21"/>
  <c r="R139" i="21"/>
  <c r="S139" i="21"/>
  <c r="V139" i="21"/>
  <c r="W139" i="21"/>
  <c r="AR174" i="2"/>
  <c r="M138" i="21"/>
  <c r="O138" i="21"/>
  <c r="N138" i="21"/>
  <c r="N60" i="21"/>
  <c r="O60" i="21"/>
  <c r="M60" i="21"/>
  <c r="K60" i="21"/>
  <c r="R60" i="21"/>
  <c r="S60" i="21"/>
  <c r="V60" i="21"/>
  <c r="W60" i="21"/>
  <c r="AR95" i="2"/>
  <c r="O123" i="21"/>
  <c r="N123" i="21"/>
  <c r="M123" i="21"/>
  <c r="K123" i="21"/>
  <c r="R123" i="21"/>
  <c r="S123" i="21"/>
  <c r="V123" i="21"/>
  <c r="W123" i="21"/>
  <c r="AR158" i="2"/>
  <c r="O145" i="21"/>
  <c r="N145" i="21"/>
  <c r="M145" i="21"/>
  <c r="K145" i="21"/>
  <c r="R145" i="21"/>
  <c r="S145" i="21"/>
  <c r="V145" i="21"/>
  <c r="W145" i="21"/>
  <c r="AR180" i="2"/>
  <c r="O100" i="21"/>
  <c r="M100" i="21"/>
  <c r="K100" i="21"/>
  <c r="R100" i="21"/>
  <c r="S100" i="21"/>
  <c r="V100" i="21"/>
  <c r="W100" i="21"/>
  <c r="AR135" i="2"/>
  <c r="N100" i="21"/>
  <c r="O109" i="21"/>
  <c r="M109" i="21"/>
  <c r="K109" i="21"/>
  <c r="R109" i="21"/>
  <c r="S109" i="21"/>
  <c r="V109" i="21"/>
  <c r="W109" i="21"/>
  <c r="AR144" i="2"/>
  <c r="N109" i="21"/>
  <c r="O15" i="21"/>
  <c r="N15" i="21"/>
  <c r="M15" i="21"/>
  <c r="O43" i="21"/>
  <c r="M43" i="21"/>
  <c r="K43" i="21"/>
  <c r="R43" i="21"/>
  <c r="S43" i="21"/>
  <c r="V43" i="21"/>
  <c r="W43" i="21"/>
  <c r="AR78" i="2"/>
  <c r="N43" i="21"/>
  <c r="O19" i="21"/>
  <c r="N19" i="21"/>
  <c r="M19" i="21"/>
  <c r="O104" i="21"/>
  <c r="N104" i="21"/>
  <c r="M104" i="21"/>
  <c r="K104" i="21"/>
  <c r="R104" i="21"/>
  <c r="S104" i="21"/>
  <c r="V104" i="21"/>
  <c r="W104" i="21"/>
  <c r="AR139" i="2"/>
  <c r="O148" i="21"/>
  <c r="N148" i="21"/>
  <c r="M148" i="21"/>
  <c r="K148" i="21"/>
  <c r="R148" i="21"/>
  <c r="S148" i="21"/>
  <c r="V148" i="21"/>
  <c r="W148" i="21"/>
  <c r="AR183" i="2"/>
  <c r="N117" i="21"/>
  <c r="O117" i="21"/>
  <c r="M117" i="21"/>
  <c r="K117" i="21"/>
  <c r="R117" i="21"/>
  <c r="S117" i="21"/>
  <c r="M59" i="21"/>
  <c r="K59" i="21"/>
  <c r="R59" i="21"/>
  <c r="S59" i="21"/>
  <c r="V59" i="21"/>
  <c r="W59" i="21"/>
  <c r="AR94" i="2"/>
  <c r="N59" i="21"/>
  <c r="O59" i="21"/>
  <c r="N88" i="21"/>
  <c r="O88" i="21"/>
  <c r="M88" i="21"/>
  <c r="K88" i="21"/>
  <c r="R88" i="21"/>
  <c r="S88" i="21"/>
  <c r="V88" i="21"/>
  <c r="W88" i="21"/>
  <c r="AR123" i="2"/>
  <c r="O134" i="21"/>
  <c r="M134" i="21"/>
  <c r="N134" i="21"/>
  <c r="O155" i="21"/>
  <c r="M155" i="21"/>
  <c r="N155" i="21"/>
  <c r="O127" i="21"/>
  <c r="M127" i="21"/>
  <c r="N127" i="21"/>
  <c r="K127" i="21"/>
  <c r="R127" i="21"/>
  <c r="S127" i="21"/>
  <c r="V127" i="21"/>
  <c r="W127" i="21"/>
  <c r="AR162" i="2"/>
  <c r="O116" i="21"/>
  <c r="M116" i="21"/>
  <c r="K116" i="21"/>
  <c r="R116" i="21"/>
  <c r="S116" i="21"/>
  <c r="V116" i="21"/>
  <c r="W116" i="21"/>
  <c r="AR151" i="2"/>
  <c r="N116" i="21"/>
  <c r="O14" i="21"/>
  <c r="M14" i="21"/>
  <c r="N14" i="21"/>
  <c r="N31" i="21"/>
  <c r="M31" i="21"/>
  <c r="O31" i="21"/>
  <c r="O32" i="21"/>
  <c r="N32" i="21"/>
  <c r="M32" i="21"/>
  <c r="O51" i="21"/>
  <c r="M51" i="21"/>
  <c r="K51" i="21"/>
  <c r="R51" i="21"/>
  <c r="S51" i="21"/>
  <c r="V51" i="21"/>
  <c r="W51" i="21"/>
  <c r="AR86" i="2"/>
  <c r="N51" i="21"/>
  <c r="O89" i="21"/>
  <c r="M89" i="21"/>
  <c r="K89" i="21"/>
  <c r="R89" i="21"/>
  <c r="S89" i="21"/>
  <c r="V89" i="21"/>
  <c r="W89" i="21"/>
  <c r="AR124" i="2"/>
  <c r="N89" i="21"/>
  <c r="M73" i="21"/>
  <c r="K73" i="21"/>
  <c r="R73" i="21"/>
  <c r="S73" i="21"/>
  <c r="V73" i="21"/>
  <c r="W73" i="21"/>
  <c r="AR108" i="2"/>
  <c r="O73" i="21"/>
  <c r="N73" i="21"/>
  <c r="O153" i="21"/>
  <c r="M153" i="21"/>
  <c r="N153" i="21"/>
  <c r="N156" i="21"/>
  <c r="O156" i="21"/>
  <c r="M156" i="21"/>
  <c r="K156" i="21"/>
  <c r="R156" i="21"/>
  <c r="S156" i="21"/>
  <c r="V156" i="21"/>
  <c r="W156" i="21"/>
  <c r="AR191" i="2"/>
  <c r="O129" i="21"/>
  <c r="M129" i="21"/>
  <c r="N129" i="21"/>
  <c r="O22" i="21"/>
  <c r="M22" i="21"/>
  <c r="N22" i="21"/>
  <c r="N39" i="21"/>
  <c r="M39" i="21"/>
  <c r="K39" i="21"/>
  <c r="R39" i="21"/>
  <c r="S39" i="21"/>
  <c r="V39" i="21"/>
  <c r="W39" i="21"/>
  <c r="AR74" i="2"/>
  <c r="O39" i="21"/>
  <c r="N91" i="21"/>
  <c r="O91" i="21"/>
  <c r="M91" i="21"/>
  <c r="K91" i="21"/>
  <c r="R91" i="21"/>
  <c r="S91" i="21"/>
  <c r="V91" i="21"/>
  <c r="W91" i="21"/>
  <c r="AR126" i="2"/>
  <c r="O141" i="21"/>
  <c r="M141" i="21"/>
  <c r="N141" i="21"/>
  <c r="M50" i="21"/>
  <c r="K50" i="21"/>
  <c r="R50" i="21"/>
  <c r="S50" i="21"/>
  <c r="V50" i="21"/>
  <c r="W50" i="21"/>
  <c r="AR85" i="2"/>
  <c r="N50" i="21"/>
  <c r="O50" i="21"/>
  <c r="N72" i="21"/>
  <c r="O72" i="21"/>
  <c r="M72" i="21"/>
  <c r="K72" i="21"/>
  <c r="R72" i="21"/>
  <c r="S72" i="21"/>
  <c r="V72" i="21"/>
  <c r="W72" i="21"/>
  <c r="AR107" i="2"/>
  <c r="N128" i="21"/>
  <c r="M128" i="21"/>
  <c r="K128" i="21"/>
  <c r="R128" i="21"/>
  <c r="S128" i="21"/>
  <c r="V128" i="21"/>
  <c r="W128" i="21"/>
  <c r="AR163" i="2"/>
  <c r="O128" i="21"/>
  <c r="N137" i="21"/>
  <c r="M137" i="21"/>
  <c r="K137" i="21"/>
  <c r="R137" i="21"/>
  <c r="S137" i="21"/>
  <c r="V137" i="21"/>
  <c r="W137" i="21"/>
  <c r="AR172" i="2"/>
  <c r="O137" i="21"/>
  <c r="O21" i="21"/>
  <c r="M21" i="21"/>
  <c r="N21" i="21"/>
  <c r="M55" i="21"/>
  <c r="K55" i="21"/>
  <c r="R55" i="21"/>
  <c r="S55" i="21"/>
  <c r="V55" i="21"/>
  <c r="W55" i="21"/>
  <c r="AR90" i="2"/>
  <c r="O55" i="21"/>
  <c r="N55" i="21"/>
  <c r="O99" i="21"/>
  <c r="N99" i="21"/>
  <c r="M99" i="21"/>
  <c r="K99" i="21"/>
  <c r="R99" i="21"/>
  <c r="S99" i="21"/>
  <c r="V99" i="21"/>
  <c r="W99" i="21"/>
  <c r="AR134" i="2"/>
  <c r="O149" i="21"/>
  <c r="M149" i="21"/>
  <c r="N149" i="21"/>
  <c r="J161" i="21"/>
  <c r="T161" i="21"/>
  <c r="U161" i="21"/>
  <c r="U155" i="3"/>
  <c r="J159" i="21"/>
  <c r="T159" i="21"/>
  <c r="U159" i="21"/>
  <c r="U153" i="3"/>
  <c r="N124" i="21"/>
  <c r="M124" i="21"/>
  <c r="K124" i="21"/>
  <c r="R124" i="21"/>
  <c r="S124" i="21"/>
  <c r="V124" i="21"/>
  <c r="W124" i="21"/>
  <c r="AR159" i="2"/>
  <c r="O124" i="21"/>
  <c r="N157" i="21"/>
  <c r="M157" i="21"/>
  <c r="K157" i="21"/>
  <c r="R157" i="21"/>
  <c r="S157" i="21"/>
  <c r="V157" i="21"/>
  <c r="W157" i="21"/>
  <c r="AR192" i="2"/>
  <c r="O157" i="21"/>
  <c r="N68" i="21"/>
  <c r="M68" i="21"/>
  <c r="K68" i="21"/>
  <c r="R68" i="21"/>
  <c r="S68" i="21"/>
  <c r="V68" i="21"/>
  <c r="W68" i="21"/>
  <c r="AR103" i="2"/>
  <c r="O68" i="21"/>
  <c r="M77" i="21"/>
  <c r="K77" i="21"/>
  <c r="R77" i="21"/>
  <c r="S77" i="21"/>
  <c r="V77" i="21"/>
  <c r="W77" i="21"/>
  <c r="AR112" i="2"/>
  <c r="O77" i="21"/>
  <c r="N77" i="21"/>
  <c r="O94" i="21"/>
  <c r="M94" i="21"/>
  <c r="K94" i="21"/>
  <c r="R94" i="21"/>
  <c r="S94" i="21"/>
  <c r="V94" i="21"/>
  <c r="W94" i="21"/>
  <c r="AR129" i="2"/>
  <c r="N94" i="21"/>
  <c r="M111" i="21"/>
  <c r="K111" i="21"/>
  <c r="R111" i="21"/>
  <c r="S111" i="21"/>
  <c r="V111" i="21"/>
  <c r="W111" i="21"/>
  <c r="AR146" i="2"/>
  <c r="N111" i="21"/>
  <c r="O111" i="21"/>
  <c r="M81" i="21"/>
  <c r="K81" i="21"/>
  <c r="R81" i="21"/>
  <c r="S81" i="21"/>
  <c r="V81" i="21"/>
  <c r="W81" i="21"/>
  <c r="AR116" i="2"/>
  <c r="N81" i="21"/>
  <c r="O81" i="21"/>
  <c r="N42" i="21"/>
  <c r="M42" i="21"/>
  <c r="K42" i="21"/>
  <c r="R42" i="21"/>
  <c r="S42" i="21"/>
  <c r="V42" i="21"/>
  <c r="W42" i="21"/>
  <c r="AR77" i="2"/>
  <c r="O42" i="21"/>
  <c r="O133" i="21"/>
  <c r="M133" i="21"/>
  <c r="N133" i="21"/>
  <c r="M53" i="21"/>
  <c r="K53" i="21"/>
  <c r="R53" i="21"/>
  <c r="S53" i="21"/>
  <c r="V53" i="21"/>
  <c r="W53" i="21"/>
  <c r="AR88" i="2"/>
  <c r="O53" i="21"/>
  <c r="N53" i="21"/>
  <c r="V102" i="21"/>
  <c r="W102" i="21"/>
  <c r="AR137" i="2"/>
  <c r="O87" i="21"/>
  <c r="N87" i="21"/>
  <c r="M87" i="21"/>
  <c r="K87" i="21"/>
  <c r="R87" i="21"/>
  <c r="S87" i="21"/>
  <c r="V87" i="21"/>
  <c r="W87" i="21"/>
  <c r="AR122" i="2"/>
  <c r="M35" i="21"/>
  <c r="N35" i="21"/>
  <c r="K35" i="21"/>
  <c r="R35" i="21"/>
  <c r="S35" i="21"/>
  <c r="V35" i="21"/>
  <c r="W35" i="21"/>
  <c r="AR70" i="2"/>
  <c r="O35" i="21"/>
  <c r="O41" i="21"/>
  <c r="M41" i="21"/>
  <c r="K41" i="21"/>
  <c r="R41" i="21"/>
  <c r="S41" i="21"/>
  <c r="V41" i="21"/>
  <c r="W41" i="21"/>
  <c r="AR76" i="2"/>
  <c r="N41" i="21"/>
  <c r="O162" i="21"/>
  <c r="M162" i="21"/>
  <c r="N162" i="21"/>
  <c r="O84" i="21"/>
  <c r="N84" i="21"/>
  <c r="M84" i="21"/>
  <c r="K84" i="21"/>
  <c r="R84" i="21"/>
  <c r="S84" i="21"/>
  <c r="V84" i="21"/>
  <c r="W84" i="21"/>
  <c r="AR119" i="2"/>
  <c r="N93" i="21"/>
  <c r="M93" i="21"/>
  <c r="K93" i="21"/>
  <c r="R93" i="21"/>
  <c r="S93" i="21"/>
  <c r="V93" i="21"/>
  <c r="W93" i="21"/>
  <c r="AR128" i="2"/>
  <c r="O93" i="21"/>
  <c r="N110" i="21"/>
  <c r="M110" i="21"/>
  <c r="K110" i="21"/>
  <c r="R110" i="21"/>
  <c r="S110" i="21"/>
  <c r="V110" i="21"/>
  <c r="W110" i="21"/>
  <c r="AR145" i="2"/>
  <c r="O110" i="21"/>
  <c r="O75" i="21"/>
  <c r="N75" i="21"/>
  <c r="M75" i="21"/>
  <c r="K75" i="21"/>
  <c r="R75" i="21"/>
  <c r="S75" i="21"/>
  <c r="V75" i="21"/>
  <c r="W75" i="21"/>
  <c r="AR110" i="2"/>
  <c r="M113" i="21"/>
  <c r="K113" i="21"/>
  <c r="R113" i="21"/>
  <c r="S113" i="21"/>
  <c r="V113" i="21"/>
  <c r="W113" i="21"/>
  <c r="AR148" i="2"/>
  <c r="N113" i="21"/>
  <c r="O113" i="21"/>
  <c r="N74" i="21"/>
  <c r="M74" i="21"/>
  <c r="K74" i="21"/>
  <c r="R74" i="21"/>
  <c r="S74" i="21"/>
  <c r="V74" i="21"/>
  <c r="W74" i="21"/>
  <c r="AR109" i="2"/>
  <c r="O74" i="21"/>
  <c r="M40" i="21"/>
  <c r="K40" i="21"/>
  <c r="R40" i="21"/>
  <c r="S40" i="21"/>
  <c r="V40" i="21"/>
  <c r="W40" i="21"/>
  <c r="AR75" i="2"/>
  <c r="N40" i="21"/>
  <c r="O40" i="21"/>
  <c r="O136" i="21"/>
  <c r="N136" i="21"/>
  <c r="M136" i="21"/>
  <c r="O92" i="21"/>
  <c r="N92" i="21"/>
  <c r="M92" i="21"/>
  <c r="K92" i="21"/>
  <c r="R92" i="21"/>
  <c r="S92" i="21"/>
  <c r="V92" i="21"/>
  <c r="W92" i="21"/>
  <c r="AR127" i="2"/>
  <c r="N101" i="21"/>
  <c r="M101" i="21"/>
  <c r="K101" i="21"/>
  <c r="R101" i="21"/>
  <c r="S101" i="21"/>
  <c r="V101" i="21"/>
  <c r="W101" i="21"/>
  <c r="AR136" i="2"/>
  <c r="O101" i="21"/>
  <c r="M118" i="21"/>
  <c r="K118" i="21"/>
  <c r="R118" i="21"/>
  <c r="S118" i="21"/>
  <c r="V118" i="21"/>
  <c r="W118" i="21"/>
  <c r="AR153" i="2"/>
  <c r="O118" i="21"/>
  <c r="N118" i="21"/>
  <c r="O27" i="21"/>
  <c r="N27" i="21"/>
  <c r="M27" i="21"/>
  <c r="M65" i="21"/>
  <c r="K65" i="21"/>
  <c r="R65" i="21"/>
  <c r="S65" i="21"/>
  <c r="V65" i="21"/>
  <c r="W65" i="21"/>
  <c r="AR100" i="2"/>
  <c r="N65" i="21"/>
  <c r="O65" i="21"/>
  <c r="N58" i="21"/>
  <c r="M58" i="21"/>
  <c r="K58" i="21"/>
  <c r="R58" i="21"/>
  <c r="S58" i="21"/>
  <c r="V58" i="21"/>
  <c r="W58" i="21"/>
  <c r="AR93" i="2"/>
  <c r="O58" i="21"/>
  <c r="M82" i="21"/>
  <c r="K82" i="21"/>
  <c r="R82" i="21"/>
  <c r="S82" i="21"/>
  <c r="V82" i="21"/>
  <c r="W82" i="21"/>
  <c r="AR117" i="2"/>
  <c r="N82" i="21"/>
  <c r="O82" i="21"/>
  <c r="O83" i="21"/>
  <c r="M83" i="21"/>
  <c r="K83" i="21"/>
  <c r="R83" i="21"/>
  <c r="S83" i="21"/>
  <c r="V83" i="21"/>
  <c r="W83" i="21"/>
  <c r="AR118" i="2"/>
  <c r="N83" i="21"/>
  <c r="N130" i="21"/>
  <c r="O130" i="21"/>
  <c r="M130" i="21"/>
  <c r="M76" i="21"/>
  <c r="K76" i="21"/>
  <c r="R76" i="21"/>
  <c r="S76" i="21"/>
  <c r="V76" i="21"/>
  <c r="W76" i="21"/>
  <c r="AR111" i="2"/>
  <c r="N76" i="21"/>
  <c r="O76" i="21"/>
  <c r="O23" i="21"/>
  <c r="N23" i="21"/>
  <c r="M23" i="21"/>
  <c r="K23" i="21"/>
  <c r="R23" i="21"/>
  <c r="O33" i="21"/>
  <c r="M33" i="21"/>
  <c r="N33" i="21"/>
  <c r="K33" i="21"/>
  <c r="R33" i="21"/>
  <c r="S33" i="21"/>
  <c r="V33" i="21"/>
  <c r="W33" i="21"/>
  <c r="AR68" i="2"/>
  <c r="M122" i="21"/>
  <c r="N122" i="21"/>
  <c r="K122" i="21"/>
  <c r="R122" i="21"/>
  <c r="S122" i="21"/>
  <c r="V122" i="21"/>
  <c r="W122" i="21"/>
  <c r="AR157" i="2"/>
  <c r="O122" i="21"/>
  <c r="M45" i="21"/>
  <c r="K45" i="21"/>
  <c r="R45" i="21"/>
  <c r="S45" i="21"/>
  <c r="V45" i="21"/>
  <c r="W45" i="21"/>
  <c r="AR80" i="2"/>
  <c r="N45" i="21"/>
  <c r="O45" i="21"/>
  <c r="M62" i="21"/>
  <c r="K62" i="21"/>
  <c r="R62" i="21"/>
  <c r="S62" i="21"/>
  <c r="V62" i="21"/>
  <c r="W62" i="21"/>
  <c r="AR97" i="2"/>
  <c r="O62" i="21"/>
  <c r="N62" i="21"/>
  <c r="O25" i="21"/>
  <c r="N25" i="21"/>
  <c r="M25" i="21"/>
  <c r="M154" i="21"/>
  <c r="N154" i="21"/>
  <c r="K154" i="21"/>
  <c r="R154" i="21"/>
  <c r="S154" i="21"/>
  <c r="V154" i="21"/>
  <c r="W154" i="21"/>
  <c r="AR189" i="2"/>
  <c r="O154" i="21"/>
  <c r="N108" i="21"/>
  <c r="M108" i="21"/>
  <c r="K108" i="21"/>
  <c r="R108" i="21"/>
  <c r="S108" i="21"/>
  <c r="V108" i="21"/>
  <c r="W108" i="21"/>
  <c r="AR143" i="2"/>
  <c r="O108" i="21"/>
  <c r="N69" i="21"/>
  <c r="O69" i="21"/>
  <c r="M69" i="21"/>
  <c r="K69" i="21"/>
  <c r="R69" i="21"/>
  <c r="S69" i="21"/>
  <c r="V69" i="21"/>
  <c r="W69" i="21"/>
  <c r="AR104" i="2"/>
  <c r="N86" i="21"/>
  <c r="M86" i="21"/>
  <c r="K86" i="21"/>
  <c r="R86" i="21"/>
  <c r="S86" i="21"/>
  <c r="V86" i="21"/>
  <c r="W86" i="21"/>
  <c r="AR121" i="2"/>
  <c r="O86" i="21"/>
  <c r="N103" i="21"/>
  <c r="O103" i="21"/>
  <c r="M103" i="21"/>
  <c r="K103" i="21"/>
  <c r="R103" i="21"/>
  <c r="S103" i="21"/>
  <c r="V103" i="21"/>
  <c r="W103" i="21"/>
  <c r="AR138" i="2"/>
  <c r="O112" i="21"/>
  <c r="N112" i="21"/>
  <c r="M112" i="21"/>
  <c r="K112" i="21"/>
  <c r="R112" i="21"/>
  <c r="S112" i="21"/>
  <c r="V112" i="21"/>
  <c r="W112" i="21"/>
  <c r="AR147" i="2"/>
  <c r="O24" i="21"/>
  <c r="N24" i="21"/>
  <c r="M24" i="21"/>
  <c r="K24" i="21"/>
  <c r="R24" i="21"/>
  <c r="N98" i="21"/>
  <c r="M98" i="21"/>
  <c r="K98" i="21"/>
  <c r="R98" i="21"/>
  <c r="S98" i="21"/>
  <c r="V98" i="21"/>
  <c r="W98" i="21"/>
  <c r="AR133" i="2"/>
  <c r="O98" i="21"/>
  <c r="O17" i="21"/>
  <c r="N17" i="21"/>
  <c r="M17" i="21"/>
  <c r="N114" i="21"/>
  <c r="M114" i="21"/>
  <c r="K114" i="21"/>
  <c r="R114" i="21"/>
  <c r="S114" i="21"/>
  <c r="V114" i="21"/>
  <c r="W114" i="21"/>
  <c r="AR149" i="2"/>
  <c r="O114" i="21"/>
  <c r="O44" i="21"/>
  <c r="M44" i="21"/>
  <c r="K44" i="21"/>
  <c r="R44" i="21"/>
  <c r="S44" i="21"/>
  <c r="V44" i="21"/>
  <c r="W44" i="21"/>
  <c r="AR79" i="2"/>
  <c r="N44" i="21"/>
  <c r="M70" i="21"/>
  <c r="K70" i="21"/>
  <c r="R70" i="21"/>
  <c r="S70" i="21"/>
  <c r="V70" i="21"/>
  <c r="W70" i="21"/>
  <c r="AR105" i="2"/>
  <c r="N70" i="21"/>
  <c r="O70" i="21"/>
  <c r="O16" i="21"/>
  <c r="M16" i="21"/>
  <c r="N16" i="21"/>
  <c r="K16" i="21"/>
  <c r="R16" i="21"/>
  <c r="M121" i="21"/>
  <c r="O121" i="21"/>
  <c r="N121" i="21"/>
  <c r="J158" i="21"/>
  <c r="T158" i="21"/>
  <c r="U158" i="21"/>
  <c r="U152" i="3"/>
  <c r="N132" i="21"/>
  <c r="M132" i="21"/>
  <c r="O132" i="21"/>
  <c r="M126" i="21"/>
  <c r="N126" i="21"/>
  <c r="K126" i="21"/>
  <c r="R126" i="21"/>
  <c r="S126" i="21"/>
  <c r="V126" i="21"/>
  <c r="W126" i="21"/>
  <c r="AR161" i="2"/>
  <c r="O126" i="21"/>
  <c r="O13" i="21"/>
  <c r="M13" i="21"/>
  <c r="N13" i="21"/>
  <c r="O30" i="21"/>
  <c r="M30" i="21"/>
  <c r="N30" i="21"/>
  <c r="O47" i="21"/>
  <c r="M47" i="21"/>
  <c r="K47" i="21"/>
  <c r="R47" i="21"/>
  <c r="S47" i="21"/>
  <c r="V47" i="21"/>
  <c r="W47" i="21"/>
  <c r="AR82" i="2"/>
  <c r="N47" i="21"/>
  <c r="M107" i="21"/>
  <c r="K107" i="21"/>
  <c r="R107" i="21"/>
  <c r="S107" i="21"/>
  <c r="V107" i="21"/>
  <c r="W107" i="21"/>
  <c r="AR142" i="2"/>
  <c r="N107" i="21"/>
  <c r="O107" i="21"/>
  <c r="N56" i="21"/>
  <c r="M56" i="21"/>
  <c r="K56" i="21"/>
  <c r="R56" i="21"/>
  <c r="S56" i="21"/>
  <c r="V56" i="21"/>
  <c r="W56" i="21"/>
  <c r="AR91" i="2"/>
  <c r="O56" i="21"/>
  <c r="N147" i="21"/>
  <c r="O147" i="21"/>
  <c r="M147" i="21"/>
  <c r="O12" i="21"/>
  <c r="M12" i="21"/>
  <c r="N12" i="21"/>
  <c r="V117" i="21"/>
  <c r="W117" i="21"/>
  <c r="AR152" i="2"/>
  <c r="O38" i="21"/>
  <c r="M38" i="21"/>
  <c r="K38" i="21"/>
  <c r="R38" i="21"/>
  <c r="S38" i="21"/>
  <c r="V38" i="21"/>
  <c r="W38" i="21"/>
  <c r="AR73" i="2"/>
  <c r="N38" i="21"/>
  <c r="O80" i="21"/>
  <c r="N80" i="21"/>
  <c r="M80" i="21"/>
  <c r="K80" i="21"/>
  <c r="R80" i="21"/>
  <c r="S80" i="21"/>
  <c r="V80" i="21"/>
  <c r="W80" i="21"/>
  <c r="AR115" i="2"/>
  <c r="O57" i="21"/>
  <c r="N57" i="21"/>
  <c r="M57" i="21"/>
  <c r="K57" i="21"/>
  <c r="R57" i="21"/>
  <c r="S57" i="21"/>
  <c r="V57" i="21"/>
  <c r="W57" i="21"/>
  <c r="AR92" i="2"/>
  <c r="O146" i="21"/>
  <c r="N146" i="21"/>
  <c r="M146" i="21"/>
  <c r="O20" i="21"/>
  <c r="M20" i="21"/>
  <c r="N20" i="21"/>
  <c r="M29" i="21"/>
  <c r="O29" i="21"/>
  <c r="N29" i="21"/>
  <c r="M46" i="21"/>
  <c r="K46" i="21"/>
  <c r="R46" i="21"/>
  <c r="S46" i="21"/>
  <c r="V46" i="21"/>
  <c r="W46" i="21"/>
  <c r="AR81" i="2"/>
  <c r="N46" i="21"/>
  <c r="O46" i="21"/>
  <c r="O63" i="21"/>
  <c r="N63" i="21"/>
  <c r="M63" i="21"/>
  <c r="K63" i="21"/>
  <c r="R63" i="21"/>
  <c r="S63" i="21"/>
  <c r="V63" i="21"/>
  <c r="W63" i="21"/>
  <c r="AR98" i="2"/>
  <c r="M96" i="21"/>
  <c r="K96" i="21"/>
  <c r="R96" i="21"/>
  <c r="S96" i="21"/>
  <c r="V96" i="21"/>
  <c r="W96" i="21"/>
  <c r="AR131" i="2"/>
  <c r="O96" i="21"/>
  <c r="N96" i="21"/>
  <c r="O115" i="21"/>
  <c r="N115" i="21"/>
  <c r="M115" i="21"/>
  <c r="K115" i="21"/>
  <c r="R115" i="21"/>
  <c r="S115" i="21"/>
  <c r="V115" i="21"/>
  <c r="W115" i="21"/>
  <c r="AR150" i="2"/>
  <c r="O66" i="21"/>
  <c r="N66" i="21"/>
  <c r="M66" i="21"/>
  <c r="K66" i="21"/>
  <c r="R66" i="21"/>
  <c r="S66" i="21"/>
  <c r="V66" i="21"/>
  <c r="W66" i="21"/>
  <c r="AR101" i="2"/>
  <c r="M150" i="21"/>
  <c r="N150" i="21"/>
  <c r="K150" i="21"/>
  <c r="R150" i="21"/>
  <c r="S150" i="21"/>
  <c r="V150" i="21"/>
  <c r="W150" i="21"/>
  <c r="AR185" i="2"/>
  <c r="O150" i="21"/>
  <c r="O152" i="21"/>
  <c r="M152" i="21"/>
  <c r="N152" i="21"/>
  <c r="K152" i="21"/>
  <c r="R152" i="21"/>
  <c r="S152" i="21"/>
  <c r="V152" i="21"/>
  <c r="W152" i="21"/>
  <c r="AR187" i="2"/>
  <c r="N28" i="21"/>
  <c r="M28" i="21"/>
  <c r="K28" i="21"/>
  <c r="R28" i="21"/>
  <c r="O28" i="21"/>
  <c r="M37" i="21"/>
  <c r="K37" i="21"/>
  <c r="R37" i="21"/>
  <c r="S37" i="21"/>
  <c r="V37" i="21"/>
  <c r="W37" i="21"/>
  <c r="AR72" i="2"/>
  <c r="O37" i="21"/>
  <c r="N37" i="21"/>
  <c r="M54" i="21"/>
  <c r="K54" i="21"/>
  <c r="R54" i="21"/>
  <c r="S54" i="21"/>
  <c r="V54" i="21"/>
  <c r="W54" i="21"/>
  <c r="AR89" i="2"/>
  <c r="N54" i="21"/>
  <c r="O54" i="21"/>
  <c r="N71" i="21"/>
  <c r="O71" i="21"/>
  <c r="M71" i="21"/>
  <c r="K71" i="21"/>
  <c r="R71" i="21"/>
  <c r="S71" i="21"/>
  <c r="V71" i="21"/>
  <c r="W71" i="21"/>
  <c r="AR106" i="2"/>
  <c r="N48" i="21"/>
  <c r="O48" i="21"/>
  <c r="M48" i="21"/>
  <c r="K48" i="21"/>
  <c r="R48" i="21"/>
  <c r="S48" i="21"/>
  <c r="V48" i="21"/>
  <c r="W48" i="21"/>
  <c r="AR83" i="2"/>
  <c r="O67" i="21"/>
  <c r="M67" i="21"/>
  <c r="K67" i="21"/>
  <c r="R67" i="21"/>
  <c r="S67" i="21"/>
  <c r="V67" i="21"/>
  <c r="W67" i="21"/>
  <c r="AR102" i="2"/>
  <c r="N67" i="21"/>
  <c r="O26" i="21"/>
  <c r="M26" i="21"/>
  <c r="N26" i="21"/>
  <c r="N105" i="21"/>
  <c r="M105" i="21"/>
  <c r="K105" i="21"/>
  <c r="R105" i="21"/>
  <c r="S105" i="21"/>
  <c r="V105" i="21"/>
  <c r="W105" i="21"/>
  <c r="AR140" i="2"/>
  <c r="O105" i="21"/>
  <c r="O90" i="21"/>
  <c r="N90" i="21"/>
  <c r="M90" i="21"/>
  <c r="K90" i="21"/>
  <c r="R90" i="21"/>
  <c r="S90" i="21"/>
  <c r="V90" i="21"/>
  <c r="W90" i="21"/>
  <c r="AR125" i="2"/>
  <c r="O151" i="21"/>
  <c r="M151" i="21"/>
  <c r="N151" i="21"/>
  <c r="O85" i="21"/>
  <c r="N85" i="21"/>
  <c r="M85" i="21"/>
  <c r="K85" i="21"/>
  <c r="R85" i="21"/>
  <c r="S85" i="21"/>
  <c r="V85" i="21"/>
  <c r="W85" i="21"/>
  <c r="AR120" i="2"/>
  <c r="O125" i="21"/>
  <c r="N125" i="21"/>
  <c r="M125" i="21"/>
  <c r="O34" i="21"/>
  <c r="N34" i="21"/>
  <c r="M34" i="21"/>
  <c r="K34" i="21"/>
  <c r="R34" i="21"/>
  <c r="S34" i="21"/>
  <c r="V34" i="21"/>
  <c r="W34" i="21"/>
  <c r="AR69" i="2"/>
  <c r="M142" i="21"/>
  <c r="N142" i="21"/>
  <c r="K142" i="21"/>
  <c r="R142" i="21"/>
  <c r="S142" i="21"/>
  <c r="V142" i="21"/>
  <c r="W142" i="21"/>
  <c r="AR177" i="2"/>
  <c r="O142" i="21"/>
  <c r="N11" i="21"/>
  <c r="M11" i="21"/>
  <c r="K11" i="21"/>
  <c r="R11" i="21"/>
  <c r="O11" i="21"/>
  <c r="AS223" i="2"/>
  <c r="AS222" i="2"/>
  <c r="AS221" i="2"/>
  <c r="AS215" i="2"/>
  <c r="AS218" i="2"/>
  <c r="AS214" i="2"/>
  <c r="AS220" i="2"/>
  <c r="AS224" i="2"/>
  <c r="AS213" i="2"/>
  <c r="AS219" i="2"/>
  <c r="AS212" i="2"/>
  <c r="AS216" i="2"/>
  <c r="AS217" i="2"/>
  <c r="T198" i="22"/>
  <c r="S198" i="22"/>
  <c r="U198" i="22"/>
  <c r="Q198" i="22"/>
  <c r="X198" i="22"/>
  <c r="Y198" i="22"/>
  <c r="AC198" i="22"/>
  <c r="AD198" i="22"/>
  <c r="S199" i="22"/>
  <c r="T199" i="22"/>
  <c r="U199" i="22"/>
  <c r="Q199" i="22"/>
  <c r="X199" i="22"/>
  <c r="Y199" i="22"/>
  <c r="AC199" i="22"/>
  <c r="AD199" i="22"/>
  <c r="T208" i="23"/>
  <c r="S208" i="23"/>
  <c r="U208" i="23"/>
  <c r="Q208" i="23"/>
  <c r="X208" i="23"/>
  <c r="Y208" i="23"/>
  <c r="AC208" i="23"/>
  <c r="AD208" i="23"/>
  <c r="AT243" i="2"/>
  <c r="S200" i="23"/>
  <c r="T200" i="23"/>
  <c r="U200" i="23"/>
  <c r="Q200" i="23"/>
  <c r="X200" i="23"/>
  <c r="Y200" i="23"/>
  <c r="AC200" i="23"/>
  <c r="AD200" i="23"/>
  <c r="AT235" i="2"/>
  <c r="AA222" i="22"/>
  <c r="AB222" i="22"/>
  <c r="O222" i="22"/>
  <c r="W209" i="14"/>
  <c r="V209" i="14"/>
  <c r="V211" i="14"/>
  <c r="W211" i="14"/>
  <c r="AA222" i="23"/>
  <c r="AB222" i="23"/>
  <c r="O222" i="23"/>
  <c r="AA214" i="22"/>
  <c r="AB214" i="22"/>
  <c r="O214" i="22"/>
  <c r="AA212" i="23"/>
  <c r="AB212" i="23"/>
  <c r="O212" i="23"/>
  <c r="S193" i="23"/>
  <c r="T193" i="23"/>
  <c r="U193" i="23"/>
  <c r="Q193" i="23"/>
  <c r="X193" i="23"/>
  <c r="Y193" i="23"/>
  <c r="AC193" i="23"/>
  <c r="AD193" i="23"/>
  <c r="AT228" i="2"/>
  <c r="AA205" i="23"/>
  <c r="AB205" i="23"/>
  <c r="O205" i="23"/>
  <c r="U201" i="22"/>
  <c r="S201" i="22"/>
  <c r="T201" i="22"/>
  <c r="T190" i="23"/>
  <c r="U190" i="23"/>
  <c r="Q190" i="23"/>
  <c r="X190" i="23"/>
  <c r="Y190" i="23"/>
  <c r="AC190" i="23"/>
  <c r="AD190" i="23"/>
  <c r="AT225" i="2"/>
  <c r="S190" i="23"/>
  <c r="W222" i="14"/>
  <c r="V222" i="14"/>
  <c r="W212" i="14"/>
  <c r="V212" i="14"/>
  <c r="T196" i="22"/>
  <c r="S196" i="22"/>
  <c r="U196" i="22"/>
  <c r="Q196" i="22"/>
  <c r="X196" i="22"/>
  <c r="Y196" i="22"/>
  <c r="AC196" i="22"/>
  <c r="AD196" i="22"/>
  <c r="S203" i="22"/>
  <c r="T203" i="22"/>
  <c r="U203" i="22"/>
  <c r="T210" i="23"/>
  <c r="S210" i="23"/>
  <c r="U210" i="23"/>
  <c r="Q210" i="23"/>
  <c r="X210" i="23"/>
  <c r="Y210" i="23"/>
  <c r="AC210" i="23"/>
  <c r="AD210" i="23"/>
  <c r="AT245" i="2"/>
  <c r="U199" i="23"/>
  <c r="Q199" i="23"/>
  <c r="X199" i="23"/>
  <c r="Y199" i="23"/>
  <c r="AC199" i="23"/>
  <c r="AD199" i="23"/>
  <c r="AT234" i="2"/>
  <c r="T199" i="23"/>
  <c r="S199" i="23"/>
  <c r="W206" i="14"/>
  <c r="V206" i="14"/>
  <c r="U200" i="22"/>
  <c r="Q200" i="22"/>
  <c r="X200" i="22"/>
  <c r="Y200" i="22"/>
  <c r="AC200" i="22"/>
  <c r="AD200" i="22"/>
  <c r="T200" i="22"/>
  <c r="S200" i="22"/>
  <c r="O220" i="22"/>
  <c r="AA220" i="22"/>
  <c r="AB220" i="22"/>
  <c r="W223" i="14"/>
  <c r="V223" i="14"/>
  <c r="O209" i="22"/>
  <c r="AA209" i="22"/>
  <c r="AB209" i="22"/>
  <c r="V213" i="14"/>
  <c r="W213" i="14"/>
  <c r="AA215" i="22"/>
  <c r="AB215" i="22"/>
  <c r="O215" i="22"/>
  <c r="T198" i="23"/>
  <c r="U198" i="23"/>
  <c r="Q198" i="23"/>
  <c r="X198" i="23"/>
  <c r="Y198" i="23"/>
  <c r="AC198" i="23"/>
  <c r="AD198" i="23"/>
  <c r="AT233" i="2"/>
  <c r="S198" i="23"/>
  <c r="O223" i="22"/>
  <c r="AA223" i="22"/>
  <c r="AB223" i="22"/>
  <c r="S191" i="23"/>
  <c r="T191" i="23"/>
  <c r="U191" i="23"/>
  <c r="Q191" i="23"/>
  <c r="X191" i="23"/>
  <c r="Y191" i="23"/>
  <c r="AC191" i="23"/>
  <c r="AD191" i="23"/>
  <c r="AT226" i="2"/>
  <c r="AA207" i="23"/>
  <c r="AB207" i="23"/>
  <c r="O207" i="23"/>
  <c r="T192" i="23"/>
  <c r="U192" i="23"/>
  <c r="Q192" i="23"/>
  <c r="X192" i="23"/>
  <c r="Y192" i="23"/>
  <c r="AC192" i="23"/>
  <c r="AD192" i="23"/>
  <c r="AT227" i="2"/>
  <c r="S192" i="23"/>
  <c r="U195" i="23"/>
  <c r="Q195" i="23"/>
  <c r="X195" i="23"/>
  <c r="Y195" i="23"/>
  <c r="AC195" i="23"/>
  <c r="AD195" i="23"/>
  <c r="AT230" i="2"/>
  <c r="S195" i="23"/>
  <c r="T195" i="23"/>
  <c r="V207" i="14"/>
  <c r="W207" i="14"/>
  <c r="S197" i="22"/>
  <c r="U197" i="22"/>
  <c r="Q197" i="22"/>
  <c r="X197" i="22"/>
  <c r="Y197" i="22"/>
  <c r="AC197" i="22"/>
  <c r="AD197" i="22"/>
  <c r="T197" i="22"/>
  <c r="AA206" i="22"/>
  <c r="AB206" i="22"/>
  <c r="O206" i="22"/>
  <c r="AA220" i="23"/>
  <c r="AB220" i="23"/>
  <c r="O220" i="23"/>
  <c r="S201" i="23"/>
  <c r="T201" i="23"/>
  <c r="U201" i="23"/>
  <c r="Q201" i="23"/>
  <c r="X201" i="23"/>
  <c r="Y201" i="23"/>
  <c r="AC201" i="23"/>
  <c r="AD201" i="23"/>
  <c r="AT236" i="2"/>
  <c r="AA209" i="23"/>
  <c r="AB209" i="23"/>
  <c r="O209" i="23"/>
  <c r="U197" i="23"/>
  <c r="Q197" i="23"/>
  <c r="X197" i="23"/>
  <c r="Y197" i="23"/>
  <c r="AC197" i="23"/>
  <c r="AD197" i="23"/>
  <c r="AT232" i="2"/>
  <c r="T197" i="23"/>
  <c r="S197" i="23"/>
  <c r="O204" i="22"/>
  <c r="AA204" i="22"/>
  <c r="AB204" i="22"/>
  <c r="S190" i="22"/>
  <c r="T190" i="22"/>
  <c r="U190" i="22"/>
  <c r="Q190" i="22"/>
  <c r="X190" i="22"/>
  <c r="Y190" i="22"/>
  <c r="AC190" i="22"/>
  <c r="AD190" i="22"/>
  <c r="AA215" i="23"/>
  <c r="AB215" i="23"/>
  <c r="O215" i="23"/>
  <c r="V215" i="14"/>
  <c r="W215" i="14"/>
  <c r="T194" i="23"/>
  <c r="S194" i="23"/>
  <c r="U194" i="23"/>
  <c r="Q194" i="23"/>
  <c r="X194" i="23"/>
  <c r="Y194" i="23"/>
  <c r="AC194" i="23"/>
  <c r="AD194" i="23"/>
  <c r="AT229" i="2"/>
  <c r="AA213" i="23"/>
  <c r="AB213" i="23"/>
  <c r="O213" i="23"/>
  <c r="U203" i="23"/>
  <c r="Q203" i="23"/>
  <c r="X203" i="23"/>
  <c r="Y203" i="23"/>
  <c r="AC203" i="23"/>
  <c r="AD203" i="23"/>
  <c r="AT238" i="2"/>
  <c r="S203" i="23"/>
  <c r="T203" i="23"/>
  <c r="O211" i="22"/>
  <c r="AA211" i="22"/>
  <c r="AB211" i="22"/>
  <c r="AA214" i="23"/>
  <c r="AB214" i="23"/>
  <c r="O214" i="23"/>
  <c r="T192" i="22"/>
  <c r="S192" i="22"/>
  <c r="U192" i="22"/>
  <c r="Q192" i="22"/>
  <c r="X192" i="22"/>
  <c r="Y192" i="22"/>
  <c r="AC192" i="22"/>
  <c r="AD192" i="22"/>
  <c r="T194" i="22"/>
  <c r="U194" i="22"/>
  <c r="Q194" i="22"/>
  <c r="X194" i="22"/>
  <c r="Y194" i="22"/>
  <c r="AC194" i="22"/>
  <c r="AD194" i="22"/>
  <c r="S194" i="22"/>
  <c r="W220" i="14"/>
  <c r="V220" i="14"/>
  <c r="T210" i="22"/>
  <c r="S210" i="22"/>
  <c r="U210" i="22"/>
  <c r="Q210" i="22"/>
  <c r="X210" i="22"/>
  <c r="Y210" i="22"/>
  <c r="AC210" i="22"/>
  <c r="AD210" i="22"/>
  <c r="T202" i="23"/>
  <c r="S202" i="23"/>
  <c r="U202" i="23"/>
  <c r="Q202" i="23"/>
  <c r="X202" i="23"/>
  <c r="Y202" i="23"/>
  <c r="AC202" i="23"/>
  <c r="AD202" i="23"/>
  <c r="AT237" i="2"/>
  <c r="AA204" i="23"/>
  <c r="AB204" i="23"/>
  <c r="O204" i="23"/>
  <c r="S202" i="22"/>
  <c r="T202" i="22"/>
  <c r="U202" i="22"/>
  <c r="Q202" i="22"/>
  <c r="X202" i="22"/>
  <c r="Y202" i="22"/>
  <c r="AC202" i="22"/>
  <c r="AD202" i="22"/>
  <c r="W205" i="14"/>
  <c r="V205" i="14"/>
  <c r="O213" i="22"/>
  <c r="AA213" i="22"/>
  <c r="AB213" i="22"/>
  <c r="AA207" i="22"/>
  <c r="AB207" i="22"/>
  <c r="O207" i="22"/>
  <c r="AA206" i="23"/>
  <c r="AB206" i="23"/>
  <c r="O206" i="23"/>
  <c r="U196" i="23"/>
  <c r="Q196" i="23"/>
  <c r="X196" i="23"/>
  <c r="Y196" i="23"/>
  <c r="AC196" i="23"/>
  <c r="AD196" i="23"/>
  <c r="AT231" i="2"/>
  <c r="S196" i="23"/>
  <c r="T196" i="23"/>
  <c r="AA223" i="23"/>
  <c r="AB223" i="23"/>
  <c r="O223" i="23"/>
  <c r="AA211" i="23"/>
  <c r="AB211" i="23"/>
  <c r="O211" i="23"/>
  <c r="W214" i="14"/>
  <c r="V214" i="14"/>
  <c r="S195" i="22"/>
  <c r="U195" i="22"/>
  <c r="Q195" i="22"/>
  <c r="X195" i="22"/>
  <c r="Y195" i="22"/>
  <c r="AC195" i="22"/>
  <c r="AD195" i="22"/>
  <c r="T195" i="22"/>
  <c r="O212" i="22"/>
  <c r="AA212" i="22"/>
  <c r="AB212" i="22"/>
  <c r="O205" i="22"/>
  <c r="AA205" i="22"/>
  <c r="AB205" i="22"/>
  <c r="T208" i="22"/>
  <c r="S208" i="22"/>
  <c r="U208" i="22"/>
  <c r="Q208" i="22"/>
  <c r="X208" i="22"/>
  <c r="Y208" i="22"/>
  <c r="AC208" i="22"/>
  <c r="AD208" i="22"/>
  <c r="U193" i="22"/>
  <c r="T193" i="22"/>
  <c r="S193" i="22"/>
  <c r="S191" i="22"/>
  <c r="T191" i="22"/>
  <c r="U191" i="22"/>
  <c r="Q191" i="22"/>
  <c r="X191" i="22"/>
  <c r="Y191" i="22"/>
  <c r="AC191" i="22"/>
  <c r="AD191" i="22"/>
  <c r="W204" i="14"/>
  <c r="V204" i="14"/>
  <c r="V213" i="3"/>
  <c r="V227" i="3"/>
  <c r="V220" i="3"/>
  <c r="V219" i="3"/>
  <c r="V228" i="3"/>
  <c r="V218" i="3"/>
  <c r="V215" i="3"/>
  <c r="V211" i="3"/>
  <c r="V225" i="3"/>
  <c r="V212" i="3"/>
  <c r="V210" i="3"/>
  <c r="K12" i="21"/>
  <c r="R12" i="21"/>
  <c r="K30" i="21"/>
  <c r="R30" i="21"/>
  <c r="K25" i="21"/>
  <c r="R25" i="21"/>
  <c r="K27" i="21"/>
  <c r="R27" i="21"/>
  <c r="K136" i="21"/>
  <c r="R136" i="21"/>
  <c r="S136" i="21"/>
  <c r="V136" i="21"/>
  <c r="W136" i="21"/>
  <c r="AR171" i="2"/>
  <c r="K149" i="21"/>
  <c r="R149" i="21"/>
  <c r="S149" i="21"/>
  <c r="V149" i="21"/>
  <c r="W149" i="21"/>
  <c r="AR184" i="2"/>
  <c r="K141" i="21"/>
  <c r="R141" i="21"/>
  <c r="S141" i="21"/>
  <c r="V141" i="21"/>
  <c r="W141" i="21"/>
  <c r="AR176" i="2"/>
  <c r="K129" i="21"/>
  <c r="R129" i="21"/>
  <c r="S129" i="21"/>
  <c r="V129" i="21"/>
  <c r="W129" i="21"/>
  <c r="AR164" i="2"/>
  <c r="K14" i="21"/>
  <c r="R14" i="21"/>
  <c r="K134" i="21"/>
  <c r="R134" i="21"/>
  <c r="S134" i="21"/>
  <c r="V134" i="21"/>
  <c r="W134" i="21"/>
  <c r="AR169" i="2"/>
  <c r="K138" i="21"/>
  <c r="R138" i="21"/>
  <c r="S138" i="21"/>
  <c r="V138" i="21"/>
  <c r="W138" i="21"/>
  <c r="AR173" i="2"/>
  <c r="K20" i="21"/>
  <c r="R20" i="21"/>
  <c r="K162" i="21"/>
  <c r="R162" i="21"/>
  <c r="S162" i="21"/>
  <c r="V162" i="21"/>
  <c r="W162" i="21"/>
  <c r="AR197" i="2"/>
  <c r="K125" i="21"/>
  <c r="R125" i="21"/>
  <c r="S125" i="21"/>
  <c r="V125" i="21"/>
  <c r="W125" i="21"/>
  <c r="AR160" i="2"/>
  <c r="K146" i="21"/>
  <c r="R146" i="21"/>
  <c r="S146" i="21"/>
  <c r="V146" i="21"/>
  <c r="W146" i="21"/>
  <c r="AR181" i="2"/>
  <c r="K147" i="21"/>
  <c r="R147" i="21"/>
  <c r="S147" i="21"/>
  <c r="V147" i="21"/>
  <c r="W147" i="21"/>
  <c r="AR182" i="2"/>
  <c r="K132" i="21"/>
  <c r="R132" i="21"/>
  <c r="S132" i="21"/>
  <c r="V132" i="21"/>
  <c r="W132" i="21"/>
  <c r="AR167" i="2"/>
  <c r="K17" i="21"/>
  <c r="R17" i="21"/>
  <c r="K130" i="21"/>
  <c r="R130" i="21"/>
  <c r="S130" i="21"/>
  <c r="V130" i="21"/>
  <c r="W130" i="21"/>
  <c r="AR165" i="2"/>
  <c r="K21" i="21"/>
  <c r="R21" i="21"/>
  <c r="K22" i="21"/>
  <c r="R22" i="21"/>
  <c r="K31" i="21"/>
  <c r="R31" i="21"/>
  <c r="K155" i="21"/>
  <c r="R155" i="21"/>
  <c r="S155" i="21"/>
  <c r="V155" i="21"/>
  <c r="W155" i="21"/>
  <c r="AR190" i="2"/>
  <c r="K120" i="21"/>
  <c r="R120" i="21"/>
  <c r="S120" i="21"/>
  <c r="V120" i="21"/>
  <c r="W120" i="21"/>
  <c r="AR155" i="2"/>
  <c r="K143" i="21"/>
  <c r="R143" i="21"/>
  <c r="S143" i="21"/>
  <c r="V143" i="21"/>
  <c r="W143" i="21"/>
  <c r="AR178" i="2"/>
  <c r="K151" i="21"/>
  <c r="R151" i="21"/>
  <c r="S151" i="21"/>
  <c r="V151" i="21"/>
  <c r="W151" i="21"/>
  <c r="AR186" i="2"/>
  <c r="K13" i="21"/>
  <c r="R13" i="21"/>
  <c r="K133" i="21"/>
  <c r="R133" i="21"/>
  <c r="S133" i="21"/>
  <c r="V133" i="21"/>
  <c r="W133" i="21"/>
  <c r="AR168" i="2"/>
  <c r="K26" i="21"/>
  <c r="R26" i="21"/>
  <c r="N158" i="21"/>
  <c r="O158" i="21"/>
  <c r="M158" i="21"/>
  <c r="K158" i="21"/>
  <c r="R158" i="21"/>
  <c r="S158" i="21"/>
  <c r="O159" i="21"/>
  <c r="M159" i="21"/>
  <c r="N159" i="21"/>
  <c r="M160" i="21"/>
  <c r="N160" i="21"/>
  <c r="K160" i="21"/>
  <c r="R160" i="21"/>
  <c r="S160" i="21"/>
  <c r="V160" i="21"/>
  <c r="W160" i="21"/>
  <c r="AR195" i="2"/>
  <c r="O160" i="21"/>
  <c r="K32" i="21"/>
  <c r="R32" i="21"/>
  <c r="K19" i="21"/>
  <c r="R19" i="21"/>
  <c r="K15" i="21"/>
  <c r="R15" i="21"/>
  <c r="K121" i="21"/>
  <c r="R121" i="21"/>
  <c r="S121" i="21"/>
  <c r="V121" i="21"/>
  <c r="W121" i="21"/>
  <c r="AR156" i="2"/>
  <c r="K29" i="21"/>
  <c r="R29" i="21"/>
  <c r="V158" i="21"/>
  <c r="W158" i="21"/>
  <c r="AR193" i="2"/>
  <c r="M161" i="21"/>
  <c r="O161" i="21"/>
  <c r="N161" i="21"/>
  <c r="K153" i="21"/>
  <c r="R153" i="21"/>
  <c r="S153" i="21"/>
  <c r="V153" i="21"/>
  <c r="W153" i="21"/>
  <c r="AR188" i="2"/>
  <c r="O163" i="21"/>
  <c r="N163" i="21"/>
  <c r="M163" i="21"/>
  <c r="K163" i="21"/>
  <c r="R163" i="21"/>
  <c r="S163" i="21"/>
  <c r="V163" i="21"/>
  <c r="W163" i="21"/>
  <c r="AR198" i="2"/>
  <c r="AS243" i="2"/>
  <c r="AS232" i="2"/>
  <c r="AS229" i="2"/>
  <c r="AS233" i="2"/>
  <c r="AS227" i="2"/>
  <c r="AS231" i="2"/>
  <c r="AS230" i="2"/>
  <c r="AS226" i="2"/>
  <c r="AS237" i="2"/>
  <c r="AS245" i="2"/>
  <c r="AS225" i="2"/>
  <c r="AS235" i="2"/>
  <c r="AS234" i="2"/>
  <c r="Q201" i="22"/>
  <c r="X201" i="22"/>
  <c r="Y201" i="22"/>
  <c r="AC201" i="22"/>
  <c r="AD201" i="22"/>
  <c r="Q193" i="22"/>
  <c r="X193" i="22"/>
  <c r="Y193" i="22"/>
  <c r="AC193" i="22"/>
  <c r="AD193" i="22"/>
  <c r="AA234" i="23"/>
  <c r="AB234" i="23"/>
  <c r="O234" i="23"/>
  <c r="O221" i="22"/>
  <c r="AA221" i="22"/>
  <c r="AB221" i="22"/>
  <c r="S206" i="22"/>
  <c r="T206" i="22"/>
  <c r="U206" i="22"/>
  <c r="Q206" i="22"/>
  <c r="X206" i="22"/>
  <c r="Y206" i="22"/>
  <c r="AC206" i="22"/>
  <c r="AD206" i="22"/>
  <c r="V234" i="14"/>
  <c r="W234" i="14"/>
  <c r="S220" i="23"/>
  <c r="T220" i="23"/>
  <c r="U220" i="23"/>
  <c r="Q220" i="23"/>
  <c r="X220" i="23"/>
  <c r="Y220" i="23"/>
  <c r="AC220" i="23"/>
  <c r="AD220" i="23"/>
  <c r="AT255" i="2"/>
  <c r="S207" i="23"/>
  <c r="T207" i="23"/>
  <c r="U207" i="23"/>
  <c r="Q207" i="23"/>
  <c r="X207" i="23"/>
  <c r="Y207" i="23"/>
  <c r="AC207" i="23"/>
  <c r="AD207" i="23"/>
  <c r="AT242" i="2"/>
  <c r="V231" i="14"/>
  <c r="W231" i="14"/>
  <c r="O219" i="22"/>
  <c r="AA219" i="22"/>
  <c r="AB219" i="22"/>
  <c r="T214" i="23"/>
  <c r="U214" i="23"/>
  <c r="Q214" i="23"/>
  <c r="X214" i="23"/>
  <c r="Y214" i="23"/>
  <c r="AC214" i="23"/>
  <c r="AD214" i="23"/>
  <c r="AT249" i="2"/>
  <c r="S214" i="23"/>
  <c r="S209" i="23"/>
  <c r="T209" i="23"/>
  <c r="U209" i="23"/>
  <c r="Q209" i="23"/>
  <c r="X209" i="23"/>
  <c r="Y209" i="23"/>
  <c r="AC209" i="23"/>
  <c r="AD209" i="23"/>
  <c r="AT244" i="2"/>
  <c r="Q203" i="22"/>
  <c r="X203" i="22"/>
  <c r="Y203" i="22"/>
  <c r="AC203" i="22"/>
  <c r="AD203" i="22"/>
  <c r="AA218" i="23"/>
  <c r="AB218" i="23"/>
  <c r="O218" i="23"/>
  <c r="AA224" i="22"/>
  <c r="AB224" i="22"/>
  <c r="O224" i="22"/>
  <c r="T206" i="23"/>
  <c r="U206" i="23"/>
  <c r="Q206" i="23"/>
  <c r="X206" i="23"/>
  <c r="Y206" i="23"/>
  <c r="AC206" i="23"/>
  <c r="AD206" i="23"/>
  <c r="AT241" i="2"/>
  <c r="S206" i="23"/>
  <c r="S204" i="23"/>
  <c r="U204" i="23"/>
  <c r="T204" i="23"/>
  <c r="Q204" i="23"/>
  <c r="X204" i="23"/>
  <c r="Y204" i="23"/>
  <c r="W221" i="14"/>
  <c r="V221" i="14"/>
  <c r="AA225" i="22"/>
  <c r="AB225" i="22"/>
  <c r="O225" i="22"/>
  <c r="T222" i="23"/>
  <c r="U222" i="23"/>
  <c r="Q222" i="23"/>
  <c r="X222" i="23"/>
  <c r="Y222" i="23"/>
  <c r="AC222" i="23"/>
  <c r="AD222" i="23"/>
  <c r="AT257" i="2"/>
  <c r="S222" i="23"/>
  <c r="W218" i="14"/>
  <c r="V218" i="14"/>
  <c r="V219" i="14"/>
  <c r="W219" i="14"/>
  <c r="O218" i="22"/>
  <c r="AA218" i="22"/>
  <c r="AB218" i="22"/>
  <c r="AA221" i="23"/>
  <c r="AB221" i="23"/>
  <c r="O221" i="23"/>
  <c r="U223" i="22"/>
  <c r="Q223" i="22"/>
  <c r="X223" i="22"/>
  <c r="Y223" i="22"/>
  <c r="AC223" i="22"/>
  <c r="AD223" i="22"/>
  <c r="S223" i="22"/>
  <c r="T223" i="22"/>
  <c r="S205" i="22"/>
  <c r="T205" i="22"/>
  <c r="U205" i="22"/>
  <c r="Q205" i="22"/>
  <c r="X205" i="22"/>
  <c r="Y205" i="22"/>
  <c r="AC205" i="22"/>
  <c r="AD205" i="22"/>
  <c r="AA226" i="22"/>
  <c r="AB226" i="22"/>
  <c r="O226" i="22"/>
  <c r="V224" i="14"/>
  <c r="W224" i="14"/>
  <c r="AC204" i="23"/>
  <c r="AD204" i="23"/>
  <c r="AT239" i="2"/>
  <c r="T211" i="22"/>
  <c r="U211" i="22"/>
  <c r="Q211" i="22"/>
  <c r="X211" i="22"/>
  <c r="Y211" i="22"/>
  <c r="AC211" i="22"/>
  <c r="AD211" i="22"/>
  <c r="S211" i="22"/>
  <c r="U213" i="23"/>
  <c r="Q213" i="23"/>
  <c r="X213" i="23"/>
  <c r="Y213" i="23"/>
  <c r="AC213" i="23"/>
  <c r="AD213" i="23"/>
  <c r="AT248" i="2"/>
  <c r="T213" i="23"/>
  <c r="S213" i="23"/>
  <c r="U204" i="22"/>
  <c r="Q204" i="22"/>
  <c r="X204" i="22"/>
  <c r="Y204" i="22"/>
  <c r="AC204" i="22"/>
  <c r="AD204" i="22"/>
  <c r="T204" i="22"/>
  <c r="S204" i="22"/>
  <c r="O216" i="23"/>
  <c r="AA216" i="23"/>
  <c r="AB216" i="23"/>
  <c r="AA225" i="23"/>
  <c r="AB225" i="23"/>
  <c r="O225" i="23"/>
  <c r="S212" i="23"/>
  <c r="T212" i="23"/>
  <c r="U212" i="23"/>
  <c r="Q212" i="23"/>
  <c r="X212" i="23"/>
  <c r="Y212" i="23"/>
  <c r="AC212" i="23"/>
  <c r="AD212" i="23"/>
  <c r="AT247" i="2"/>
  <c r="V217" i="14"/>
  <c r="W217" i="14"/>
  <c r="U213" i="22"/>
  <c r="Q213" i="22"/>
  <c r="X213" i="22"/>
  <c r="Y213" i="22"/>
  <c r="AC213" i="22"/>
  <c r="AD213" i="22"/>
  <c r="S213" i="22"/>
  <c r="T213" i="22"/>
  <c r="U215" i="22"/>
  <c r="Q215" i="22"/>
  <c r="X215" i="22"/>
  <c r="Y215" i="22"/>
  <c r="AC215" i="22"/>
  <c r="AD215" i="22"/>
  <c r="T215" i="22"/>
  <c r="S215" i="22"/>
  <c r="AA219" i="23"/>
  <c r="AB219" i="23"/>
  <c r="O219" i="23"/>
  <c r="AA234" i="22"/>
  <c r="AB234" i="22"/>
  <c r="O234" i="22"/>
  <c r="AA233" i="22"/>
  <c r="AB233" i="22"/>
  <c r="O233" i="22"/>
  <c r="AA224" i="23"/>
  <c r="AB224" i="23"/>
  <c r="O224" i="23"/>
  <c r="AA233" i="23"/>
  <c r="AB233" i="23"/>
  <c r="O233" i="23"/>
  <c r="W226" i="14"/>
  <c r="V226" i="14"/>
  <c r="S223" i="23"/>
  <c r="U223" i="23"/>
  <c r="Q223" i="23"/>
  <c r="X223" i="23"/>
  <c r="Y223" i="23"/>
  <c r="AC223" i="23"/>
  <c r="AD223" i="23"/>
  <c r="AT258" i="2"/>
  <c r="T223" i="23"/>
  <c r="T207" i="22"/>
  <c r="S207" i="22"/>
  <c r="U207" i="22"/>
  <c r="Q207" i="22"/>
  <c r="X207" i="22"/>
  <c r="Y207" i="22"/>
  <c r="AC207" i="22"/>
  <c r="AD207" i="22"/>
  <c r="U215" i="23"/>
  <c r="Q215" i="23"/>
  <c r="X215" i="23"/>
  <c r="Y215" i="23"/>
  <c r="AC215" i="23"/>
  <c r="AD215" i="23"/>
  <c r="AT250" i="2"/>
  <c r="S215" i="23"/>
  <c r="T215" i="23"/>
  <c r="O216" i="22"/>
  <c r="AA216" i="22"/>
  <c r="AB216" i="22"/>
  <c r="T220" i="22"/>
  <c r="U220" i="22"/>
  <c r="Q220" i="22"/>
  <c r="X220" i="22"/>
  <c r="Y220" i="22"/>
  <c r="AC220" i="22"/>
  <c r="AD220" i="22"/>
  <c r="S220" i="22"/>
  <c r="O231" i="22"/>
  <c r="AA231" i="22"/>
  <c r="AB231" i="22"/>
  <c r="AA217" i="22"/>
  <c r="AB217" i="22"/>
  <c r="O217" i="22"/>
  <c r="W233" i="14"/>
  <c r="V233" i="14"/>
  <c r="V225" i="14"/>
  <c r="W225" i="14"/>
  <c r="S222" i="22"/>
  <c r="T222" i="22"/>
  <c r="U222" i="22"/>
  <c r="Q222" i="22"/>
  <c r="X222" i="22"/>
  <c r="Y222" i="22"/>
  <c r="AC222" i="22"/>
  <c r="AD222" i="22"/>
  <c r="S212" i="22"/>
  <c r="T212" i="22"/>
  <c r="U212" i="22"/>
  <c r="Q212" i="22"/>
  <c r="X212" i="22"/>
  <c r="Y212" i="22"/>
  <c r="AC212" i="22"/>
  <c r="AD212" i="22"/>
  <c r="U211" i="23"/>
  <c r="Q211" i="23"/>
  <c r="X211" i="23"/>
  <c r="Y211" i="23"/>
  <c r="AC211" i="23"/>
  <c r="AD211" i="23"/>
  <c r="AT246" i="2"/>
  <c r="T211" i="23"/>
  <c r="S211" i="23"/>
  <c r="AA226" i="23"/>
  <c r="AB226" i="23"/>
  <c r="O226" i="23"/>
  <c r="W216" i="14"/>
  <c r="V216" i="14"/>
  <c r="U209" i="22"/>
  <c r="T209" i="22"/>
  <c r="S209" i="22"/>
  <c r="S205" i="23"/>
  <c r="T205" i="23"/>
  <c r="U205" i="23"/>
  <c r="Q205" i="23"/>
  <c r="X205" i="23"/>
  <c r="Y205" i="23"/>
  <c r="AC205" i="23"/>
  <c r="AD205" i="23"/>
  <c r="AT240" i="2"/>
  <c r="S214" i="22"/>
  <c r="T214" i="22"/>
  <c r="U214" i="22"/>
  <c r="Q214" i="22"/>
  <c r="X214" i="22"/>
  <c r="Y214" i="22"/>
  <c r="AC214" i="22"/>
  <c r="AD214" i="22"/>
  <c r="AA231" i="23"/>
  <c r="AB231" i="23"/>
  <c r="O231" i="23"/>
  <c r="AA217" i="23"/>
  <c r="AB217" i="23"/>
  <c r="O217" i="23"/>
  <c r="V223" i="3"/>
  <c r="V222" i="3"/>
  <c r="V230" i="3"/>
  <c r="V229" i="3"/>
  <c r="V239" i="3"/>
  <c r="V221" i="3"/>
  <c r="V232" i="3"/>
  <c r="V240" i="3"/>
  <c r="V237" i="3"/>
  <c r="V226" i="3"/>
  <c r="V231" i="3"/>
  <c r="V224" i="3"/>
  <c r="K159" i="21"/>
  <c r="R159" i="21"/>
  <c r="S159" i="21"/>
  <c r="V159" i="21"/>
  <c r="W159" i="21"/>
  <c r="AR194" i="2"/>
  <c r="K161" i="21"/>
  <c r="R161" i="21"/>
  <c r="S161" i="21"/>
  <c r="V161" i="21"/>
  <c r="W161" i="21"/>
  <c r="AR196" i="2"/>
  <c r="AS258" i="2"/>
  <c r="AS240" i="2"/>
  <c r="AS250" i="2"/>
  <c r="AS238" i="2"/>
  <c r="AS247" i="2"/>
  <c r="AS248" i="2"/>
  <c r="AS228" i="2"/>
  <c r="AS249" i="2"/>
  <c r="AS242" i="2"/>
  <c r="AS246" i="2"/>
  <c r="AS255" i="2"/>
  <c r="Q209" i="22"/>
  <c r="X209" i="22"/>
  <c r="Y209" i="22"/>
  <c r="AC209" i="22"/>
  <c r="AD209" i="22"/>
  <c r="AS257" i="2"/>
  <c r="AS239" i="2"/>
  <c r="AS241" i="2"/>
  <c r="AS236" i="2"/>
  <c r="U226" i="23"/>
  <c r="Q226" i="23"/>
  <c r="X226" i="23"/>
  <c r="Y226" i="23"/>
  <c r="AC226" i="23"/>
  <c r="AD226" i="23"/>
  <c r="AT261" i="2"/>
  <c r="T226" i="23"/>
  <c r="S226" i="23"/>
  <c r="T224" i="23"/>
  <c r="S224" i="23"/>
  <c r="U224" i="23"/>
  <c r="Q224" i="23"/>
  <c r="X224" i="23"/>
  <c r="Y224" i="23"/>
  <c r="AC224" i="23"/>
  <c r="AD224" i="23"/>
  <c r="AT259" i="2"/>
  <c r="S219" i="22"/>
  <c r="T219" i="22"/>
  <c r="U219" i="22"/>
  <c r="AA232" i="23"/>
  <c r="AB232" i="23"/>
  <c r="O232" i="23"/>
  <c r="AA245" i="23"/>
  <c r="AB245" i="23"/>
  <c r="O245" i="23"/>
  <c r="Q251" i="3"/>
  <c r="R251" i="3"/>
  <c r="P251" i="3"/>
  <c r="V229" i="14"/>
  <c r="W229" i="14"/>
  <c r="S233" i="23"/>
  <c r="T233" i="23"/>
  <c r="U233" i="23"/>
  <c r="Q233" i="23"/>
  <c r="X233" i="23"/>
  <c r="Y233" i="23"/>
  <c r="AC233" i="23"/>
  <c r="AD233" i="23"/>
  <c r="AT268" i="2"/>
  <c r="U219" i="23"/>
  <c r="Q219" i="23"/>
  <c r="X219" i="23"/>
  <c r="Y219" i="23"/>
  <c r="AC219" i="23"/>
  <c r="AD219" i="23"/>
  <c r="AT254" i="2"/>
  <c r="S219" i="23"/>
  <c r="T219" i="23"/>
  <c r="W236" i="14"/>
  <c r="V236" i="14"/>
  <c r="S218" i="22"/>
  <c r="T218" i="22"/>
  <c r="U218" i="22"/>
  <c r="Q218" i="22"/>
  <c r="X218" i="22"/>
  <c r="Y218" i="22"/>
  <c r="AC218" i="22"/>
  <c r="AD218" i="22"/>
  <c r="V243" i="14"/>
  <c r="W243" i="14"/>
  <c r="AA232" i="22"/>
  <c r="AB232" i="22"/>
  <c r="O232" i="22"/>
  <c r="S231" i="22"/>
  <c r="T231" i="22"/>
  <c r="U231" i="22"/>
  <c r="Q231" i="22"/>
  <c r="X231" i="22"/>
  <c r="Y231" i="22"/>
  <c r="AC231" i="22"/>
  <c r="AD231" i="22"/>
  <c r="W238" i="14"/>
  <c r="V238" i="14"/>
  <c r="AA246" i="23"/>
  <c r="AB246" i="23"/>
  <c r="O246" i="23"/>
  <c r="O228" i="22"/>
  <c r="AA228" i="22"/>
  <c r="AB228" i="22"/>
  <c r="V246" i="14"/>
  <c r="W246" i="14"/>
  <c r="P250" i="3"/>
  <c r="Q250" i="3"/>
  <c r="R250" i="3"/>
  <c r="S217" i="23"/>
  <c r="T217" i="23"/>
  <c r="U217" i="23"/>
  <c r="Q217" i="23"/>
  <c r="X217" i="23"/>
  <c r="Y217" i="23"/>
  <c r="AC217" i="23"/>
  <c r="AD217" i="23"/>
  <c r="AT252" i="2"/>
  <c r="W228" i="14"/>
  <c r="V228" i="14"/>
  <c r="AA227" i="23"/>
  <c r="AB227" i="23"/>
  <c r="O227" i="23"/>
  <c r="O237" i="23"/>
  <c r="AA237" i="23"/>
  <c r="AB237" i="23"/>
  <c r="AA235" i="23"/>
  <c r="AB235" i="23"/>
  <c r="O235" i="23"/>
  <c r="S221" i="23"/>
  <c r="T221" i="23"/>
  <c r="U221" i="23"/>
  <c r="Q221" i="23"/>
  <c r="X221" i="23"/>
  <c r="Y221" i="23"/>
  <c r="AC221" i="23"/>
  <c r="AD221" i="23"/>
  <c r="AT256" i="2"/>
  <c r="W230" i="14"/>
  <c r="V230" i="14"/>
  <c r="U216" i="22"/>
  <c r="Q216" i="22"/>
  <c r="X216" i="22"/>
  <c r="Y216" i="22"/>
  <c r="AC216" i="22"/>
  <c r="AD216" i="22"/>
  <c r="S216" i="22"/>
  <c r="T216" i="22"/>
  <c r="S225" i="23"/>
  <c r="U225" i="23"/>
  <c r="Q225" i="23"/>
  <c r="X225" i="23"/>
  <c r="Y225" i="23"/>
  <c r="AC225" i="23"/>
  <c r="AD225" i="23"/>
  <c r="AT260" i="2"/>
  <c r="T225" i="23"/>
  <c r="O245" i="22"/>
  <c r="AA245" i="22"/>
  <c r="AB245" i="22"/>
  <c r="V245" i="14"/>
  <c r="W245" i="14"/>
  <c r="O246" i="22"/>
  <c r="AA246" i="22"/>
  <c r="AB246" i="22"/>
  <c r="AA230" i="23"/>
  <c r="AB230" i="23"/>
  <c r="O230" i="23"/>
  <c r="O229" i="22"/>
  <c r="AA229" i="22"/>
  <c r="AB229" i="22"/>
  <c r="W227" i="14"/>
  <c r="V227" i="14"/>
  <c r="AA237" i="22"/>
  <c r="AB237" i="22"/>
  <c r="O237" i="22"/>
  <c r="S234" i="22"/>
  <c r="T234" i="22"/>
  <c r="U234" i="22"/>
  <c r="Q234" i="22"/>
  <c r="X234" i="22"/>
  <c r="Y234" i="22"/>
  <c r="AC234" i="22"/>
  <c r="AD234" i="22"/>
  <c r="U226" i="22"/>
  <c r="Q226" i="22"/>
  <c r="X226" i="22"/>
  <c r="Y226" i="22"/>
  <c r="AC226" i="22"/>
  <c r="AD226" i="22"/>
  <c r="S226" i="22"/>
  <c r="T226" i="22"/>
  <c r="O236" i="22"/>
  <c r="AA236" i="22"/>
  <c r="AB236" i="22"/>
  <c r="U218" i="23"/>
  <c r="Q218" i="23"/>
  <c r="X218" i="23"/>
  <c r="Y218" i="23"/>
  <c r="AC218" i="23"/>
  <c r="AD218" i="23"/>
  <c r="AT253" i="2"/>
  <c r="T218" i="23"/>
  <c r="S218" i="23"/>
  <c r="O243" i="22"/>
  <c r="AA243" i="22"/>
  <c r="AB243" i="22"/>
  <c r="O230" i="22"/>
  <c r="AA230" i="22"/>
  <c r="AB230" i="22"/>
  <c r="S234" i="23"/>
  <c r="T234" i="23"/>
  <c r="U234" i="23"/>
  <c r="Q234" i="23"/>
  <c r="X234" i="23"/>
  <c r="Y234" i="23"/>
  <c r="AC234" i="23"/>
  <c r="AD234" i="23"/>
  <c r="AT269" i="2"/>
  <c r="AA238" i="23"/>
  <c r="AB238" i="23"/>
  <c r="O238" i="23"/>
  <c r="V232" i="14"/>
  <c r="W232" i="14"/>
  <c r="V235" i="14"/>
  <c r="W235" i="14"/>
  <c r="AA238" i="22"/>
  <c r="AB238" i="22"/>
  <c r="O238" i="22"/>
  <c r="O228" i="23"/>
  <c r="AA228" i="23"/>
  <c r="AB228" i="23"/>
  <c r="O227" i="22"/>
  <c r="AA227" i="22"/>
  <c r="AB227" i="22"/>
  <c r="S233" i="22"/>
  <c r="T233" i="22"/>
  <c r="U233" i="22"/>
  <c r="Q233" i="22"/>
  <c r="X233" i="22"/>
  <c r="Y233" i="22"/>
  <c r="AC233" i="22"/>
  <c r="AD233" i="22"/>
  <c r="T216" i="23"/>
  <c r="U216" i="23"/>
  <c r="Q216" i="23"/>
  <c r="X216" i="23"/>
  <c r="Y216" i="23"/>
  <c r="AC216" i="23"/>
  <c r="AD216" i="23"/>
  <c r="AT251" i="2"/>
  <c r="S216" i="23"/>
  <c r="O235" i="22"/>
  <c r="AA235" i="22"/>
  <c r="AB235" i="22"/>
  <c r="T224" i="22"/>
  <c r="S224" i="22"/>
  <c r="U224" i="22"/>
  <c r="Q224" i="22"/>
  <c r="X224" i="22"/>
  <c r="Y224" i="22"/>
  <c r="AC224" i="22"/>
  <c r="AD224" i="22"/>
  <c r="U221" i="22"/>
  <c r="Q221" i="22"/>
  <c r="X221" i="22"/>
  <c r="Y221" i="22"/>
  <c r="AC221" i="22"/>
  <c r="AD221" i="22"/>
  <c r="S221" i="22"/>
  <c r="T221" i="22"/>
  <c r="U231" i="23"/>
  <c r="Q231" i="23"/>
  <c r="X231" i="23"/>
  <c r="Y231" i="23"/>
  <c r="AC231" i="23"/>
  <c r="AD231" i="23"/>
  <c r="AT266" i="2"/>
  <c r="S231" i="23"/>
  <c r="T231" i="23"/>
  <c r="AA229" i="23"/>
  <c r="AB229" i="23"/>
  <c r="O229" i="23"/>
  <c r="U217" i="22"/>
  <c r="S217" i="22"/>
  <c r="T217" i="22"/>
  <c r="V237" i="14"/>
  <c r="W237" i="14"/>
  <c r="AA236" i="23"/>
  <c r="AB236" i="23"/>
  <c r="O236" i="23"/>
  <c r="U225" i="22"/>
  <c r="S225" i="22"/>
  <c r="T225" i="22"/>
  <c r="O243" i="23"/>
  <c r="AA243" i="23"/>
  <c r="AB243" i="23"/>
  <c r="V251" i="3"/>
  <c r="V238" i="3"/>
  <c r="V248" i="3"/>
  <c r="V235" i="3"/>
  <c r="V234" i="3"/>
  <c r="V236" i="3"/>
  <c r="V243" i="3"/>
  <c r="V233" i="3"/>
  <c r="V241" i="3"/>
  <c r="V242" i="3"/>
  <c r="V250" i="3"/>
  <c r="AS244" i="2"/>
  <c r="AS256" i="2"/>
  <c r="AS261" i="2"/>
  <c r="AS253" i="2"/>
  <c r="AS266" i="2"/>
  <c r="AS259" i="2"/>
  <c r="AS268" i="2"/>
  <c r="AS269" i="2"/>
  <c r="AS251" i="2"/>
  <c r="Q225" i="22"/>
  <c r="X225" i="22"/>
  <c r="Y225" i="22"/>
  <c r="AC225" i="22"/>
  <c r="AD225" i="22"/>
  <c r="Q217" i="22"/>
  <c r="X217" i="22"/>
  <c r="Y217" i="22"/>
  <c r="AC217" i="22"/>
  <c r="AD217" i="22"/>
  <c r="Q219" i="22"/>
  <c r="X219" i="22"/>
  <c r="Y219" i="22"/>
  <c r="AC219" i="22"/>
  <c r="AD219" i="22"/>
  <c r="P262" i="3"/>
  <c r="Q262" i="3"/>
  <c r="R262" i="3"/>
  <c r="R263" i="3"/>
  <c r="P263" i="3"/>
  <c r="Q263" i="3"/>
  <c r="S236" i="22"/>
  <c r="T236" i="22"/>
  <c r="U236" i="22"/>
  <c r="Q236" i="22"/>
  <c r="X236" i="22"/>
  <c r="Y236" i="22"/>
  <c r="AC236" i="22"/>
  <c r="AD236" i="22"/>
  <c r="S245" i="23"/>
  <c r="T245" i="23"/>
  <c r="U245" i="23"/>
  <c r="Q245" i="23"/>
  <c r="X245" i="23"/>
  <c r="Y245" i="23"/>
  <c r="AC245" i="23"/>
  <c r="AD245" i="23"/>
  <c r="AT280" i="2"/>
  <c r="V254" i="14"/>
  <c r="W254" i="14"/>
  <c r="P255" i="3"/>
  <c r="Q255" i="3"/>
  <c r="R255" i="3"/>
  <c r="AA249" i="23"/>
  <c r="AB249" i="23"/>
  <c r="O249" i="23"/>
  <c r="AA254" i="22"/>
  <c r="AB254" i="22"/>
  <c r="O254" i="22"/>
  <c r="P253" i="3"/>
  <c r="Q253" i="3"/>
  <c r="R253" i="3"/>
  <c r="S235" i="22"/>
  <c r="T235" i="22"/>
  <c r="U235" i="22"/>
  <c r="T238" i="23"/>
  <c r="S238" i="23"/>
  <c r="U238" i="23"/>
  <c r="Q238" i="23"/>
  <c r="X238" i="23"/>
  <c r="Y238" i="23"/>
  <c r="AC238" i="23"/>
  <c r="AD238" i="23"/>
  <c r="AT273" i="2"/>
  <c r="T230" i="22"/>
  <c r="U230" i="22"/>
  <c r="Q230" i="22"/>
  <c r="X230" i="22"/>
  <c r="Y230" i="22"/>
  <c r="AC230" i="22"/>
  <c r="AD230" i="22"/>
  <c r="S230" i="22"/>
  <c r="S229" i="22"/>
  <c r="U229" i="22"/>
  <c r="Q229" i="22"/>
  <c r="X229" i="22"/>
  <c r="Y229" i="22"/>
  <c r="AC229" i="22"/>
  <c r="AD229" i="22"/>
  <c r="T229" i="22"/>
  <c r="AA239" i="23"/>
  <c r="AB239" i="23"/>
  <c r="O239" i="23"/>
  <c r="S237" i="22"/>
  <c r="T237" i="22"/>
  <c r="U237" i="22"/>
  <c r="Q237" i="22"/>
  <c r="X237" i="22"/>
  <c r="Y237" i="22"/>
  <c r="AC237" i="22"/>
  <c r="AD237" i="22"/>
  <c r="S237" i="23"/>
  <c r="U237" i="23"/>
  <c r="Q237" i="23"/>
  <c r="X237" i="23"/>
  <c r="Y237" i="23"/>
  <c r="AC237" i="23"/>
  <c r="AD237" i="23"/>
  <c r="AT272" i="2"/>
  <c r="T237" i="23"/>
  <c r="U227" i="23"/>
  <c r="Q227" i="23"/>
  <c r="X227" i="23"/>
  <c r="Y227" i="23"/>
  <c r="AC227" i="23"/>
  <c r="AD227" i="23"/>
  <c r="AT262" i="2"/>
  <c r="S227" i="23"/>
  <c r="T227" i="23"/>
  <c r="T246" i="23"/>
  <c r="S246" i="23"/>
  <c r="U246" i="23"/>
  <c r="Q246" i="23"/>
  <c r="X246" i="23"/>
  <c r="Y246" i="23"/>
  <c r="AC246" i="23"/>
  <c r="AD246" i="23"/>
  <c r="AT281" i="2"/>
  <c r="U236" i="23"/>
  <c r="Q236" i="23"/>
  <c r="X236" i="23"/>
  <c r="Y236" i="23"/>
  <c r="AC236" i="23"/>
  <c r="AD236" i="23"/>
  <c r="AT271" i="2"/>
  <c r="S236" i="23"/>
  <c r="T236" i="23"/>
  <c r="S228" i="23"/>
  <c r="T228" i="23"/>
  <c r="U228" i="23"/>
  <c r="Q228" i="23"/>
  <c r="X228" i="23"/>
  <c r="Y228" i="23"/>
  <c r="AC228" i="23"/>
  <c r="AD228" i="23"/>
  <c r="AT263" i="2"/>
  <c r="AA240" i="22"/>
  <c r="AB240" i="22"/>
  <c r="O240" i="22"/>
  <c r="V241" i="14"/>
  <c r="W241" i="14"/>
  <c r="W249" i="14"/>
  <c r="V249" i="14"/>
  <c r="AA254" i="23"/>
  <c r="AB254" i="23"/>
  <c r="O254" i="23"/>
  <c r="Q260" i="3"/>
  <c r="R260" i="3"/>
  <c r="P260" i="3"/>
  <c r="AA241" i="22"/>
  <c r="AB241" i="22"/>
  <c r="O241" i="22"/>
  <c r="AA249" i="22"/>
  <c r="AB249" i="22"/>
  <c r="O249" i="22"/>
  <c r="P252" i="3"/>
  <c r="Q252" i="3"/>
  <c r="R252" i="3"/>
  <c r="AA241" i="23"/>
  <c r="AB241" i="23"/>
  <c r="O241" i="23"/>
  <c r="U232" i="23"/>
  <c r="Q232" i="23"/>
  <c r="X232" i="23"/>
  <c r="Y232" i="23"/>
  <c r="AC232" i="23"/>
  <c r="AD232" i="23"/>
  <c r="AT267" i="2"/>
  <c r="T232" i="23"/>
  <c r="S232" i="23"/>
  <c r="W244" i="14"/>
  <c r="V244" i="14"/>
  <c r="O248" i="22"/>
  <c r="AA248" i="22"/>
  <c r="AB248" i="22"/>
  <c r="S238" i="22"/>
  <c r="T238" i="22"/>
  <c r="U238" i="22"/>
  <c r="Q238" i="22"/>
  <c r="X238" i="22"/>
  <c r="Y238" i="22"/>
  <c r="AC238" i="22"/>
  <c r="AD238" i="22"/>
  <c r="S246" i="22"/>
  <c r="T246" i="22"/>
  <c r="U246" i="22"/>
  <c r="U245" i="22"/>
  <c r="Q245" i="22"/>
  <c r="X245" i="22"/>
  <c r="Y245" i="22"/>
  <c r="AC245" i="22"/>
  <c r="AD245" i="22"/>
  <c r="S245" i="22"/>
  <c r="T245" i="22"/>
  <c r="AA240" i="23"/>
  <c r="AB240" i="23"/>
  <c r="O240" i="23"/>
  <c r="U232" i="22"/>
  <c r="Q232" i="22"/>
  <c r="X232" i="22"/>
  <c r="Y232" i="22"/>
  <c r="AC232" i="22"/>
  <c r="AD232" i="22"/>
  <c r="T232" i="22"/>
  <c r="S232" i="22"/>
  <c r="V242" i="14"/>
  <c r="W242" i="14"/>
  <c r="AA247" i="22"/>
  <c r="AB247" i="22"/>
  <c r="O247" i="22"/>
  <c r="O244" i="23"/>
  <c r="AA244" i="23"/>
  <c r="AB244" i="23"/>
  <c r="W240" i="14"/>
  <c r="V240" i="14"/>
  <c r="V248" i="14"/>
  <c r="W248" i="14"/>
  <c r="U235" i="23"/>
  <c r="Q235" i="23"/>
  <c r="X235" i="23"/>
  <c r="Y235" i="23"/>
  <c r="AC235" i="23"/>
  <c r="AD235" i="23"/>
  <c r="AT270" i="2"/>
  <c r="S235" i="23"/>
  <c r="T235" i="23"/>
  <c r="AA242" i="23"/>
  <c r="AB242" i="23"/>
  <c r="O242" i="23"/>
  <c r="AA247" i="23"/>
  <c r="AB247" i="23"/>
  <c r="O247" i="23"/>
  <c r="W239" i="14"/>
  <c r="V239" i="14"/>
  <c r="O244" i="22"/>
  <c r="AA244" i="22"/>
  <c r="AB244" i="22"/>
  <c r="T227" i="22"/>
  <c r="U227" i="22"/>
  <c r="Q227" i="22"/>
  <c r="X227" i="22"/>
  <c r="Y227" i="22"/>
  <c r="AC227" i="22"/>
  <c r="AD227" i="22"/>
  <c r="S227" i="22"/>
  <c r="T243" i="22"/>
  <c r="S243" i="22"/>
  <c r="U243" i="22"/>
  <c r="Q243" i="22"/>
  <c r="X243" i="22"/>
  <c r="Y243" i="22"/>
  <c r="AC243" i="22"/>
  <c r="AD243" i="22"/>
  <c r="T230" i="23"/>
  <c r="U230" i="23"/>
  <c r="Q230" i="23"/>
  <c r="X230" i="23"/>
  <c r="Y230" i="23"/>
  <c r="AC230" i="23"/>
  <c r="AD230" i="23"/>
  <c r="AT265" i="2"/>
  <c r="S230" i="23"/>
  <c r="S228" i="22"/>
  <c r="T228" i="22"/>
  <c r="U228" i="22"/>
  <c r="Q228" i="22"/>
  <c r="X228" i="22"/>
  <c r="Y228" i="22"/>
  <c r="AC228" i="22"/>
  <c r="AD228" i="22"/>
  <c r="U229" i="23"/>
  <c r="Q229" i="23"/>
  <c r="X229" i="23"/>
  <c r="Y229" i="23"/>
  <c r="AC229" i="23"/>
  <c r="AD229" i="23"/>
  <c r="AT264" i="2"/>
  <c r="S229" i="23"/>
  <c r="T229" i="23"/>
  <c r="P254" i="3"/>
  <c r="Q254" i="3"/>
  <c r="R254" i="3"/>
  <c r="U243" i="23"/>
  <c r="Q243" i="23"/>
  <c r="X243" i="23"/>
  <c r="Y243" i="23"/>
  <c r="AC243" i="23"/>
  <c r="AD243" i="23"/>
  <c r="AT278" i="2"/>
  <c r="S243" i="23"/>
  <c r="T243" i="23"/>
  <c r="AA248" i="23"/>
  <c r="AB248" i="23"/>
  <c r="O248" i="23"/>
  <c r="AA239" i="22"/>
  <c r="AB239" i="22"/>
  <c r="O239" i="22"/>
  <c r="AA242" i="22"/>
  <c r="AB242" i="22"/>
  <c r="O242" i="22"/>
  <c r="V247" i="14"/>
  <c r="W247" i="14"/>
  <c r="V262" i="3"/>
  <c r="V246" i="3"/>
  <c r="V263" i="3"/>
  <c r="V253" i="3"/>
  <c r="V252" i="3"/>
  <c r="V249" i="3"/>
  <c r="V244" i="3"/>
  <c r="V255" i="3"/>
  <c r="V260" i="3"/>
  <c r="V245" i="3"/>
  <c r="V254" i="3"/>
  <c r="V247" i="3"/>
  <c r="Q246" i="22"/>
  <c r="X246" i="22"/>
  <c r="Y246" i="22"/>
  <c r="AC246" i="22"/>
  <c r="AD246" i="22"/>
  <c r="AS281" i="2"/>
  <c r="AS271" i="2"/>
  <c r="AS263" i="2"/>
  <c r="AS254" i="2"/>
  <c r="AS280" i="2"/>
  <c r="AS273" i="2"/>
  <c r="AS272" i="2"/>
  <c r="AS252" i="2"/>
  <c r="AS264" i="2"/>
  <c r="AS267" i="2"/>
  <c r="AS278" i="2"/>
  <c r="AS262" i="2"/>
  <c r="AS265" i="2"/>
  <c r="AS260" i="2"/>
  <c r="Q235" i="22"/>
  <c r="X235" i="22"/>
  <c r="Y235" i="22"/>
  <c r="AC235" i="22"/>
  <c r="AD235" i="22"/>
  <c r="P258" i="3"/>
  <c r="Q258" i="3"/>
  <c r="R258" i="3"/>
  <c r="O250" i="22"/>
  <c r="AA250" i="22"/>
  <c r="AB250" i="22"/>
  <c r="U239" i="23"/>
  <c r="Q239" i="23"/>
  <c r="X239" i="23"/>
  <c r="Y239" i="23"/>
  <c r="AC239" i="23"/>
  <c r="AD239" i="23"/>
  <c r="AT274" i="2"/>
  <c r="T239" i="23"/>
  <c r="S239" i="23"/>
  <c r="P261" i="3"/>
  <c r="Q261" i="3"/>
  <c r="R261" i="3"/>
  <c r="O251" i="22"/>
  <c r="AA251" i="22"/>
  <c r="AB251" i="22"/>
  <c r="O252" i="22"/>
  <c r="AA252" i="22"/>
  <c r="AB252" i="22"/>
  <c r="Q259" i="3"/>
  <c r="R259" i="3"/>
  <c r="P259" i="3"/>
  <c r="U247" i="23"/>
  <c r="S247" i="23"/>
  <c r="T247" i="23"/>
  <c r="Q247" i="23"/>
  <c r="X247" i="23"/>
  <c r="Y247" i="23"/>
  <c r="AC247" i="23"/>
  <c r="AD247" i="23"/>
  <c r="AT282" i="2"/>
  <c r="AA250" i="23"/>
  <c r="AB250" i="23"/>
  <c r="O250" i="23"/>
  <c r="U247" i="22"/>
  <c r="Q247" i="22"/>
  <c r="X247" i="22"/>
  <c r="Y247" i="22"/>
  <c r="AC247" i="22"/>
  <c r="AD247" i="22"/>
  <c r="T247" i="22"/>
  <c r="S247" i="22"/>
  <c r="S241" i="23"/>
  <c r="T241" i="23"/>
  <c r="U241" i="23"/>
  <c r="Q241" i="23"/>
  <c r="X241" i="23"/>
  <c r="Y241" i="23"/>
  <c r="AC241" i="23"/>
  <c r="AD241" i="23"/>
  <c r="AT276" i="2"/>
  <c r="S249" i="23"/>
  <c r="T249" i="23"/>
  <c r="U249" i="23"/>
  <c r="Q249" i="23"/>
  <c r="X249" i="23"/>
  <c r="Y249" i="23"/>
  <c r="AC249" i="23"/>
  <c r="AD249" i="23"/>
  <c r="AT284" i="2"/>
  <c r="S244" i="22"/>
  <c r="T244" i="22"/>
  <c r="U244" i="22"/>
  <c r="S240" i="23"/>
  <c r="T240" i="23"/>
  <c r="U240" i="23"/>
  <c r="Q240" i="23"/>
  <c r="X240" i="23"/>
  <c r="Y240" i="23"/>
  <c r="AC240" i="23"/>
  <c r="AD240" i="23"/>
  <c r="AT275" i="2"/>
  <c r="R264" i="3"/>
  <c r="P264" i="3"/>
  <c r="Q264" i="3"/>
  <c r="AA252" i="23"/>
  <c r="AB252" i="23"/>
  <c r="O252" i="23"/>
  <c r="T242" i="22"/>
  <c r="U242" i="22"/>
  <c r="Q242" i="22"/>
  <c r="X242" i="22"/>
  <c r="Y242" i="22"/>
  <c r="AC242" i="22"/>
  <c r="AD242" i="22"/>
  <c r="S242" i="22"/>
  <c r="V251" i="14"/>
  <c r="W251" i="14"/>
  <c r="AA255" i="23"/>
  <c r="AB255" i="23"/>
  <c r="O255" i="23"/>
  <c r="W252" i="14"/>
  <c r="V252" i="14"/>
  <c r="T254" i="23"/>
  <c r="S254" i="23"/>
  <c r="U254" i="23"/>
  <c r="Q254" i="23"/>
  <c r="X254" i="23"/>
  <c r="Y254" i="23"/>
  <c r="AC254" i="23"/>
  <c r="AD254" i="23"/>
  <c r="T242" i="23"/>
  <c r="U242" i="23"/>
  <c r="Q242" i="23"/>
  <c r="X242" i="23"/>
  <c r="Y242" i="23"/>
  <c r="AC242" i="23"/>
  <c r="AD242" i="23"/>
  <c r="AT277" i="2"/>
  <c r="S242" i="23"/>
  <c r="P257" i="3"/>
  <c r="Q257" i="3"/>
  <c r="R257" i="3"/>
  <c r="AA251" i="23"/>
  <c r="AB251" i="23"/>
  <c r="O251" i="23"/>
  <c r="Q274" i="3"/>
  <c r="R274" i="3"/>
  <c r="P274" i="3"/>
  <c r="P273" i="3"/>
  <c r="R273" i="3"/>
  <c r="Q273" i="3"/>
  <c r="O255" i="22"/>
  <c r="AA255" i="22"/>
  <c r="AB255" i="22"/>
  <c r="AA253" i="22"/>
  <c r="AB253" i="22"/>
  <c r="O253" i="22"/>
  <c r="S249" i="22"/>
  <c r="T249" i="22"/>
  <c r="U249" i="22"/>
  <c r="Q249" i="22"/>
  <c r="X249" i="22"/>
  <c r="Y249" i="22"/>
  <c r="AC249" i="22"/>
  <c r="AD249" i="22"/>
  <c r="T248" i="23"/>
  <c r="U248" i="23"/>
  <c r="Q248" i="23"/>
  <c r="X248" i="23"/>
  <c r="Y248" i="23"/>
  <c r="AC248" i="23"/>
  <c r="AD248" i="23"/>
  <c r="AT283" i="2"/>
  <c r="S248" i="23"/>
  <c r="P265" i="3"/>
  <c r="R265" i="3"/>
  <c r="Q265" i="3"/>
  <c r="T239" i="22"/>
  <c r="U239" i="22"/>
  <c r="Q239" i="22"/>
  <c r="X239" i="22"/>
  <c r="Y239" i="22"/>
  <c r="AC239" i="22"/>
  <c r="AD239" i="22"/>
  <c r="S239" i="22"/>
  <c r="V255" i="14"/>
  <c r="W255" i="14"/>
  <c r="U244" i="23"/>
  <c r="Q244" i="23"/>
  <c r="X244" i="23"/>
  <c r="Y244" i="23"/>
  <c r="AC244" i="23"/>
  <c r="AD244" i="23"/>
  <c r="AT279" i="2"/>
  <c r="S244" i="23"/>
  <c r="T244" i="23"/>
  <c r="AA253" i="23"/>
  <c r="AB253" i="23"/>
  <c r="O253" i="23"/>
  <c r="T240" i="22"/>
  <c r="S240" i="22"/>
  <c r="U240" i="22"/>
  <c r="Q240" i="22"/>
  <c r="X240" i="22"/>
  <c r="Y240" i="22"/>
  <c r="AC240" i="22"/>
  <c r="AD240" i="22"/>
  <c r="T254" i="22"/>
  <c r="S254" i="22"/>
  <c r="U254" i="22"/>
  <c r="Q254" i="22"/>
  <c r="X254" i="22"/>
  <c r="Y254" i="22"/>
  <c r="AC254" i="22"/>
  <c r="AD254" i="22"/>
  <c r="R266" i="3"/>
  <c r="P266" i="3"/>
  <c r="Q266" i="3"/>
  <c r="R271" i="3"/>
  <c r="Q271" i="3"/>
  <c r="P271" i="3"/>
  <c r="R256" i="3"/>
  <c r="P256" i="3"/>
  <c r="Q256" i="3"/>
  <c r="V250" i="14"/>
  <c r="W250" i="14"/>
  <c r="T248" i="22"/>
  <c r="U248" i="22"/>
  <c r="Q248" i="22"/>
  <c r="X248" i="22"/>
  <c r="Y248" i="22"/>
  <c r="AC248" i="22"/>
  <c r="AD248" i="22"/>
  <c r="S248" i="22"/>
  <c r="V253" i="14"/>
  <c r="W253" i="14"/>
  <c r="U241" i="22"/>
  <c r="T241" i="22"/>
  <c r="Q241" i="22"/>
  <c r="X241" i="22"/>
  <c r="Y241" i="22"/>
  <c r="AC241" i="22"/>
  <c r="AD241" i="22"/>
  <c r="S241" i="22"/>
  <c r="V271" i="3"/>
  <c r="V274" i="3"/>
  <c r="V257" i="3"/>
  <c r="V273" i="3"/>
  <c r="V261" i="3"/>
  <c r="V264" i="3"/>
  <c r="V256" i="3"/>
  <c r="V266" i="3"/>
  <c r="V259" i="3"/>
  <c r="V258" i="3"/>
  <c r="V265" i="3"/>
  <c r="AS282" i="2"/>
  <c r="AS275" i="2"/>
  <c r="AS284" i="2"/>
  <c r="AS270" i="2"/>
  <c r="AS277" i="2"/>
  <c r="AS276" i="2"/>
  <c r="AS274" i="2"/>
  <c r="AS283" i="2"/>
  <c r="Q244" i="22"/>
  <c r="X244" i="22"/>
  <c r="Y244" i="22"/>
  <c r="AC244" i="22"/>
  <c r="AD244" i="22"/>
  <c r="T252" i="22"/>
  <c r="U252" i="22"/>
  <c r="S252" i="22"/>
  <c r="Q285" i="3"/>
  <c r="R285" i="3"/>
  <c r="P285" i="3"/>
  <c r="P286" i="3"/>
  <c r="Q286" i="3"/>
  <c r="R286" i="3"/>
  <c r="S253" i="23"/>
  <c r="U253" i="23"/>
  <c r="Q253" i="23"/>
  <c r="X253" i="23"/>
  <c r="Y253" i="23"/>
  <c r="AC253" i="23"/>
  <c r="AD253" i="23"/>
  <c r="T253" i="23"/>
  <c r="U250" i="22"/>
  <c r="Q250" i="22"/>
  <c r="X250" i="22"/>
  <c r="Y250" i="22"/>
  <c r="AC250" i="22"/>
  <c r="AD250" i="22"/>
  <c r="S250" i="22"/>
  <c r="T250" i="22"/>
  <c r="U251" i="23"/>
  <c r="Q251" i="23"/>
  <c r="X251" i="23"/>
  <c r="Y251" i="23"/>
  <c r="AC251" i="23"/>
  <c r="AD251" i="23"/>
  <c r="S251" i="23"/>
  <c r="T251" i="23"/>
  <c r="U255" i="23"/>
  <c r="Q255" i="23"/>
  <c r="X255" i="23"/>
  <c r="Y255" i="23"/>
  <c r="AC255" i="23"/>
  <c r="AD255" i="23"/>
  <c r="T255" i="23"/>
  <c r="S255" i="23"/>
  <c r="S255" i="22"/>
  <c r="T255" i="22"/>
  <c r="U255" i="22"/>
  <c r="Q255" i="22"/>
  <c r="X255" i="22"/>
  <c r="Y255" i="22"/>
  <c r="AC255" i="22"/>
  <c r="AD255" i="22"/>
  <c r="P278" i="3"/>
  <c r="Q278" i="3"/>
  <c r="R278" i="3"/>
  <c r="Q267" i="3"/>
  <c r="R267" i="3"/>
  <c r="P267" i="3"/>
  <c r="U253" i="22"/>
  <c r="Q253" i="22"/>
  <c r="X253" i="22"/>
  <c r="Y253" i="22"/>
  <c r="AC253" i="22"/>
  <c r="AD253" i="22"/>
  <c r="T253" i="22"/>
  <c r="S253" i="22"/>
  <c r="S252" i="23"/>
  <c r="T252" i="23"/>
  <c r="U252" i="23"/>
  <c r="Q252" i="23"/>
  <c r="X252" i="23"/>
  <c r="Y252" i="23"/>
  <c r="AC252" i="23"/>
  <c r="AD252" i="23"/>
  <c r="Q275" i="3"/>
  <c r="R275" i="3"/>
  <c r="P275" i="3"/>
  <c r="P269" i="3"/>
  <c r="Q269" i="3"/>
  <c r="R269" i="3"/>
  <c r="Q276" i="3"/>
  <c r="P276" i="3"/>
  <c r="R276" i="3"/>
  <c r="T251" i="22"/>
  <c r="S251" i="22"/>
  <c r="U251" i="22"/>
  <c r="Q251" i="22"/>
  <c r="X251" i="22"/>
  <c r="Y251" i="22"/>
  <c r="AC251" i="22"/>
  <c r="AD251" i="22"/>
  <c r="Q268" i="3"/>
  <c r="R268" i="3"/>
  <c r="P268" i="3"/>
  <c r="Q277" i="3"/>
  <c r="R277" i="3"/>
  <c r="P277" i="3"/>
  <c r="P270" i="3"/>
  <c r="Q270" i="3"/>
  <c r="R270" i="3"/>
  <c r="R272" i="3"/>
  <c r="P272" i="3"/>
  <c r="Q272" i="3"/>
  <c r="Q283" i="3"/>
  <c r="R283" i="3"/>
  <c r="P283" i="3"/>
  <c r="T250" i="23"/>
  <c r="U250" i="23"/>
  <c r="Q250" i="23"/>
  <c r="X250" i="23"/>
  <c r="Y250" i="23"/>
  <c r="AC250" i="23"/>
  <c r="AD250" i="23"/>
  <c r="AT285" i="2"/>
  <c r="S250" i="23"/>
  <c r="V267" i="3"/>
  <c r="V285" i="3"/>
  <c r="V272" i="3"/>
  <c r="V277" i="3"/>
  <c r="V283" i="3"/>
  <c r="V269" i="3"/>
  <c r="V275" i="3"/>
  <c r="V276" i="3"/>
  <c r="V286" i="3"/>
  <c r="V268" i="3"/>
  <c r="V278" i="3"/>
  <c r="V270" i="3"/>
  <c r="AS279" i="2"/>
  <c r="AS285" i="2"/>
  <c r="Q282" i="3"/>
  <c r="R282" i="3"/>
  <c r="P282" i="3"/>
  <c r="R280" i="3"/>
  <c r="P280" i="3"/>
  <c r="Q280" i="3"/>
  <c r="P281" i="3"/>
  <c r="R281" i="3"/>
  <c r="Q281" i="3"/>
  <c r="P289" i="3"/>
  <c r="R289" i="3"/>
  <c r="Q289" i="3"/>
  <c r="Q252" i="22"/>
  <c r="X252" i="22"/>
  <c r="Y252" i="22"/>
  <c r="AC252" i="22"/>
  <c r="AD252" i="22"/>
  <c r="P298" i="3"/>
  <c r="Q298" i="3"/>
  <c r="R298" i="3"/>
  <c r="P297" i="3"/>
  <c r="Q297" i="3"/>
  <c r="R297" i="3"/>
  <c r="R288" i="3"/>
  <c r="P288" i="3"/>
  <c r="Q288" i="3"/>
  <c r="Q290" i="3"/>
  <c r="R290" i="3"/>
  <c r="P290" i="3"/>
  <c r="P279" i="3"/>
  <c r="Q279" i="3"/>
  <c r="R279" i="3"/>
  <c r="P287" i="3"/>
  <c r="Q287" i="3"/>
  <c r="R287" i="3"/>
  <c r="P295" i="3"/>
  <c r="Q295" i="3"/>
  <c r="R295" i="3"/>
  <c r="R284" i="3"/>
  <c r="P284" i="3"/>
  <c r="Q284" i="3"/>
  <c r="V295" i="3"/>
  <c r="V280" i="3"/>
  <c r="V281" i="3"/>
  <c r="V290" i="3"/>
  <c r="V284" i="3"/>
  <c r="V279" i="3"/>
  <c r="V287" i="3"/>
  <c r="V297" i="3"/>
  <c r="V288" i="3"/>
  <c r="V298" i="3"/>
  <c r="V282" i="3"/>
  <c r="V289" i="3"/>
  <c r="P292" i="3"/>
  <c r="Q292" i="3"/>
  <c r="R292" i="3"/>
  <c r="P302" i="3"/>
  <c r="Q302" i="3"/>
  <c r="R302" i="3"/>
  <c r="R296" i="3"/>
  <c r="P296" i="3"/>
  <c r="Q296" i="3"/>
  <c r="P294" i="3"/>
  <c r="Q294" i="3"/>
  <c r="R294" i="3"/>
  <c r="Q291" i="3"/>
  <c r="R291" i="3"/>
  <c r="P291" i="3"/>
  <c r="Q301" i="3"/>
  <c r="R301" i="3"/>
  <c r="P301" i="3"/>
  <c r="P310" i="3"/>
  <c r="Q310" i="3"/>
  <c r="R310" i="3"/>
  <c r="P309" i="3"/>
  <c r="Q309" i="3"/>
  <c r="R309" i="3"/>
  <c r="Q300" i="3"/>
  <c r="P300" i="3"/>
  <c r="R300" i="3"/>
  <c r="Q299" i="3"/>
  <c r="R299" i="3"/>
  <c r="P299" i="3"/>
  <c r="Q293" i="3"/>
  <c r="R293" i="3"/>
  <c r="P293" i="3"/>
  <c r="Q307" i="3"/>
  <c r="R307" i="3"/>
  <c r="P307" i="3"/>
  <c r="V309" i="3"/>
  <c r="V302" i="3"/>
  <c r="V294" i="3"/>
  <c r="V293" i="3"/>
  <c r="V299" i="3"/>
  <c r="V292" i="3"/>
  <c r="V301" i="3"/>
  <c r="V310" i="3"/>
  <c r="V291" i="3"/>
  <c r="V300" i="3"/>
  <c r="V307" i="3"/>
  <c r="V296" i="3"/>
  <c r="P319" i="3"/>
  <c r="Q319" i="3"/>
  <c r="R319" i="3"/>
  <c r="P303" i="3"/>
  <c r="R303" i="3"/>
  <c r="Q303" i="3"/>
  <c r="P311" i="3"/>
  <c r="Q311" i="3"/>
  <c r="R311" i="3"/>
  <c r="P306" i="3"/>
  <c r="R306" i="3"/>
  <c r="Q306" i="3"/>
  <c r="Q322" i="3"/>
  <c r="P322" i="3"/>
  <c r="R322" i="3"/>
  <c r="R304" i="3"/>
  <c r="P304" i="3"/>
  <c r="Q304" i="3"/>
  <c r="P305" i="3"/>
  <c r="R305" i="3"/>
  <c r="Q305" i="3"/>
  <c r="Q314" i="3"/>
  <c r="R314" i="3"/>
  <c r="P314" i="3"/>
  <c r="P313" i="3"/>
  <c r="Q313" i="3"/>
  <c r="R313" i="3"/>
  <c r="P321" i="3"/>
  <c r="Q321" i="3"/>
  <c r="R321" i="3"/>
  <c r="R312" i="3"/>
  <c r="P312" i="3"/>
  <c r="Q312" i="3"/>
  <c r="P308" i="3"/>
  <c r="Q308" i="3"/>
  <c r="R308" i="3"/>
  <c r="V319" i="3"/>
  <c r="V321" i="3"/>
  <c r="V304" i="3"/>
  <c r="V306" i="3"/>
  <c r="V303" i="3"/>
  <c r="V313" i="3"/>
  <c r="V308" i="3"/>
  <c r="V305" i="3"/>
  <c r="V312" i="3"/>
  <c r="V322" i="3"/>
  <c r="V311" i="3"/>
  <c r="V314" i="3"/>
  <c r="Q324" i="3"/>
  <c r="P324" i="3"/>
  <c r="R324" i="3"/>
  <c r="Q315" i="3"/>
  <c r="R315" i="3"/>
  <c r="P315" i="3"/>
  <c r="Q316" i="3"/>
  <c r="R316" i="3"/>
  <c r="P316" i="3"/>
  <c r="Q323" i="3"/>
  <c r="R323" i="3"/>
  <c r="P323" i="3"/>
  <c r="Q331" i="3"/>
  <c r="R331" i="3"/>
  <c r="P331" i="3"/>
  <c r="R320" i="3"/>
  <c r="P320" i="3"/>
  <c r="Q320" i="3"/>
  <c r="P334" i="3"/>
  <c r="Q334" i="3"/>
  <c r="R334" i="3"/>
  <c r="P325" i="3"/>
  <c r="Q325" i="3"/>
  <c r="R325" i="3"/>
  <c r="P318" i="3"/>
  <c r="Q318" i="3"/>
  <c r="R318" i="3"/>
  <c r="P333" i="3"/>
  <c r="Q333" i="3"/>
  <c r="R333" i="3"/>
  <c r="P326" i="3"/>
  <c r="Q326" i="3"/>
  <c r="R326" i="3"/>
  <c r="Q317" i="3"/>
  <c r="R317" i="3"/>
  <c r="P317" i="3"/>
  <c r="V333" i="3"/>
  <c r="V331" i="3"/>
  <c r="V334" i="3"/>
  <c r="V317" i="3"/>
  <c r="V324" i="3"/>
  <c r="V325" i="3"/>
  <c r="V318" i="3"/>
  <c r="V315" i="3"/>
  <c r="V323" i="3"/>
  <c r="V320" i="3"/>
  <c r="V326" i="3"/>
  <c r="V316" i="3"/>
  <c r="Q330" i="3"/>
  <c r="P330" i="3"/>
  <c r="R330" i="3"/>
  <c r="Q335" i="3"/>
  <c r="R335" i="3"/>
  <c r="P335" i="3"/>
  <c r="P338" i="3"/>
  <c r="R338" i="3"/>
  <c r="Q338" i="3"/>
  <c r="R337" i="3"/>
  <c r="P337" i="3"/>
  <c r="Q337" i="3"/>
  <c r="R336" i="3"/>
  <c r="P336" i="3"/>
  <c r="Q336" i="3"/>
  <c r="P329" i="3"/>
  <c r="Q329" i="3"/>
  <c r="R329" i="3"/>
  <c r="P327" i="3"/>
  <c r="Q327" i="3"/>
  <c r="R327" i="3"/>
  <c r="P343" i="3"/>
  <c r="Q343" i="3"/>
  <c r="R343" i="3"/>
  <c r="R328" i="3"/>
  <c r="P328" i="3"/>
  <c r="Q328" i="3"/>
  <c r="Q332" i="3"/>
  <c r="P332" i="3"/>
  <c r="R332" i="3"/>
  <c r="V343" i="3"/>
  <c r="V337" i="3"/>
  <c r="V338" i="3"/>
  <c r="V328" i="3"/>
  <c r="V330" i="3"/>
  <c r="V336" i="3"/>
  <c r="V329" i="3"/>
  <c r="V327" i="3"/>
  <c r="V335" i="3"/>
  <c r="V332" i="3"/>
  <c r="Q340" i="3"/>
  <c r="P340" i="3"/>
  <c r="R340" i="3"/>
  <c r="P341" i="3"/>
  <c r="Q341" i="3"/>
  <c r="R341" i="3"/>
  <c r="P342" i="3"/>
  <c r="Q342" i="3"/>
  <c r="R342" i="3"/>
  <c r="Q339" i="3"/>
  <c r="R339" i="3"/>
  <c r="P339" i="3"/>
  <c r="V340" i="3"/>
  <c r="V339" i="3"/>
  <c r="V341" i="3"/>
  <c r="V342" i="3"/>
  <c r="K281" i="2"/>
  <c r="L281" i="2"/>
  <c r="K282" i="2"/>
  <c r="K283" i="2"/>
  <c r="L282" i="2"/>
  <c r="L283" i="2"/>
  <c r="K284" i="2"/>
  <c r="L284" i="2"/>
  <c r="L285" i="2"/>
  <c r="K285" i="2"/>
  <c r="D11" i="15"/>
  <c r="D12" i="15"/>
  <c r="D13" i="15"/>
  <c r="D14" i="15"/>
  <c r="D15" i="15"/>
  <c r="D16" i="15"/>
  <c r="D17" i="15"/>
  <c r="D18" i="15"/>
  <c r="D19" i="15"/>
  <c r="D20" i="15"/>
  <c r="D21" i="15"/>
  <c r="D22" i="15"/>
  <c r="D23" i="15"/>
  <c r="D24" i="15"/>
  <c r="D25" i="15"/>
  <c r="D26" i="15"/>
  <c r="D27" i="15"/>
  <c r="D28" i="15"/>
  <c r="D29" i="15"/>
  <c r="D30" i="15"/>
  <c r="D31" i="15"/>
  <c r="D32" i="15"/>
  <c r="C9" i="15"/>
  <c r="D9" i="15"/>
  <c r="E9" i="15"/>
  <c r="F9" i="15"/>
  <c r="B9" i="15"/>
  <c r="A249" i="15"/>
  <c r="A250" i="15"/>
  <c r="A251" i="15"/>
  <c r="A252" i="15"/>
  <c r="A253" i="15"/>
  <c r="A254" i="15"/>
  <c r="A255" i="15"/>
  <c r="A256" i="15"/>
  <c r="A257" i="15"/>
  <c r="A258" i="15"/>
  <c r="A259" i="15"/>
  <c r="A260" i="15"/>
  <c r="A261" i="15"/>
  <c r="A262" i="15"/>
  <c r="A229" i="15"/>
  <c r="A230" i="15"/>
  <c r="A231" i="15"/>
  <c r="A232" i="15"/>
  <c r="A233" i="15"/>
  <c r="A234" i="15"/>
  <c r="A235" i="15"/>
  <c r="A236" i="15"/>
  <c r="A237" i="15"/>
  <c r="A238" i="15"/>
  <c r="A239" i="15"/>
  <c r="A240" i="15"/>
  <c r="A241" i="15"/>
  <c r="A242" i="15"/>
  <c r="A243" i="15"/>
  <c r="A244" i="15"/>
  <c r="A245" i="15"/>
  <c r="A246" i="15"/>
  <c r="A247" i="15"/>
  <c r="A248" i="15"/>
  <c r="A224" i="15"/>
  <c r="A225" i="15"/>
  <c r="A226" i="15"/>
  <c r="A227" i="15"/>
  <c r="A228" i="15"/>
  <c r="A207" i="15"/>
  <c r="A208" i="15"/>
  <c r="A209" i="15"/>
  <c r="A210" i="15"/>
  <c r="A211" i="15"/>
  <c r="A212" i="15"/>
  <c r="A213" i="15"/>
  <c r="A214" i="15"/>
  <c r="A215" i="15"/>
  <c r="A216" i="15"/>
  <c r="A217" i="15"/>
  <c r="A218" i="15"/>
  <c r="A219" i="15"/>
  <c r="A220" i="15"/>
  <c r="A221" i="15"/>
  <c r="A222" i="15"/>
  <c r="A223" i="15"/>
  <c r="A12" i="15"/>
  <c r="A13" i="15"/>
  <c r="A14" i="15"/>
  <c r="A15" i="15"/>
  <c r="A16" i="15"/>
  <c r="A17" i="15"/>
  <c r="A18" i="15"/>
  <c r="A19" i="15"/>
  <c r="A20" i="15"/>
  <c r="A21" i="15"/>
  <c r="A22" i="15"/>
  <c r="A23" i="15"/>
  <c r="A24" i="15"/>
  <c r="A25" i="15"/>
  <c r="A26" i="15"/>
  <c r="A27" i="15"/>
  <c r="A28" i="15"/>
  <c r="A29" i="15"/>
  <c r="A30" i="15"/>
  <c r="A31" i="15"/>
  <c r="A32" i="15"/>
  <c r="A33" i="15"/>
  <c r="A34" i="15"/>
  <c r="A35" i="15"/>
  <c r="A36" i="15"/>
  <c r="A37" i="15"/>
  <c r="A38" i="15"/>
  <c r="A39" i="15"/>
  <c r="A40" i="15"/>
  <c r="A41" i="15"/>
  <c r="A42" i="15"/>
  <c r="A43" i="15"/>
  <c r="A44" i="15"/>
  <c r="A45" i="15"/>
  <c r="A46" i="15"/>
  <c r="A47" i="15"/>
  <c r="A48" i="15"/>
  <c r="A49" i="15"/>
  <c r="A50" i="15"/>
  <c r="A51" i="15"/>
  <c r="A52" i="15"/>
  <c r="A53" i="15"/>
  <c r="A54" i="15"/>
  <c r="A55" i="15"/>
  <c r="A56" i="15"/>
  <c r="A57" i="15"/>
  <c r="A58" i="15"/>
  <c r="A59" i="15"/>
  <c r="A60" i="15"/>
  <c r="A61" i="15"/>
  <c r="A62" i="15"/>
  <c r="A63" i="15"/>
  <c r="A64" i="15"/>
  <c r="A65" i="15"/>
  <c r="A66" i="15"/>
  <c r="A67" i="15"/>
  <c r="A68" i="15"/>
  <c r="A69" i="15"/>
  <c r="A70" i="15"/>
  <c r="A71" i="15"/>
  <c r="A72" i="15"/>
  <c r="A73" i="15"/>
  <c r="A74" i="15"/>
  <c r="A75" i="15"/>
  <c r="A76" i="15"/>
  <c r="A77" i="15"/>
  <c r="A78" i="15"/>
  <c r="A79" i="15"/>
  <c r="A80" i="15"/>
  <c r="A81" i="15"/>
  <c r="A82" i="15"/>
  <c r="A83" i="15"/>
  <c r="A84" i="15"/>
  <c r="A85" i="15"/>
  <c r="A86" i="15"/>
  <c r="A87" i="15"/>
  <c r="A88" i="15"/>
  <c r="A89" i="15"/>
  <c r="A90" i="15"/>
  <c r="A91" i="15"/>
  <c r="A92" i="15"/>
  <c r="A93" i="15"/>
  <c r="A94" i="15"/>
  <c r="A95" i="15"/>
  <c r="A96" i="15"/>
  <c r="A97" i="15"/>
  <c r="A98" i="15"/>
  <c r="A99" i="15"/>
  <c r="A100" i="15"/>
  <c r="A101" i="15"/>
  <c r="A102" i="15"/>
  <c r="A103" i="15"/>
  <c r="A104" i="15"/>
  <c r="A105" i="15"/>
  <c r="A106" i="15"/>
  <c r="A107" i="15"/>
  <c r="A108" i="15"/>
  <c r="A109" i="15"/>
  <c r="A110" i="15"/>
  <c r="A111" i="15"/>
  <c r="A112" i="15"/>
  <c r="A113" i="15"/>
  <c r="A114" i="15"/>
  <c r="A115" i="15"/>
  <c r="A116" i="15"/>
  <c r="A117" i="15"/>
  <c r="A118" i="15"/>
  <c r="A119" i="15"/>
  <c r="A120" i="15"/>
  <c r="A121" i="15"/>
  <c r="A122" i="15"/>
  <c r="A123" i="15"/>
  <c r="A124" i="15"/>
  <c r="A125" i="15"/>
  <c r="A126" i="15"/>
  <c r="A127" i="15"/>
  <c r="A128" i="15"/>
  <c r="A129" i="15"/>
  <c r="A130" i="15"/>
  <c r="A131" i="15"/>
  <c r="A132" i="15"/>
  <c r="A133" i="15"/>
  <c r="A134" i="15"/>
  <c r="A135" i="15"/>
  <c r="A136" i="15"/>
  <c r="A137" i="15"/>
  <c r="A138" i="15"/>
  <c r="A139" i="15"/>
  <c r="A140" i="15"/>
  <c r="A141" i="15"/>
  <c r="A142" i="15"/>
  <c r="A143" i="15"/>
  <c r="A144" i="15"/>
  <c r="A145" i="15"/>
  <c r="A146" i="15"/>
  <c r="A147" i="15"/>
  <c r="A148" i="15"/>
  <c r="A149" i="15"/>
  <c r="A150" i="15"/>
  <c r="A151" i="15"/>
  <c r="A152" i="15"/>
  <c r="A153" i="15"/>
  <c r="A154" i="15"/>
  <c r="A155" i="15"/>
  <c r="A156" i="15"/>
  <c r="A157" i="15"/>
  <c r="A158" i="15"/>
  <c r="A159" i="15"/>
  <c r="A160" i="15"/>
  <c r="A161" i="15"/>
  <c r="A162" i="15"/>
  <c r="A163" i="15"/>
  <c r="A164" i="15"/>
  <c r="A165" i="15"/>
  <c r="A166" i="15"/>
  <c r="A167" i="15"/>
  <c r="A168" i="15"/>
  <c r="A169" i="15"/>
  <c r="A170" i="15"/>
  <c r="A171" i="15"/>
  <c r="A172" i="15"/>
  <c r="A173" i="15"/>
  <c r="A174" i="15"/>
  <c r="A175" i="15"/>
  <c r="A176" i="15"/>
  <c r="A177" i="15"/>
  <c r="A178" i="15"/>
  <c r="A179" i="15"/>
  <c r="A180" i="15"/>
  <c r="A181" i="15"/>
  <c r="A182" i="15"/>
  <c r="A183" i="15"/>
  <c r="A184" i="15"/>
  <c r="A185" i="15"/>
  <c r="A186" i="15"/>
  <c r="A187" i="15"/>
  <c r="A188" i="15"/>
  <c r="A189" i="15"/>
  <c r="A190" i="15"/>
  <c r="A191" i="15"/>
  <c r="A192" i="15"/>
  <c r="A193" i="15"/>
  <c r="A194" i="15"/>
  <c r="A195" i="15"/>
  <c r="A196" i="15"/>
  <c r="A197" i="15"/>
  <c r="A198" i="15"/>
  <c r="A199" i="15"/>
  <c r="A200" i="15"/>
  <c r="A201" i="15"/>
  <c r="A202" i="15"/>
  <c r="A203" i="15"/>
  <c r="A204" i="15"/>
  <c r="A205" i="15"/>
  <c r="A206" i="15"/>
  <c r="A11" i="15"/>
  <c r="D12" i="14"/>
  <c r="J12" i="14"/>
  <c r="K12" i="14"/>
  <c r="D13" i="14"/>
  <c r="J13" i="14"/>
  <c r="K13" i="14"/>
  <c r="D14" i="14"/>
  <c r="J14" i="14"/>
  <c r="K14" i="14"/>
  <c r="D15" i="14"/>
  <c r="J15" i="14"/>
  <c r="K15" i="14"/>
  <c r="D16" i="14"/>
  <c r="J16" i="14"/>
  <c r="K16" i="14"/>
  <c r="D17" i="14"/>
  <c r="J17" i="14"/>
  <c r="K17" i="14"/>
  <c r="D18" i="14"/>
  <c r="J18" i="14"/>
  <c r="K18" i="14"/>
  <c r="D19" i="14"/>
  <c r="J19" i="14"/>
  <c r="K19" i="14"/>
  <c r="D20" i="14"/>
  <c r="J20" i="14"/>
  <c r="K20" i="14"/>
  <c r="D21" i="14"/>
  <c r="J21" i="14"/>
  <c r="K21" i="14"/>
  <c r="D22" i="14"/>
  <c r="J22" i="14"/>
  <c r="K22" i="14"/>
  <c r="D23" i="14"/>
  <c r="J23" i="14"/>
  <c r="K23" i="14"/>
  <c r="D11" i="14"/>
  <c r="J11" i="14"/>
  <c r="K11" i="14"/>
  <c r="E11" i="14"/>
  <c r="F11" i="14"/>
  <c r="L11" i="14"/>
  <c r="L12" i="14"/>
  <c r="L13" i="14"/>
  <c r="C9" i="14"/>
  <c r="D9" i="14"/>
  <c r="E9" i="14"/>
  <c r="F9" i="14"/>
  <c r="B9" i="14"/>
  <c r="B12" i="14"/>
  <c r="H12" i="14"/>
  <c r="B13" i="14"/>
  <c r="H13" i="14"/>
  <c r="B14" i="14"/>
  <c r="H14" i="14"/>
  <c r="B15" i="14"/>
  <c r="H15" i="14"/>
  <c r="B16" i="14"/>
  <c r="H16" i="14"/>
  <c r="B17" i="14"/>
  <c r="H17" i="14"/>
  <c r="B18" i="14"/>
  <c r="H18" i="14"/>
  <c r="B19" i="14"/>
  <c r="H19" i="14"/>
  <c r="B20" i="14"/>
  <c r="H20" i="14"/>
  <c r="B21" i="14"/>
  <c r="H21" i="14"/>
  <c r="B22" i="14"/>
  <c r="H22" i="14"/>
  <c r="B23" i="14"/>
  <c r="H23" i="14"/>
  <c r="B24" i="14"/>
  <c r="H24" i="14"/>
  <c r="B11" i="14"/>
  <c r="H11" i="14"/>
  <c r="A250" i="14"/>
  <c r="A249" i="14"/>
  <c r="A248" i="14"/>
  <c r="A247" i="14"/>
  <c r="A246" i="14"/>
  <c r="A245" i="14"/>
  <c r="A244" i="14"/>
  <c r="A243" i="14"/>
  <c r="A242" i="14"/>
  <c r="A241" i="14"/>
  <c r="A240" i="14"/>
  <c r="A239" i="14"/>
  <c r="A238" i="14"/>
  <c r="A237" i="14"/>
  <c r="A236" i="14"/>
  <c r="A235" i="14"/>
  <c r="A234" i="14"/>
  <c r="A233" i="14"/>
  <c r="A232" i="14"/>
  <c r="A231" i="14"/>
  <c r="A230" i="14"/>
  <c r="A229" i="14"/>
  <c r="A228" i="14"/>
  <c r="A227" i="14"/>
  <c r="A226" i="14"/>
  <c r="A225" i="14"/>
  <c r="A224" i="14"/>
  <c r="A223" i="14"/>
  <c r="A222" i="14"/>
  <c r="A221" i="14"/>
  <c r="A220" i="14"/>
  <c r="A219" i="14"/>
  <c r="A218" i="14"/>
  <c r="A217" i="14"/>
  <c r="A216" i="14"/>
  <c r="A215" i="14"/>
  <c r="A214" i="14"/>
  <c r="A213" i="14"/>
  <c r="A212" i="14"/>
  <c r="A211" i="14"/>
  <c r="A210" i="14"/>
  <c r="A209" i="14"/>
  <c r="A208" i="14"/>
  <c r="A207" i="14"/>
  <c r="A206" i="14"/>
  <c r="A205" i="14"/>
  <c r="A204" i="14"/>
  <c r="A203" i="14"/>
  <c r="A202" i="14"/>
  <c r="A201" i="14"/>
  <c r="A200" i="14"/>
  <c r="A199" i="14"/>
  <c r="A198" i="14"/>
  <c r="A197" i="14"/>
  <c r="A196" i="14"/>
  <c r="A195" i="14"/>
  <c r="A194" i="14"/>
  <c r="A193" i="14"/>
  <c r="A192" i="14"/>
  <c r="A191" i="14"/>
  <c r="A190" i="14"/>
  <c r="A189" i="14"/>
  <c r="A188" i="14"/>
  <c r="A187" i="14"/>
  <c r="A186" i="14"/>
  <c r="A185" i="14"/>
  <c r="A184" i="14"/>
  <c r="A183" i="14"/>
  <c r="A182" i="14"/>
  <c r="A181" i="14"/>
  <c r="A180" i="14"/>
  <c r="A179" i="14"/>
  <c r="A178" i="14"/>
  <c r="A177" i="14"/>
  <c r="A176" i="14"/>
  <c r="A175" i="14"/>
  <c r="A174" i="14"/>
  <c r="A173" i="14"/>
  <c r="A172" i="14"/>
  <c r="A171" i="14"/>
  <c r="A170" i="14"/>
  <c r="A169" i="14"/>
  <c r="A168" i="14"/>
  <c r="A167" i="14"/>
  <c r="A166" i="14"/>
  <c r="A165" i="14"/>
  <c r="A164" i="14"/>
  <c r="A163" i="14"/>
  <c r="A162" i="14"/>
  <c r="A161" i="14"/>
  <c r="A160" i="14"/>
  <c r="A159" i="14"/>
  <c r="A158" i="14"/>
  <c r="A157" i="14"/>
  <c r="A156" i="14"/>
  <c r="A155" i="14"/>
  <c r="A154" i="14"/>
  <c r="A153" i="14"/>
  <c r="A152" i="14"/>
  <c r="A151" i="14"/>
  <c r="A150" i="14"/>
  <c r="A149" i="14"/>
  <c r="A148" i="14"/>
  <c r="A147" i="14"/>
  <c r="A146" i="14"/>
  <c r="A145" i="14"/>
  <c r="A144" i="14"/>
  <c r="A143" i="14"/>
  <c r="A142" i="14"/>
  <c r="A141" i="14"/>
  <c r="A140" i="14"/>
  <c r="A139" i="14"/>
  <c r="A138" i="14"/>
  <c r="A137" i="14"/>
  <c r="A136" i="14"/>
  <c r="A135" i="14"/>
  <c r="A134" i="14"/>
  <c r="A133" i="14"/>
  <c r="A132" i="14"/>
  <c r="A131" i="14"/>
  <c r="A130" i="14"/>
  <c r="A129" i="14"/>
  <c r="A128" i="14"/>
  <c r="A127" i="14"/>
  <c r="A126" i="14"/>
  <c r="A125" i="14"/>
  <c r="A124" i="14"/>
  <c r="A123" i="14"/>
  <c r="A122" i="14"/>
  <c r="A121" i="14"/>
  <c r="A120" i="14"/>
  <c r="A119" i="14"/>
  <c r="A118" i="14"/>
  <c r="A117" i="14"/>
  <c r="A116" i="14"/>
  <c r="A115" i="14"/>
  <c r="A114" i="14"/>
  <c r="A113" i="14"/>
  <c r="A112" i="14"/>
  <c r="A111" i="14"/>
  <c r="A110" i="14"/>
  <c r="A109" i="14"/>
  <c r="A108" i="14"/>
  <c r="A107" i="14"/>
  <c r="A106" i="14"/>
  <c r="A105" i="14"/>
  <c r="A104" i="14"/>
  <c r="A103" i="14"/>
  <c r="A102" i="14"/>
  <c r="A101" i="14"/>
  <c r="A100" i="14"/>
  <c r="A99" i="14"/>
  <c r="A98" i="14"/>
  <c r="A97" i="14"/>
  <c r="A96" i="14"/>
  <c r="A95" i="14"/>
  <c r="A94" i="14"/>
  <c r="A93" i="14"/>
  <c r="A92" i="14"/>
  <c r="A91" i="14"/>
  <c r="A90" i="14"/>
  <c r="A89" i="14"/>
  <c r="A88" i="14"/>
  <c r="A87" i="14"/>
  <c r="A86" i="14"/>
  <c r="A85" i="14"/>
  <c r="A84" i="14"/>
  <c r="A83" i="14"/>
  <c r="A82" i="14"/>
  <c r="A81" i="14"/>
  <c r="A80" i="14"/>
  <c r="A79" i="14"/>
  <c r="A78" i="14"/>
  <c r="A77" i="14"/>
  <c r="A76" i="14"/>
  <c r="A75" i="14"/>
  <c r="A74" i="14"/>
  <c r="A73" i="14"/>
  <c r="A72" i="14"/>
  <c r="A71" i="14"/>
  <c r="A70" i="14"/>
  <c r="A69" i="14"/>
  <c r="A68" i="14"/>
  <c r="A67" i="14"/>
  <c r="A66" i="14"/>
  <c r="A65" i="14"/>
  <c r="A64" i="14"/>
  <c r="A63" i="14"/>
  <c r="A62" i="14"/>
  <c r="A61" i="14"/>
  <c r="A60" i="14"/>
  <c r="A59" i="14"/>
  <c r="A58" i="14"/>
  <c r="A57" i="14"/>
  <c r="A56" i="14"/>
  <c r="A55" i="14"/>
  <c r="A54" i="14"/>
  <c r="A53" i="14"/>
  <c r="A52" i="14"/>
  <c r="A51" i="14"/>
  <c r="A50" i="14"/>
  <c r="A49" i="14"/>
  <c r="A48" i="14"/>
  <c r="A47" i="14"/>
  <c r="A46" i="14"/>
  <c r="A45" i="14"/>
  <c r="A44" i="14"/>
  <c r="A43" i="14"/>
  <c r="A42" i="14"/>
  <c r="A41" i="14"/>
  <c r="A40" i="14"/>
  <c r="A39" i="14"/>
  <c r="A38" i="14"/>
  <c r="A37" i="14"/>
  <c r="A36" i="14"/>
  <c r="A35" i="14"/>
  <c r="A34" i="14"/>
  <c r="A33" i="14"/>
  <c r="A32" i="14"/>
  <c r="A31" i="14"/>
  <c r="A30" i="14"/>
  <c r="A29" i="14"/>
  <c r="A28" i="14"/>
  <c r="A27" i="14"/>
  <c r="A26" i="14"/>
  <c r="A25" i="14"/>
  <c r="A24" i="14"/>
  <c r="A23" i="14"/>
  <c r="A22" i="14"/>
  <c r="A21" i="14"/>
  <c r="A20" i="14"/>
  <c r="A19" i="14"/>
  <c r="A18" i="14"/>
  <c r="A17" i="14"/>
  <c r="A16" i="14"/>
  <c r="A15" i="14"/>
  <c r="A14" i="14"/>
  <c r="A13" i="14"/>
  <c r="A12" i="14"/>
  <c r="A11" i="14"/>
  <c r="N23" i="14"/>
  <c r="O23" i="14"/>
  <c r="P23" i="14"/>
  <c r="Y23" i="14"/>
  <c r="Z23" i="14"/>
  <c r="AE23" i="14"/>
  <c r="AG23" i="14"/>
  <c r="E23" i="14"/>
  <c r="AH23" i="14"/>
  <c r="N14" i="14"/>
  <c r="O14" i="14"/>
  <c r="P14" i="14"/>
  <c r="Y14" i="14"/>
  <c r="Z14" i="14"/>
  <c r="AE14" i="14"/>
  <c r="AG14" i="14"/>
  <c r="E14" i="14"/>
  <c r="AH14" i="14"/>
  <c r="N15" i="14"/>
  <c r="O15" i="14"/>
  <c r="P15" i="14"/>
  <c r="Y15" i="14"/>
  <c r="Z15" i="14"/>
  <c r="AE15" i="14"/>
  <c r="AG15" i="14"/>
  <c r="E15" i="14"/>
  <c r="AH15" i="14"/>
  <c r="N22" i="14"/>
  <c r="O22" i="14"/>
  <c r="P22" i="14"/>
  <c r="Y22" i="14"/>
  <c r="Z22" i="14"/>
  <c r="AE22" i="14"/>
  <c r="AG22" i="14"/>
  <c r="E22" i="14"/>
  <c r="AH22" i="14"/>
  <c r="N21" i="14"/>
  <c r="O21" i="14"/>
  <c r="P21" i="14"/>
  <c r="Y21" i="14"/>
  <c r="Z21" i="14"/>
  <c r="AE21" i="14"/>
  <c r="AG21" i="14"/>
  <c r="E21" i="14"/>
  <c r="AH21" i="14"/>
  <c r="N17" i="14"/>
  <c r="O17" i="14"/>
  <c r="P17" i="14"/>
  <c r="Y17" i="14"/>
  <c r="Z17" i="14"/>
  <c r="AE17" i="14"/>
  <c r="AG17" i="14"/>
  <c r="E17" i="14"/>
  <c r="AH17" i="14"/>
  <c r="N13" i="14"/>
  <c r="O13" i="14"/>
  <c r="P13" i="14"/>
  <c r="Y13" i="14"/>
  <c r="Z13" i="14"/>
  <c r="AE13" i="14"/>
  <c r="AG13" i="14"/>
  <c r="E13" i="14"/>
  <c r="AH13" i="14"/>
  <c r="N19" i="14"/>
  <c r="O19" i="14"/>
  <c r="P19" i="14"/>
  <c r="Y19" i="14"/>
  <c r="Z19" i="14"/>
  <c r="AE19" i="14"/>
  <c r="AG19" i="14"/>
  <c r="E19" i="14"/>
  <c r="AH19" i="14"/>
  <c r="N18" i="14"/>
  <c r="O18" i="14"/>
  <c r="P18" i="14"/>
  <c r="Y18" i="14"/>
  <c r="Z18" i="14"/>
  <c r="AE18" i="14"/>
  <c r="AG18" i="14"/>
  <c r="E18" i="14"/>
  <c r="AH18" i="14"/>
  <c r="N11" i="14"/>
  <c r="O11" i="14"/>
  <c r="P11" i="14"/>
  <c r="Y11" i="14"/>
  <c r="Z11" i="14"/>
  <c r="AE11" i="14"/>
  <c r="AG11" i="14"/>
  <c r="AH11" i="14"/>
  <c r="N20" i="14"/>
  <c r="O20" i="14"/>
  <c r="P20" i="14"/>
  <c r="Y20" i="14"/>
  <c r="Z20" i="14"/>
  <c r="AE20" i="14"/>
  <c r="AG20" i="14"/>
  <c r="E20" i="14"/>
  <c r="AH20" i="14"/>
  <c r="N16" i="14"/>
  <c r="O16" i="14"/>
  <c r="P16" i="14"/>
  <c r="Y16" i="14"/>
  <c r="Z16" i="14"/>
  <c r="AE16" i="14"/>
  <c r="AG16" i="14"/>
  <c r="E16" i="14"/>
  <c r="AH16" i="14"/>
  <c r="N12" i="14"/>
  <c r="O12" i="14"/>
  <c r="P12" i="14"/>
  <c r="Y12" i="14"/>
  <c r="Z12" i="14"/>
  <c r="AE12" i="14"/>
  <c r="AG12" i="14"/>
  <c r="E12" i="14"/>
  <c r="AH12" i="14"/>
  <c r="L14" i="14"/>
  <c r="L15" i="14"/>
  <c r="L16" i="14"/>
  <c r="L17" i="14"/>
  <c r="L18" i="14"/>
  <c r="L19" i="14"/>
  <c r="L20" i="14"/>
  <c r="L21" i="14"/>
  <c r="L22" i="14"/>
  <c r="L23" i="14"/>
  <c r="K41" i="2"/>
  <c r="L41" i="2"/>
  <c r="M41" i="2"/>
  <c r="N41" i="2"/>
  <c r="O41" i="2"/>
  <c r="K42" i="2"/>
  <c r="L42" i="2"/>
  <c r="K43" i="2"/>
  <c r="L43" i="2"/>
  <c r="M43" i="2"/>
  <c r="K44" i="2"/>
  <c r="L44" i="2"/>
  <c r="M44" i="2"/>
  <c r="K45" i="2"/>
  <c r="L45" i="2"/>
  <c r="M45" i="2"/>
  <c r="K46" i="2"/>
  <c r="L46" i="2"/>
  <c r="M46" i="2"/>
  <c r="K47" i="2"/>
  <c r="L47" i="2"/>
  <c r="M47" i="2"/>
  <c r="K48" i="2"/>
  <c r="L48" i="2"/>
  <c r="M48" i="2"/>
  <c r="K49" i="2"/>
  <c r="L49" i="2"/>
  <c r="M49" i="2"/>
  <c r="K50" i="2"/>
  <c r="L50" i="2"/>
  <c r="M50" i="2"/>
  <c r="K51" i="2"/>
  <c r="L51" i="2"/>
  <c r="M51" i="2"/>
  <c r="K52" i="2"/>
  <c r="L52" i="2"/>
  <c r="M52" i="2"/>
  <c r="K53" i="2"/>
  <c r="L53" i="2"/>
  <c r="M53" i="2"/>
  <c r="K54" i="2"/>
  <c r="L33" i="2"/>
  <c r="M33" i="2"/>
  <c r="N33" i="2"/>
  <c r="O33" i="2"/>
  <c r="K33" i="2"/>
  <c r="D46" i="2"/>
  <c r="D33" i="2"/>
  <c r="E33" i="2"/>
  <c r="F33" i="2"/>
  <c r="G33" i="2"/>
  <c r="B33" i="2"/>
  <c r="V6" i="3"/>
  <c r="V7" i="3"/>
  <c r="V8" i="3"/>
  <c r="V9" i="3"/>
  <c r="V10" i="3"/>
  <c r="V11" i="3"/>
  <c r="V12" i="3"/>
  <c r="V13" i="3"/>
  <c r="V14" i="3"/>
  <c r="V15" i="3"/>
  <c r="V16" i="3"/>
  <c r="V17" i="3"/>
  <c r="V18" i="3"/>
  <c r="V19" i="3"/>
  <c r="V20" i="3"/>
  <c r="V21" i="3"/>
  <c r="V22" i="3"/>
  <c r="V23" i="3"/>
  <c r="V24" i="3"/>
  <c r="V25" i="3"/>
  <c r="V26" i="3"/>
  <c r="V27" i="3"/>
  <c r="V28" i="3"/>
  <c r="V29" i="3"/>
  <c r="V30" i="3"/>
  <c r="V31" i="3"/>
  <c r="V32" i="3"/>
  <c r="V33" i="3"/>
  <c r="V34" i="3"/>
  <c r="V35" i="3"/>
  <c r="V36" i="3"/>
  <c r="V37" i="3"/>
  <c r="V38" i="3"/>
  <c r="V39" i="3"/>
  <c r="V40" i="3"/>
  <c r="V41" i="3"/>
  <c r="V42" i="3"/>
  <c r="V43" i="3"/>
  <c r="V44" i="3"/>
  <c r="V45" i="3"/>
  <c r="V46" i="3"/>
  <c r="V47" i="3"/>
  <c r="V48" i="3"/>
  <c r="V49" i="3"/>
  <c r="V50" i="3"/>
  <c r="V51" i="3"/>
  <c r="V52" i="3"/>
  <c r="V53" i="3"/>
  <c r="V54" i="3"/>
  <c r="V55" i="3"/>
  <c r="V56" i="3"/>
  <c r="V57" i="3"/>
  <c r="V58" i="3"/>
  <c r="V59" i="3"/>
  <c r="V60" i="3"/>
  <c r="V61" i="3"/>
  <c r="V62" i="3"/>
  <c r="V63" i="3"/>
  <c r="V64" i="3"/>
  <c r="V65" i="3"/>
  <c r="V66" i="3"/>
  <c r="V67" i="3"/>
  <c r="V68" i="3"/>
  <c r="V69" i="3"/>
  <c r="V70" i="3"/>
  <c r="V71" i="3"/>
  <c r="V72" i="3"/>
  <c r="V73" i="3"/>
  <c r="V74" i="3"/>
  <c r="V75" i="3"/>
  <c r="V76" i="3"/>
  <c r="V77" i="3"/>
  <c r="V78" i="3"/>
  <c r="V79" i="3"/>
  <c r="V80" i="3"/>
  <c r="V81" i="3"/>
  <c r="V82" i="3"/>
  <c r="V83" i="3"/>
  <c r="V84" i="3"/>
  <c r="V85" i="3"/>
  <c r="V86" i="3"/>
  <c r="V87" i="3"/>
  <c r="V88" i="3"/>
  <c r="V89" i="3"/>
  <c r="V90" i="3"/>
  <c r="V91" i="3"/>
  <c r="V92" i="3"/>
  <c r="V93" i="3"/>
  <c r="V94" i="3"/>
  <c r="V95" i="3"/>
  <c r="V96" i="3"/>
  <c r="V97" i="3"/>
  <c r="V98" i="3"/>
  <c r="V99" i="3"/>
  <c r="V100" i="3"/>
  <c r="V101" i="3"/>
  <c r="V102" i="3"/>
  <c r="V103" i="3"/>
  <c r="V104" i="3"/>
  <c r="V105" i="3"/>
  <c r="V106" i="3"/>
  <c r="V107" i="3"/>
  <c r="V108" i="3"/>
  <c r="V109" i="3"/>
  <c r="V110" i="3"/>
  <c r="V111" i="3"/>
  <c r="V112" i="3"/>
  <c r="V113" i="3"/>
  <c r="V114" i="3"/>
  <c r="V115" i="3"/>
  <c r="V116" i="3"/>
  <c r="V117" i="3"/>
  <c r="V118" i="3"/>
  <c r="V119" i="3"/>
  <c r="V120" i="3"/>
  <c r="V121" i="3"/>
  <c r="V122" i="3"/>
  <c r="V123" i="3"/>
  <c r="V124" i="3"/>
  <c r="V125" i="3"/>
  <c r="V126" i="3"/>
  <c r="V127" i="3"/>
  <c r="V128" i="3"/>
  <c r="V129" i="3"/>
  <c r="V130" i="3"/>
  <c r="V131" i="3"/>
  <c r="V132" i="3"/>
  <c r="V133" i="3"/>
  <c r="V134" i="3"/>
  <c r="V135" i="3"/>
  <c r="V136" i="3"/>
  <c r="V137" i="3"/>
  <c r="V138" i="3"/>
  <c r="V139" i="3"/>
  <c r="V140" i="3"/>
  <c r="V141" i="3"/>
  <c r="V142" i="3"/>
  <c r="V143" i="3"/>
  <c r="V144" i="3"/>
  <c r="V145" i="3"/>
  <c r="V146" i="3"/>
  <c r="V147" i="3"/>
  <c r="V148" i="3"/>
  <c r="V149" i="3"/>
  <c r="V150" i="3"/>
  <c r="V151" i="3"/>
  <c r="V152" i="3"/>
  <c r="V153" i="3"/>
  <c r="V154" i="3"/>
  <c r="V155" i="3"/>
  <c r="V156" i="3"/>
  <c r="V157" i="3"/>
  <c r="V158" i="3"/>
  <c r="AU55" i="2"/>
  <c r="AU58" i="2"/>
  <c r="AU53" i="2"/>
  <c r="AU50" i="2"/>
  <c r="AU51" i="2"/>
  <c r="AU54" i="2"/>
  <c r="AU52" i="2"/>
  <c r="AU57" i="2"/>
  <c r="AU49" i="2"/>
  <c r="AU47" i="2"/>
  <c r="AU48" i="2"/>
  <c r="AU56" i="2"/>
  <c r="AU46" i="2"/>
  <c r="A2" i="14"/>
  <c r="A2" i="15"/>
  <c r="B3" i="13"/>
  <c r="B10" i="13"/>
  <c r="C3" i="13"/>
  <c r="C10" i="13"/>
  <c r="D3" i="13"/>
  <c r="I3" i="13"/>
  <c r="E4" i="13"/>
  <c r="I4" i="13"/>
  <c r="E7" i="13"/>
  <c r="I7" i="13"/>
  <c r="E8" i="13"/>
  <c r="I8" i="13"/>
  <c r="N8" i="13"/>
  <c r="F10" i="13"/>
  <c r="G10" i="13"/>
  <c r="H10" i="13"/>
  <c r="J10" i="13"/>
  <c r="K10" i="13"/>
  <c r="L10" i="13"/>
  <c r="E12" i="13"/>
  <c r="E13" i="13"/>
  <c r="C14" i="13"/>
  <c r="D14" i="13"/>
  <c r="E20" i="13"/>
  <c r="I20" i="13"/>
  <c r="E21" i="13"/>
  <c r="I21" i="13"/>
  <c r="N20" i="13"/>
  <c r="N4" i="13"/>
  <c r="N21" i="13"/>
  <c r="N13" i="13"/>
  <c r="I10" i="13"/>
  <c r="AP50" i="2"/>
  <c r="AP54" i="2"/>
  <c r="AP47" i="2"/>
  <c r="AP56" i="2"/>
  <c r="AP49" i="2"/>
  <c r="AP51" i="2"/>
  <c r="AP52" i="2"/>
  <c r="AP53" i="2"/>
  <c r="AP55" i="2"/>
  <c r="AP48" i="2"/>
  <c r="AP46" i="2"/>
  <c r="E14" i="13"/>
  <c r="N7" i="13"/>
  <c r="E3" i="13"/>
  <c r="N3" i="13"/>
  <c r="AZ46" i="2"/>
  <c r="AY47" i="2"/>
  <c r="AZ47" i="2"/>
  <c r="AY48" i="2"/>
  <c r="AZ48" i="2"/>
  <c r="AY49" i="2"/>
  <c r="AZ49" i="2"/>
  <c r="AY50" i="2"/>
  <c r="AZ50" i="2"/>
  <c r="AY51" i="2"/>
  <c r="AZ51" i="2"/>
  <c r="AY52" i="2"/>
  <c r="AZ52" i="2"/>
  <c r="AY53" i="2"/>
  <c r="AZ53" i="2"/>
  <c r="AY54" i="2"/>
  <c r="AZ54" i="2"/>
  <c r="AY55" i="2"/>
  <c r="AZ55" i="2"/>
  <c r="AY56" i="2"/>
  <c r="AZ56" i="2"/>
  <c r="AY57" i="2"/>
  <c r="AZ57" i="2"/>
  <c r="AY58" i="2"/>
  <c r="AZ58" i="2"/>
  <c r="AY59" i="2"/>
  <c r="AZ59" i="2"/>
  <c r="AY60" i="2"/>
  <c r="AZ60" i="2"/>
  <c r="AY61" i="2"/>
  <c r="AZ61" i="2"/>
  <c r="AY62" i="2"/>
  <c r="AZ62" i="2"/>
  <c r="AY63" i="2"/>
  <c r="AZ63" i="2"/>
  <c r="AY64" i="2"/>
  <c r="AZ64" i="2"/>
  <c r="AY65" i="2"/>
  <c r="AZ65" i="2"/>
  <c r="AY66" i="2"/>
  <c r="AZ66" i="2"/>
  <c r="D10" i="13"/>
  <c r="N12" i="13"/>
  <c r="A28" i="9"/>
  <c r="A19" i="9"/>
  <c r="A20" i="9"/>
  <c r="A21" i="9"/>
  <c r="A22" i="9"/>
  <c r="A23" i="9"/>
  <c r="A24" i="9"/>
  <c r="A25" i="9"/>
  <c r="A26" i="9"/>
  <c r="A27" i="9"/>
  <c r="A29" i="9"/>
  <c r="A30" i="9"/>
  <c r="A31" i="9"/>
  <c r="A32" i="9"/>
  <c r="A33" i="9"/>
  <c r="A34" i="9"/>
  <c r="A35" i="9"/>
  <c r="A36" i="9"/>
  <c r="A37" i="9"/>
  <c r="A38" i="9"/>
  <c r="A39" i="9"/>
  <c r="A18" i="9"/>
  <c r="B46" i="2"/>
  <c r="AY67" i="2"/>
  <c r="AZ67" i="2"/>
  <c r="AY68" i="2"/>
  <c r="AZ68" i="2"/>
  <c r="S52" i="2"/>
  <c r="B29" i="15"/>
  <c r="S43" i="2"/>
  <c r="B20" i="15"/>
  <c r="E20" i="15"/>
  <c r="H20" i="15"/>
  <c r="S54" i="2"/>
  <c r="B31" i="15"/>
  <c r="S46" i="2"/>
  <c r="B23" i="15"/>
  <c r="S37" i="2"/>
  <c r="B14" i="15"/>
  <c r="V53" i="2"/>
  <c r="E30" i="15"/>
  <c r="H30" i="15"/>
  <c r="E22" i="15"/>
  <c r="H22" i="15"/>
  <c r="E14" i="15"/>
  <c r="H14" i="15"/>
  <c r="S53" i="2"/>
  <c r="B30" i="15"/>
  <c r="S45" i="2"/>
  <c r="B22" i="15"/>
  <c r="S36" i="2"/>
  <c r="B13" i="15"/>
  <c r="V52" i="2"/>
  <c r="E29" i="15"/>
  <c r="H29" i="15"/>
  <c r="V44" i="2"/>
  <c r="E21" i="15"/>
  <c r="H21" i="15"/>
  <c r="V36" i="2"/>
  <c r="E13" i="15"/>
  <c r="H13" i="15"/>
  <c r="E28" i="15"/>
  <c r="H28" i="15"/>
  <c r="S51" i="2"/>
  <c r="B28" i="15"/>
  <c r="S56" i="2"/>
  <c r="B33" i="15"/>
  <c r="W34" i="2"/>
  <c r="F11" i="15"/>
  <c r="V34" i="2"/>
  <c r="E11" i="15"/>
  <c r="H11" i="15"/>
  <c r="J11" i="15"/>
  <c r="V35" i="2"/>
  <c r="E12" i="15"/>
  <c r="H12" i="15"/>
  <c r="E17" i="15"/>
  <c r="H17" i="15"/>
  <c r="S35" i="2"/>
  <c r="B12" i="15"/>
  <c r="V50" i="2"/>
  <c r="E27" i="15"/>
  <c r="H27" i="15"/>
  <c r="S41" i="2"/>
  <c r="B18" i="15"/>
  <c r="V41" i="2"/>
  <c r="E18" i="15"/>
  <c r="H18" i="15"/>
  <c r="S49" i="2"/>
  <c r="B26" i="15"/>
  <c r="S40" i="2"/>
  <c r="B17" i="15"/>
  <c r="V48" i="2"/>
  <c r="E25" i="15"/>
  <c r="H25" i="15"/>
  <c r="S34" i="2"/>
  <c r="B11" i="15"/>
  <c r="S48" i="2"/>
  <c r="B25" i="15"/>
  <c r="S39" i="2"/>
  <c r="B16" i="15"/>
  <c r="V55" i="2"/>
  <c r="E32" i="15"/>
  <c r="H32" i="15"/>
  <c r="V47" i="2"/>
  <c r="E24" i="15"/>
  <c r="H24" i="15"/>
  <c r="V39" i="2"/>
  <c r="E16" i="15"/>
  <c r="H16" i="15"/>
  <c r="S44" i="2"/>
  <c r="B21" i="15"/>
  <c r="S42" i="2"/>
  <c r="B19" i="15"/>
  <c r="E19" i="15"/>
  <c r="H19" i="15"/>
  <c r="AQ52" i="2"/>
  <c r="AQ55" i="2"/>
  <c r="AQ48" i="2"/>
  <c r="AQ50" i="2"/>
  <c r="AQ53" i="2"/>
  <c r="AQ47" i="2"/>
  <c r="AQ49" i="2"/>
  <c r="AQ46" i="2"/>
  <c r="AQ54" i="2"/>
  <c r="AQ56" i="2"/>
  <c r="AQ51" i="2"/>
  <c r="S50" i="2"/>
  <c r="B27" i="15"/>
  <c r="E26" i="15"/>
  <c r="H26" i="15"/>
  <c r="S55" i="2"/>
  <c r="B32" i="15"/>
  <c r="S47" i="2"/>
  <c r="B24" i="15"/>
  <c r="S38" i="2"/>
  <c r="B15" i="15"/>
  <c r="E31" i="15"/>
  <c r="H31" i="15"/>
  <c r="E23" i="15"/>
  <c r="H23" i="15"/>
  <c r="E15" i="15"/>
  <c r="H15" i="15"/>
  <c r="E10" i="13"/>
  <c r="I31" i="15"/>
  <c r="S31" i="15"/>
  <c r="J31" i="15"/>
  <c r="J26" i="15"/>
  <c r="I26" i="15"/>
  <c r="S26" i="15"/>
  <c r="J19" i="15"/>
  <c r="I19" i="15"/>
  <c r="S19" i="15"/>
  <c r="I24" i="15"/>
  <c r="S24" i="15"/>
  <c r="J24" i="15"/>
  <c r="J18" i="15"/>
  <c r="I18" i="15"/>
  <c r="S18" i="15"/>
  <c r="I17" i="15"/>
  <c r="S17" i="15"/>
  <c r="J17" i="15"/>
  <c r="W35" i="2"/>
  <c r="F12" i="15"/>
  <c r="I13" i="15"/>
  <c r="S13" i="15"/>
  <c r="J13" i="15"/>
  <c r="J30" i="15"/>
  <c r="I30" i="15"/>
  <c r="S30" i="15"/>
  <c r="J20" i="15"/>
  <c r="I20" i="15"/>
  <c r="S20" i="15"/>
  <c r="S57" i="2"/>
  <c r="B34" i="15"/>
  <c r="I32" i="15"/>
  <c r="S32" i="15"/>
  <c r="J32" i="15"/>
  <c r="I25" i="15"/>
  <c r="S25" i="15"/>
  <c r="J25" i="15"/>
  <c r="I12" i="15"/>
  <c r="S12" i="15"/>
  <c r="J12" i="15"/>
  <c r="J21" i="15"/>
  <c r="I21" i="15"/>
  <c r="S21" i="15"/>
  <c r="T56" i="2"/>
  <c r="I11" i="15"/>
  <c r="S11" i="15"/>
  <c r="J14" i="15"/>
  <c r="I14" i="15"/>
  <c r="S14" i="15"/>
  <c r="I23" i="15"/>
  <c r="S23" i="15"/>
  <c r="J23" i="15"/>
  <c r="J16" i="15"/>
  <c r="I16" i="15"/>
  <c r="S16" i="15"/>
  <c r="J28" i="15"/>
  <c r="I28" i="15"/>
  <c r="S28" i="15"/>
  <c r="J22" i="15"/>
  <c r="I22" i="15"/>
  <c r="S22" i="15"/>
  <c r="AY69" i="2"/>
  <c r="AZ69" i="2"/>
  <c r="AY70" i="2"/>
  <c r="AZ70" i="2"/>
  <c r="I15" i="15"/>
  <c r="S15" i="15"/>
  <c r="J15" i="15"/>
  <c r="J27" i="15"/>
  <c r="I27" i="15"/>
  <c r="S27" i="15"/>
  <c r="I29" i="15"/>
  <c r="S29" i="15"/>
  <c r="J29" i="15"/>
  <c r="E46" i="2"/>
  <c r="B47" i="2"/>
  <c r="U9" i="10"/>
  <c r="AE9" i="9"/>
  <c r="AE11" i="9"/>
  <c r="AF9" i="9"/>
  <c r="AF11" i="9"/>
  <c r="AG9" i="9"/>
  <c r="AG11" i="9"/>
  <c r="AH9" i="9"/>
  <c r="AH11" i="9"/>
  <c r="AI9" i="9"/>
  <c r="AI11" i="9"/>
  <c r="AJ9" i="9"/>
  <c r="AJ11" i="9"/>
  <c r="AK9" i="9"/>
  <c r="AK11" i="9"/>
  <c r="AL9" i="9"/>
  <c r="AL11" i="9"/>
  <c r="AM9" i="9"/>
  <c r="AM11" i="9"/>
  <c r="AN9" i="9"/>
  <c r="AN11" i="9"/>
  <c r="AO9" i="9"/>
  <c r="AO11" i="9"/>
  <c r="AP9" i="9"/>
  <c r="AP11" i="9"/>
  <c r="AQ9" i="9"/>
  <c r="AQ11" i="9"/>
  <c r="AR9" i="9"/>
  <c r="AR11" i="9"/>
  <c r="AS9" i="9"/>
  <c r="AS11" i="9"/>
  <c r="AT9" i="9"/>
  <c r="AT11" i="9"/>
  <c r="AU9" i="9"/>
  <c r="AU11" i="9"/>
  <c r="AV9" i="9"/>
  <c r="AV11" i="9"/>
  <c r="AW9" i="9"/>
  <c r="AW11" i="9"/>
  <c r="AX9" i="9"/>
  <c r="AX11" i="9"/>
  <c r="AY9" i="9"/>
  <c r="AY11" i="9"/>
  <c r="AZ9" i="9"/>
  <c r="AZ11" i="9"/>
  <c r="BA9" i="9"/>
  <c r="BA11" i="9"/>
  <c r="BB9" i="9"/>
  <c r="BB11" i="9"/>
  <c r="BC9" i="9"/>
  <c r="BC11" i="9"/>
  <c r="BD9" i="9"/>
  <c r="BD11" i="9"/>
  <c r="BE9" i="9"/>
  <c r="BE11" i="9"/>
  <c r="BF9" i="9"/>
  <c r="BF11" i="9"/>
  <c r="BG9" i="9"/>
  <c r="BG11" i="9"/>
  <c r="BH9" i="9"/>
  <c r="BH11" i="9"/>
  <c r="BI9" i="9"/>
  <c r="BI11" i="9"/>
  <c r="BJ9" i="9"/>
  <c r="BJ11" i="9"/>
  <c r="BK9" i="9"/>
  <c r="BK11" i="9"/>
  <c r="BL9" i="9"/>
  <c r="BL11" i="9"/>
  <c r="BM9" i="9"/>
  <c r="BM11" i="9"/>
  <c r="BN9" i="9"/>
  <c r="BN11" i="9"/>
  <c r="BO9" i="9"/>
  <c r="BO11" i="9"/>
  <c r="BP9" i="9"/>
  <c r="BP11" i="9"/>
  <c r="BQ9" i="9"/>
  <c r="BQ11" i="9"/>
  <c r="BR9" i="9"/>
  <c r="BR11" i="9"/>
  <c r="BS9" i="9"/>
  <c r="BS11" i="9"/>
  <c r="BT9" i="9"/>
  <c r="BT11" i="9"/>
  <c r="BU9" i="9"/>
  <c r="BU11" i="9"/>
  <c r="BV9" i="9"/>
  <c r="BV11" i="9"/>
  <c r="BW9" i="9"/>
  <c r="BW11" i="9"/>
  <c r="BX9" i="9"/>
  <c r="BX11" i="9"/>
  <c r="BY9" i="9"/>
  <c r="BY11" i="9"/>
  <c r="BZ9" i="9"/>
  <c r="BZ11" i="9"/>
  <c r="CA9" i="9"/>
  <c r="CA11" i="9"/>
  <c r="CB9" i="9"/>
  <c r="CB11" i="9"/>
  <c r="CC9" i="9"/>
  <c r="CC11" i="9"/>
  <c r="CD9" i="9"/>
  <c r="CD11" i="9"/>
  <c r="CE9" i="9"/>
  <c r="CE11" i="9"/>
  <c r="CF9" i="9"/>
  <c r="CF11" i="9"/>
  <c r="CG9" i="9"/>
  <c r="CG11" i="9"/>
  <c r="CH9" i="9"/>
  <c r="CH11" i="9"/>
  <c r="CI9" i="9"/>
  <c r="CI11" i="9"/>
  <c r="CJ9" i="9"/>
  <c r="CJ11" i="9"/>
  <c r="CK9" i="9"/>
  <c r="CK11" i="9"/>
  <c r="CL9" i="9"/>
  <c r="CL11" i="9"/>
  <c r="CM9" i="9"/>
  <c r="CM11" i="9"/>
  <c r="CN9" i="9"/>
  <c r="CN11" i="9"/>
  <c r="CO9" i="9"/>
  <c r="CO11" i="9"/>
  <c r="CP9" i="9"/>
  <c r="CP11" i="9"/>
  <c r="CQ9" i="9"/>
  <c r="CQ11" i="9"/>
  <c r="CR9" i="9"/>
  <c r="CR11" i="9"/>
  <c r="CS9" i="9"/>
  <c r="CS11" i="9"/>
  <c r="CT9" i="9"/>
  <c r="CT11" i="9"/>
  <c r="CU9" i="9"/>
  <c r="CU11" i="9"/>
  <c r="CV9" i="9"/>
  <c r="CV11" i="9"/>
  <c r="CW9" i="9"/>
  <c r="CW11" i="9"/>
  <c r="AD9" i="9"/>
  <c r="N50" i="2"/>
  <c r="N52" i="2"/>
  <c r="N44" i="2"/>
  <c r="N51" i="2"/>
  <c r="N43" i="2"/>
  <c r="N49" i="2"/>
  <c r="S58" i="2"/>
  <c r="B35" i="15"/>
  <c r="N47" i="2"/>
  <c r="T57" i="2"/>
  <c r="N48" i="2"/>
  <c r="AE46" i="2"/>
  <c r="N46" i="2"/>
  <c r="AY71" i="2"/>
  <c r="AZ71" i="2"/>
  <c r="AY72" i="2"/>
  <c r="AZ72" i="2"/>
  <c r="AY73" i="2"/>
  <c r="AZ73" i="2"/>
  <c r="AY74" i="2"/>
  <c r="AZ74" i="2"/>
  <c r="AY75" i="2"/>
  <c r="AZ75" i="2"/>
  <c r="AY76" i="2"/>
  <c r="AZ76" i="2"/>
  <c r="AY77" i="2"/>
  <c r="AZ77" i="2"/>
  <c r="AY78" i="2"/>
  <c r="AZ78" i="2"/>
  <c r="AY79" i="2"/>
  <c r="AZ79" i="2"/>
  <c r="AY80" i="2"/>
  <c r="AZ80" i="2"/>
  <c r="AY81" i="2"/>
  <c r="AZ81" i="2"/>
  <c r="AY82" i="2"/>
  <c r="AZ82" i="2"/>
  <c r="AY83" i="2"/>
  <c r="AZ83" i="2"/>
  <c r="AY84" i="2"/>
  <c r="AZ84" i="2"/>
  <c r="AY85" i="2"/>
  <c r="AZ85" i="2"/>
  <c r="AY86" i="2"/>
  <c r="AZ86" i="2"/>
  <c r="AY87" i="2"/>
  <c r="AZ87" i="2"/>
  <c r="AY88" i="2"/>
  <c r="AZ88" i="2"/>
  <c r="AY89" i="2"/>
  <c r="AZ89" i="2"/>
  <c r="AY90" i="2"/>
  <c r="AZ90" i="2"/>
  <c r="AY91" i="2"/>
  <c r="AZ91" i="2"/>
  <c r="AY92" i="2"/>
  <c r="AZ92" i="2"/>
  <c r="AY93" i="2"/>
  <c r="AZ93" i="2"/>
  <c r="AY94" i="2"/>
  <c r="AZ94" i="2"/>
  <c r="U56" i="2"/>
  <c r="D33" i="15"/>
  <c r="W36" i="2"/>
  <c r="F13" i="15"/>
  <c r="N53" i="2"/>
  <c r="N45" i="2"/>
  <c r="F12" i="14"/>
  <c r="O42" i="2"/>
  <c r="B25" i="14"/>
  <c r="H25" i="14"/>
  <c r="K55" i="2"/>
  <c r="L54" i="2"/>
  <c r="B48" i="2"/>
  <c r="AD11" i="9"/>
  <c r="AY95" i="2"/>
  <c r="AZ95" i="2"/>
  <c r="AY96" i="2"/>
  <c r="AZ96" i="2"/>
  <c r="U57" i="2"/>
  <c r="D34" i="15"/>
  <c r="AE47" i="2"/>
  <c r="AF47" i="2"/>
  <c r="S59" i="2"/>
  <c r="B36" i="15"/>
  <c r="W37" i="2"/>
  <c r="F14" i="15"/>
  <c r="AF52" i="2"/>
  <c r="AE52" i="2"/>
  <c r="AE50" i="2"/>
  <c r="AF50" i="2"/>
  <c r="AE49" i="2"/>
  <c r="AF49" i="2"/>
  <c r="AE51" i="2"/>
  <c r="AF51" i="2"/>
  <c r="T58" i="2"/>
  <c r="AE53" i="2"/>
  <c r="AF53" i="2"/>
  <c r="E33" i="15"/>
  <c r="H33" i="15"/>
  <c r="D47" i="2"/>
  <c r="G46" i="2"/>
  <c r="AF48" i="2"/>
  <c r="AE48" i="2"/>
  <c r="F13" i="14"/>
  <c r="O43" i="2"/>
  <c r="L55" i="2"/>
  <c r="D24" i="14"/>
  <c r="J24" i="14"/>
  <c r="K24" i="14"/>
  <c r="AE24" i="14"/>
  <c r="AG24" i="14"/>
  <c r="E24" i="14"/>
  <c r="AH24" i="14"/>
  <c r="M54" i="2"/>
  <c r="B27" i="14"/>
  <c r="H27" i="14"/>
  <c r="K57" i="2"/>
  <c r="B26" i="14"/>
  <c r="H26" i="14"/>
  <c r="K56" i="2"/>
  <c r="B49" i="2"/>
  <c r="AU59" i="2"/>
  <c r="N24" i="14"/>
  <c r="O24" i="14"/>
  <c r="P24" i="14"/>
  <c r="Y24" i="14"/>
  <c r="Z24" i="14"/>
  <c r="L24" i="14"/>
  <c r="E47" i="2"/>
  <c r="I33" i="15"/>
  <c r="S33" i="15"/>
  <c r="J33" i="15"/>
  <c r="E34" i="15"/>
  <c r="H34" i="15"/>
  <c r="W38" i="2"/>
  <c r="F15" i="15"/>
  <c r="S60" i="2"/>
  <c r="B37" i="15"/>
  <c r="AY97" i="2"/>
  <c r="AZ97" i="2"/>
  <c r="AY98" i="2"/>
  <c r="AZ98" i="2"/>
  <c r="D35" i="15"/>
  <c r="D48" i="2"/>
  <c r="T59" i="2"/>
  <c r="AG46" i="2"/>
  <c r="F14" i="14"/>
  <c r="O44" i="2"/>
  <c r="L57" i="2"/>
  <c r="N54" i="2"/>
  <c r="B28" i="14"/>
  <c r="H28" i="14"/>
  <c r="K58" i="2"/>
  <c r="L56" i="2"/>
  <c r="D25" i="14"/>
  <c r="J25" i="14"/>
  <c r="K25" i="14"/>
  <c r="M55" i="2"/>
  <c r="B50" i="2"/>
  <c r="N25" i="14"/>
  <c r="O25" i="14"/>
  <c r="P25" i="14"/>
  <c r="Y25" i="14"/>
  <c r="Z25" i="14"/>
  <c r="AE25" i="14"/>
  <c r="AG25" i="14"/>
  <c r="E25" i="14"/>
  <c r="AH25" i="14"/>
  <c r="L25" i="14"/>
  <c r="E48" i="2"/>
  <c r="U59" i="2"/>
  <c r="D36" i="15"/>
  <c r="E35" i="15"/>
  <c r="H35" i="15"/>
  <c r="T60" i="2"/>
  <c r="S61" i="2"/>
  <c r="B38" i="15"/>
  <c r="AY99" i="2"/>
  <c r="AZ99" i="2"/>
  <c r="AY100" i="2"/>
  <c r="AZ100" i="2"/>
  <c r="G47" i="2"/>
  <c r="F47" i="2"/>
  <c r="D49" i="2"/>
  <c r="W39" i="2"/>
  <c r="F16" i="15"/>
  <c r="I34" i="15"/>
  <c r="S34" i="15"/>
  <c r="J34" i="15"/>
  <c r="AE54" i="2"/>
  <c r="AF54" i="2"/>
  <c r="F15" i="14"/>
  <c r="O45" i="2"/>
  <c r="L58" i="2"/>
  <c r="N55" i="2"/>
  <c r="B29" i="14"/>
  <c r="H29" i="14"/>
  <c r="K59" i="2"/>
  <c r="D26" i="14"/>
  <c r="J26" i="14"/>
  <c r="K26" i="14"/>
  <c r="M56" i="2"/>
  <c r="D27" i="14"/>
  <c r="J27" i="14"/>
  <c r="K27" i="14"/>
  <c r="M57" i="2"/>
  <c r="B51" i="2"/>
  <c r="AU60" i="2"/>
  <c r="N26" i="14"/>
  <c r="O26" i="14"/>
  <c r="P26" i="14"/>
  <c r="Y26" i="14"/>
  <c r="Z26" i="14"/>
  <c r="AE26" i="14"/>
  <c r="AG26" i="14"/>
  <c r="E26" i="14"/>
  <c r="AH26" i="14"/>
  <c r="N27" i="14"/>
  <c r="O27" i="14"/>
  <c r="P27" i="14"/>
  <c r="Y27" i="14"/>
  <c r="Z27" i="14"/>
  <c r="AE27" i="14"/>
  <c r="AG27" i="14"/>
  <c r="E27" i="14"/>
  <c r="AH27" i="14"/>
  <c r="L26" i="14"/>
  <c r="L27" i="14"/>
  <c r="AY101" i="2"/>
  <c r="AZ101" i="2"/>
  <c r="AY102" i="2"/>
  <c r="AZ102" i="2"/>
  <c r="T61" i="2"/>
  <c r="W40" i="2"/>
  <c r="F17" i="15"/>
  <c r="D50" i="2"/>
  <c r="I35" i="15"/>
  <c r="S35" i="15"/>
  <c r="J35" i="15"/>
  <c r="S62" i="2"/>
  <c r="B39" i="15"/>
  <c r="AG47" i="2"/>
  <c r="AH47" i="2"/>
  <c r="AI47" i="2"/>
  <c r="U60" i="2"/>
  <c r="D37" i="15"/>
  <c r="E49" i="2"/>
  <c r="E36" i="15"/>
  <c r="H36" i="15"/>
  <c r="F48" i="2"/>
  <c r="AE55" i="2"/>
  <c r="AF55" i="2"/>
  <c r="F16" i="14"/>
  <c r="O46" i="2"/>
  <c r="B11" i="16"/>
  <c r="L59" i="2"/>
  <c r="N56" i="2"/>
  <c r="D28" i="14"/>
  <c r="J28" i="14"/>
  <c r="K28" i="14"/>
  <c r="B30" i="14"/>
  <c r="H30" i="14"/>
  <c r="K60" i="2"/>
  <c r="B52" i="2"/>
  <c r="AM47" i="2"/>
  <c r="AU62" i="2"/>
  <c r="AU61" i="2"/>
  <c r="A9" i="16"/>
  <c r="C9" i="16"/>
  <c r="N28" i="14"/>
  <c r="O28" i="14"/>
  <c r="P28" i="14"/>
  <c r="Y28" i="14"/>
  <c r="Z28" i="14"/>
  <c r="AE28" i="14"/>
  <c r="AG28" i="14"/>
  <c r="E28" i="14"/>
  <c r="AH28" i="14"/>
  <c r="L28" i="14"/>
  <c r="AG48" i="2"/>
  <c r="AH48" i="2"/>
  <c r="AI48" i="2"/>
  <c r="G48" i="2"/>
  <c r="T62" i="2"/>
  <c r="E37" i="15"/>
  <c r="H37" i="15"/>
  <c r="E50" i="2"/>
  <c r="AY103" i="2"/>
  <c r="AZ103" i="2"/>
  <c r="AY104" i="2"/>
  <c r="AZ104" i="2"/>
  <c r="G49" i="2"/>
  <c r="F49" i="2"/>
  <c r="W41" i="2"/>
  <c r="F18" i="15"/>
  <c r="D51" i="2"/>
  <c r="J36" i="15"/>
  <c r="I36" i="15"/>
  <c r="S36" i="15"/>
  <c r="U61" i="2"/>
  <c r="D38" i="15"/>
  <c r="S63" i="2"/>
  <c r="B40" i="15"/>
  <c r="AE56" i="2"/>
  <c r="AF56" i="2"/>
  <c r="F17" i="14"/>
  <c r="O47" i="2"/>
  <c r="B31" i="14"/>
  <c r="H31" i="14"/>
  <c r="K61" i="2"/>
  <c r="L60" i="2"/>
  <c r="D29" i="14"/>
  <c r="J29" i="14"/>
  <c r="K29" i="14"/>
  <c r="M59" i="2"/>
  <c r="B53" i="2"/>
  <c r="AM48" i="2"/>
  <c r="AU63" i="2"/>
  <c r="N29" i="14"/>
  <c r="O29" i="14"/>
  <c r="P29" i="14"/>
  <c r="Y29" i="14"/>
  <c r="Z29" i="14"/>
  <c r="AE29" i="14"/>
  <c r="AG29" i="14"/>
  <c r="E29" i="14"/>
  <c r="AH29" i="14"/>
  <c r="L29" i="14"/>
  <c r="U62" i="2"/>
  <c r="D39" i="15"/>
  <c r="D52" i="2"/>
  <c r="E51" i="2"/>
  <c r="G50" i="2"/>
  <c r="F50" i="2"/>
  <c r="I37" i="15"/>
  <c r="S37" i="15"/>
  <c r="J37" i="15"/>
  <c r="E38" i="15"/>
  <c r="H38" i="15"/>
  <c r="AG49" i="2"/>
  <c r="AH49" i="2"/>
  <c r="AI49" i="2"/>
  <c r="W42" i="2"/>
  <c r="F19" i="15"/>
  <c r="AY105" i="2"/>
  <c r="AZ105" i="2"/>
  <c r="AY106" i="2"/>
  <c r="AZ106" i="2"/>
  <c r="T63" i="2"/>
  <c r="S64" i="2"/>
  <c r="B41" i="15"/>
  <c r="F18" i="14"/>
  <c r="O48" i="2"/>
  <c r="L61" i="2"/>
  <c r="D30" i="14"/>
  <c r="J30" i="14"/>
  <c r="K30" i="14"/>
  <c r="M60" i="2"/>
  <c r="B32" i="14"/>
  <c r="H32" i="14"/>
  <c r="K62" i="2"/>
  <c r="B54" i="2"/>
  <c r="AM49" i="2"/>
  <c r="AU64" i="2"/>
  <c r="N30" i="14"/>
  <c r="O30" i="14"/>
  <c r="P30" i="14"/>
  <c r="Y30" i="14"/>
  <c r="Z30" i="14"/>
  <c r="AE30" i="14"/>
  <c r="AG30" i="14"/>
  <c r="E30" i="14"/>
  <c r="AH30" i="14"/>
  <c r="L30" i="14"/>
  <c r="AY107" i="2"/>
  <c r="AZ107" i="2"/>
  <c r="AY108" i="2"/>
  <c r="AZ108" i="2"/>
  <c r="G51" i="2"/>
  <c r="F51" i="2"/>
  <c r="E52" i="2"/>
  <c r="T64" i="2"/>
  <c r="S65" i="2"/>
  <c r="B42" i="15"/>
  <c r="W43" i="2"/>
  <c r="F20" i="15"/>
  <c r="D53" i="2"/>
  <c r="U63" i="2"/>
  <c r="D40" i="15"/>
  <c r="AH50" i="2"/>
  <c r="AI50" i="2"/>
  <c r="AG50" i="2"/>
  <c r="E39" i="15"/>
  <c r="H39" i="15"/>
  <c r="I38" i="15"/>
  <c r="S38" i="15"/>
  <c r="J38" i="15"/>
  <c r="F19" i="14"/>
  <c r="O49" i="2"/>
  <c r="L62" i="2"/>
  <c r="D31" i="14"/>
  <c r="J31" i="14"/>
  <c r="K31" i="14"/>
  <c r="M61" i="2"/>
  <c r="B33" i="14"/>
  <c r="H33" i="14"/>
  <c r="K63" i="2"/>
  <c r="B55" i="2"/>
  <c r="AM50" i="2"/>
  <c r="AU65" i="2"/>
  <c r="N31" i="14"/>
  <c r="O31" i="14"/>
  <c r="P31" i="14"/>
  <c r="Y31" i="14"/>
  <c r="Z31" i="14"/>
  <c r="AE31" i="14"/>
  <c r="AG31" i="14"/>
  <c r="E31" i="14"/>
  <c r="AH31" i="14"/>
  <c r="L31" i="14"/>
  <c r="E53" i="2"/>
  <c r="U64" i="2"/>
  <c r="D41" i="15"/>
  <c r="S66" i="2"/>
  <c r="B43" i="15"/>
  <c r="G52" i="2"/>
  <c r="F52" i="2"/>
  <c r="T65" i="2"/>
  <c r="D54" i="2"/>
  <c r="E40" i="15"/>
  <c r="H40" i="15"/>
  <c r="AH51" i="2"/>
  <c r="AI51" i="2"/>
  <c r="AG51" i="2"/>
  <c r="AY109" i="2"/>
  <c r="AZ109" i="2"/>
  <c r="AY110" i="2"/>
  <c r="AZ110" i="2"/>
  <c r="W44" i="2"/>
  <c r="F21" i="15"/>
  <c r="I39" i="15"/>
  <c r="S39" i="15"/>
  <c r="J39" i="15"/>
  <c r="F20" i="14"/>
  <c r="O50" i="2"/>
  <c r="D32" i="14"/>
  <c r="J32" i="14"/>
  <c r="K32" i="14"/>
  <c r="M62" i="2"/>
  <c r="B34" i="14"/>
  <c r="H34" i="14"/>
  <c r="K64" i="2"/>
  <c r="L63" i="2"/>
  <c r="B56" i="2"/>
  <c r="AM51" i="2"/>
  <c r="AU66" i="2"/>
  <c r="N32" i="14"/>
  <c r="O32" i="14"/>
  <c r="P32" i="14"/>
  <c r="Y32" i="14"/>
  <c r="Z32" i="14"/>
  <c r="AE32" i="14"/>
  <c r="AG32" i="14"/>
  <c r="E32" i="14"/>
  <c r="AH32" i="14"/>
  <c r="L32" i="14"/>
  <c r="D55" i="2"/>
  <c r="S67" i="2"/>
  <c r="B44" i="15"/>
  <c r="E41" i="15"/>
  <c r="H41" i="15"/>
  <c r="W45" i="2"/>
  <c r="F22" i="15"/>
  <c r="E54" i="2"/>
  <c r="U65" i="2"/>
  <c r="D42" i="15"/>
  <c r="AY111" i="2"/>
  <c r="AZ111" i="2"/>
  <c r="AY112" i="2"/>
  <c r="AZ112" i="2"/>
  <c r="AY113" i="2"/>
  <c r="AZ113" i="2"/>
  <c r="AY114" i="2"/>
  <c r="AZ114" i="2"/>
  <c r="T66" i="2"/>
  <c r="J40" i="15"/>
  <c r="I40" i="15"/>
  <c r="S40" i="15"/>
  <c r="AG52" i="2"/>
  <c r="AH52" i="2"/>
  <c r="AI52" i="2"/>
  <c r="G53" i="2"/>
  <c r="F53" i="2"/>
  <c r="F21" i="14"/>
  <c r="O51" i="2"/>
  <c r="D33" i="14"/>
  <c r="J33" i="14"/>
  <c r="K33" i="14"/>
  <c r="M63" i="2"/>
  <c r="B35" i="14"/>
  <c r="H35" i="14"/>
  <c r="K65" i="2"/>
  <c r="L64" i="2"/>
  <c r="AM52" i="2"/>
  <c r="AU67" i="2"/>
  <c r="N33" i="14"/>
  <c r="O33" i="14"/>
  <c r="P33" i="14"/>
  <c r="Y33" i="14"/>
  <c r="Z33" i="14"/>
  <c r="AE33" i="14"/>
  <c r="AG33" i="14"/>
  <c r="E33" i="14"/>
  <c r="AH33" i="14"/>
  <c r="L33" i="14"/>
  <c r="AL57" i="2"/>
  <c r="AP57" i="2"/>
  <c r="AL67" i="2"/>
  <c r="AL63" i="2"/>
  <c r="AL68" i="2"/>
  <c r="AL60" i="2"/>
  <c r="AL62" i="2"/>
  <c r="AL58" i="2"/>
  <c r="AL66" i="2"/>
  <c r="AL61" i="2"/>
  <c r="AL59" i="2"/>
  <c r="AL65" i="2"/>
  <c r="AL64" i="2"/>
  <c r="E42" i="15"/>
  <c r="H42" i="15"/>
  <c r="AY115" i="2"/>
  <c r="AZ115" i="2"/>
  <c r="AY116" i="2"/>
  <c r="AZ116" i="2"/>
  <c r="U66" i="2"/>
  <c r="D43" i="15"/>
  <c r="S68" i="2"/>
  <c r="B45" i="15"/>
  <c r="I41" i="15"/>
  <c r="S41" i="15"/>
  <c r="J41" i="15"/>
  <c r="AH53" i="2"/>
  <c r="AI53" i="2"/>
  <c r="AG53" i="2"/>
  <c r="G54" i="2"/>
  <c r="F54" i="2"/>
  <c r="T67" i="2"/>
  <c r="C44" i="15"/>
  <c r="D56" i="2"/>
  <c r="W46" i="2"/>
  <c r="F23" i="15"/>
  <c r="E55" i="2"/>
  <c r="F22" i="14"/>
  <c r="O52" i="2"/>
  <c r="L65" i="2"/>
  <c r="D34" i="14"/>
  <c r="J34" i="14"/>
  <c r="K34" i="14"/>
  <c r="M64" i="2"/>
  <c r="B36" i="14"/>
  <c r="H36" i="14"/>
  <c r="K66" i="2"/>
  <c r="B58" i="2"/>
  <c r="AM53" i="2"/>
  <c r="AU68" i="2"/>
  <c r="N34" i="14"/>
  <c r="O34" i="14"/>
  <c r="P34" i="14"/>
  <c r="Y34" i="14"/>
  <c r="Z34" i="14"/>
  <c r="AE34" i="14"/>
  <c r="AG34" i="14"/>
  <c r="E34" i="14"/>
  <c r="AH34" i="14"/>
  <c r="L34" i="14"/>
  <c r="AY117" i="2"/>
  <c r="AZ117" i="2"/>
  <c r="AY118" i="2"/>
  <c r="AZ118" i="2"/>
  <c r="J42" i="15"/>
  <c r="I42" i="15"/>
  <c r="S42" i="15"/>
  <c r="D57" i="2"/>
  <c r="AK57" i="2"/>
  <c r="W47" i="2"/>
  <c r="F24" i="15"/>
  <c r="T68" i="2"/>
  <c r="C45" i="15"/>
  <c r="AP64" i="2"/>
  <c r="AQ64" i="2"/>
  <c r="S69" i="2"/>
  <c r="B46" i="15"/>
  <c r="E56" i="2"/>
  <c r="AP59" i="2"/>
  <c r="AQ59" i="2"/>
  <c r="AP63" i="2"/>
  <c r="AQ63" i="2"/>
  <c r="U67" i="2"/>
  <c r="D44" i="15"/>
  <c r="AP66" i="2"/>
  <c r="AQ66" i="2"/>
  <c r="AP62" i="2"/>
  <c r="AQ62" i="2"/>
  <c r="AP60" i="2"/>
  <c r="AQ60" i="2"/>
  <c r="E43" i="15"/>
  <c r="H43" i="15"/>
  <c r="AP65" i="2"/>
  <c r="AQ65" i="2"/>
  <c r="AP61" i="2"/>
  <c r="AQ61" i="2"/>
  <c r="AP67" i="2"/>
  <c r="AQ67" i="2"/>
  <c r="AH54" i="2"/>
  <c r="AI54" i="2"/>
  <c r="AG54" i="2"/>
  <c r="AP58" i="2"/>
  <c r="AQ58" i="2"/>
  <c r="AP68" i="2"/>
  <c r="AQ68" i="2"/>
  <c r="G55" i="2"/>
  <c r="F55" i="2"/>
  <c r="AQ57" i="2"/>
  <c r="F23" i="14"/>
  <c r="O53" i="2"/>
  <c r="L66" i="2"/>
  <c r="B37" i="14"/>
  <c r="H37" i="14"/>
  <c r="K67" i="2"/>
  <c r="D35" i="14"/>
  <c r="J35" i="14"/>
  <c r="K35" i="14"/>
  <c r="M65" i="2"/>
  <c r="B59" i="2"/>
  <c r="AM54" i="2"/>
  <c r="AU69" i="2"/>
  <c r="N35" i="14"/>
  <c r="O35" i="14"/>
  <c r="P35" i="14"/>
  <c r="Y35" i="14"/>
  <c r="Z35" i="14"/>
  <c r="AE35" i="14"/>
  <c r="AG35" i="14"/>
  <c r="E35" i="14"/>
  <c r="AH35" i="14"/>
  <c r="L35" i="14"/>
  <c r="D58" i="2"/>
  <c r="AK58" i="2"/>
  <c r="E44" i="15"/>
  <c r="H44" i="15"/>
  <c r="W48" i="2"/>
  <c r="F25" i="15"/>
  <c r="E57" i="2"/>
  <c r="G56" i="2"/>
  <c r="F56" i="2"/>
  <c r="U68" i="2"/>
  <c r="D45" i="15"/>
  <c r="AY119" i="2"/>
  <c r="AZ119" i="2"/>
  <c r="AY120" i="2"/>
  <c r="AZ120" i="2"/>
  <c r="J43" i="15"/>
  <c r="I43" i="15"/>
  <c r="S43" i="15"/>
  <c r="T69" i="2"/>
  <c r="C46" i="15"/>
  <c r="S70" i="2"/>
  <c r="B47" i="15"/>
  <c r="AG55" i="2"/>
  <c r="AH55" i="2"/>
  <c r="AI55" i="2"/>
  <c r="F24" i="14"/>
  <c r="O54" i="2"/>
  <c r="D36" i="14"/>
  <c r="J36" i="14"/>
  <c r="K36" i="14"/>
  <c r="M66" i="2"/>
  <c r="B38" i="14"/>
  <c r="H38" i="14"/>
  <c r="K68" i="2"/>
  <c r="C37" i="14"/>
  <c r="I37" i="14"/>
  <c r="L67" i="2"/>
  <c r="B60" i="2"/>
  <c r="AM55" i="2"/>
  <c r="AU70" i="2"/>
  <c r="N36" i="14"/>
  <c r="O36" i="14"/>
  <c r="P36" i="14"/>
  <c r="Y36" i="14"/>
  <c r="Z36" i="14"/>
  <c r="AE36" i="14"/>
  <c r="AG36" i="14"/>
  <c r="E36" i="14"/>
  <c r="AH36" i="14"/>
  <c r="L36" i="14"/>
  <c r="S71" i="2"/>
  <c r="B48" i="15"/>
  <c r="T70" i="2"/>
  <c r="C47" i="15"/>
  <c r="U69" i="2"/>
  <c r="D46" i="15"/>
  <c r="E45" i="15"/>
  <c r="H45" i="15"/>
  <c r="W49" i="2"/>
  <c r="F26" i="15"/>
  <c r="AH56" i="2"/>
  <c r="AI56" i="2"/>
  <c r="AG56" i="2"/>
  <c r="AY121" i="2"/>
  <c r="AZ121" i="2"/>
  <c r="AY122" i="2"/>
  <c r="AZ122" i="2"/>
  <c r="G57" i="2"/>
  <c r="I44" i="15"/>
  <c r="S44" i="15"/>
  <c r="J44" i="15"/>
  <c r="D59" i="2"/>
  <c r="AK59" i="2"/>
  <c r="E58" i="2"/>
  <c r="H58" i="2"/>
  <c r="F25" i="14"/>
  <c r="O55" i="2"/>
  <c r="D37" i="14"/>
  <c r="J37" i="14"/>
  <c r="K37" i="14"/>
  <c r="M67" i="2"/>
  <c r="B39" i="14"/>
  <c r="H39" i="14"/>
  <c r="K69" i="2"/>
  <c r="C38" i="14"/>
  <c r="I38" i="14"/>
  <c r="L68" i="2"/>
  <c r="B61" i="2"/>
  <c r="AM56" i="2"/>
  <c r="AU71" i="2"/>
  <c r="N37" i="14"/>
  <c r="O37" i="14"/>
  <c r="P37" i="14"/>
  <c r="Y37" i="14"/>
  <c r="Z37" i="14"/>
  <c r="AF37" i="14"/>
  <c r="AE37" i="14"/>
  <c r="L37" i="14"/>
  <c r="D60" i="2"/>
  <c r="AK60" i="2"/>
  <c r="E46" i="15"/>
  <c r="H46" i="15"/>
  <c r="D31" i="2"/>
  <c r="AY123" i="2"/>
  <c r="AZ123" i="2"/>
  <c r="AY124" i="2"/>
  <c r="AZ124" i="2"/>
  <c r="S72" i="2"/>
  <c r="B49" i="15"/>
  <c r="W50" i="2"/>
  <c r="F27" i="15"/>
  <c r="G58" i="2"/>
  <c r="I45" i="15"/>
  <c r="S45" i="15"/>
  <c r="J45" i="15"/>
  <c r="U70" i="2"/>
  <c r="D47" i="15"/>
  <c r="T71" i="2"/>
  <c r="C48" i="15"/>
  <c r="E59" i="2"/>
  <c r="F26" i="14"/>
  <c r="O56" i="2"/>
  <c r="E37" i="14"/>
  <c r="B40" i="14"/>
  <c r="H40" i="14"/>
  <c r="K70" i="2"/>
  <c r="D38" i="14"/>
  <c r="J38" i="14"/>
  <c r="K38" i="14"/>
  <c r="M68" i="2"/>
  <c r="C39" i="14"/>
  <c r="I39" i="14"/>
  <c r="L69" i="2"/>
  <c r="B62" i="2"/>
  <c r="AG37" i="14"/>
  <c r="AH37" i="14"/>
  <c r="N38" i="14"/>
  <c r="O38" i="14"/>
  <c r="P38" i="14"/>
  <c r="Y38" i="14"/>
  <c r="Z38" i="14"/>
  <c r="AF38" i="14"/>
  <c r="AE38" i="14"/>
  <c r="L38" i="14"/>
  <c r="W51" i="2"/>
  <c r="F28" i="15"/>
  <c r="E47" i="15"/>
  <c r="H47" i="15"/>
  <c r="J46" i="15"/>
  <c r="I46" i="15"/>
  <c r="S46" i="15"/>
  <c r="T72" i="2"/>
  <c r="C49" i="15"/>
  <c r="S73" i="2"/>
  <c r="B50" i="15"/>
  <c r="AY125" i="2"/>
  <c r="AZ125" i="2"/>
  <c r="AY126" i="2"/>
  <c r="AZ126" i="2"/>
  <c r="AY127" i="2"/>
  <c r="AZ127" i="2"/>
  <c r="AY128" i="2"/>
  <c r="AZ128" i="2"/>
  <c r="E60" i="2"/>
  <c r="G59" i="2"/>
  <c r="D61" i="2"/>
  <c r="AK61" i="2"/>
  <c r="U71" i="2"/>
  <c r="D48" i="15"/>
  <c r="F27" i="14"/>
  <c r="O57" i="2"/>
  <c r="E38" i="14"/>
  <c r="B41" i="14"/>
  <c r="H41" i="14"/>
  <c r="K71" i="2"/>
  <c r="D39" i="14"/>
  <c r="J39" i="14"/>
  <c r="K39" i="14"/>
  <c r="M69" i="2"/>
  <c r="C40" i="14"/>
  <c r="I40" i="14"/>
  <c r="L70" i="2"/>
  <c r="B63" i="2"/>
  <c r="AU72" i="2"/>
  <c r="AG38" i="14"/>
  <c r="AH38" i="14"/>
  <c r="N39" i="14"/>
  <c r="O39" i="14"/>
  <c r="P39" i="14"/>
  <c r="Y39" i="14"/>
  <c r="Z39" i="14"/>
  <c r="AF39" i="14"/>
  <c r="AE39" i="14"/>
  <c r="L39" i="14"/>
  <c r="I47" i="15"/>
  <c r="S47" i="15"/>
  <c r="J47" i="15"/>
  <c r="D62" i="2"/>
  <c r="AK62" i="2"/>
  <c r="T73" i="2"/>
  <c r="C50" i="15"/>
  <c r="E61" i="2"/>
  <c r="G60" i="2"/>
  <c r="AY129" i="2"/>
  <c r="AZ129" i="2"/>
  <c r="AY130" i="2"/>
  <c r="AZ130" i="2"/>
  <c r="U72" i="2"/>
  <c r="D49" i="15"/>
  <c r="E48" i="15"/>
  <c r="H48" i="15"/>
  <c r="S74" i="2"/>
  <c r="B51" i="15"/>
  <c r="W52" i="2"/>
  <c r="F29" i="15"/>
  <c r="F28" i="14"/>
  <c r="O58" i="2"/>
  <c r="D40" i="14"/>
  <c r="J40" i="14"/>
  <c r="K40" i="14"/>
  <c r="M70" i="2"/>
  <c r="P70" i="2"/>
  <c r="B42" i="14"/>
  <c r="H42" i="14"/>
  <c r="K72" i="2"/>
  <c r="C41" i="14"/>
  <c r="I41" i="14"/>
  <c r="L71" i="2"/>
  <c r="E39" i="14"/>
  <c r="B64" i="2"/>
  <c r="AU73" i="2"/>
  <c r="AG39" i="14"/>
  <c r="AH39" i="14"/>
  <c r="N40" i="14"/>
  <c r="O40" i="14"/>
  <c r="P40" i="14"/>
  <c r="Y40" i="14"/>
  <c r="Z40" i="14"/>
  <c r="AF40" i="14"/>
  <c r="AE40" i="14"/>
  <c r="L40" i="14"/>
  <c r="AY131" i="2"/>
  <c r="AZ131" i="2"/>
  <c r="AY132" i="2"/>
  <c r="AZ132" i="2"/>
  <c r="S75" i="2"/>
  <c r="B52" i="15"/>
  <c r="U73" i="2"/>
  <c r="D50" i="15"/>
  <c r="T74" i="2"/>
  <c r="C51" i="15"/>
  <c r="J48" i="15"/>
  <c r="I48" i="15"/>
  <c r="S48" i="15"/>
  <c r="D63" i="2"/>
  <c r="AK63" i="2"/>
  <c r="E49" i="15"/>
  <c r="H49" i="15"/>
  <c r="E62" i="2"/>
  <c r="W53" i="2"/>
  <c r="F30" i="15"/>
  <c r="G61" i="2"/>
  <c r="F29" i="14"/>
  <c r="O59" i="2"/>
  <c r="D41" i="14"/>
  <c r="J41" i="14"/>
  <c r="K41" i="14"/>
  <c r="M71" i="2"/>
  <c r="B43" i="14"/>
  <c r="H43" i="14"/>
  <c r="K73" i="2"/>
  <c r="C42" i="14"/>
  <c r="I42" i="14"/>
  <c r="L72" i="2"/>
  <c r="E40" i="14"/>
  <c r="B65" i="2"/>
  <c r="AU74" i="2"/>
  <c r="AG40" i="14"/>
  <c r="AH40" i="14"/>
  <c r="N41" i="14"/>
  <c r="O41" i="14"/>
  <c r="P41" i="14"/>
  <c r="Y41" i="14"/>
  <c r="Z41" i="14"/>
  <c r="AF41" i="14"/>
  <c r="AE41" i="14"/>
  <c r="L41" i="14"/>
  <c r="T75" i="2"/>
  <c r="C52" i="15"/>
  <c r="D64" i="2"/>
  <c r="AK64" i="2"/>
  <c r="E50" i="15"/>
  <c r="H50" i="15"/>
  <c r="I49" i="15"/>
  <c r="S49" i="15"/>
  <c r="J49" i="15"/>
  <c r="W54" i="2"/>
  <c r="F31" i="15"/>
  <c r="AY133" i="2"/>
  <c r="AZ133" i="2"/>
  <c r="AY134" i="2"/>
  <c r="AZ134" i="2"/>
  <c r="E63" i="2"/>
  <c r="G62" i="2"/>
  <c r="S76" i="2"/>
  <c r="B53" i="15"/>
  <c r="U74" i="2"/>
  <c r="D51" i="15"/>
  <c r="F30" i="14"/>
  <c r="O60" i="2"/>
  <c r="E41" i="14"/>
  <c r="D42" i="14"/>
  <c r="J42" i="14"/>
  <c r="K42" i="14"/>
  <c r="M72" i="2"/>
  <c r="C43" i="14"/>
  <c r="I43" i="14"/>
  <c r="L73" i="2"/>
  <c r="B44" i="14"/>
  <c r="H44" i="14"/>
  <c r="K74" i="2"/>
  <c r="B66" i="2"/>
  <c r="AU75" i="2"/>
  <c r="AG41" i="14"/>
  <c r="AH41" i="14"/>
  <c r="N42" i="14"/>
  <c r="O42" i="14"/>
  <c r="P42" i="14"/>
  <c r="Y42" i="14"/>
  <c r="Z42" i="14"/>
  <c r="AF42" i="14"/>
  <c r="AE42" i="14"/>
  <c r="L42" i="14"/>
  <c r="AY135" i="2"/>
  <c r="AZ135" i="2"/>
  <c r="AY136" i="2"/>
  <c r="AZ136" i="2"/>
  <c r="D65" i="2"/>
  <c r="AK65" i="2"/>
  <c r="T76" i="2"/>
  <c r="C53" i="15"/>
  <c r="J50" i="15"/>
  <c r="I50" i="15"/>
  <c r="S50" i="15"/>
  <c r="E64" i="2"/>
  <c r="G63" i="2"/>
  <c r="S77" i="2"/>
  <c r="B54" i="15"/>
  <c r="W55" i="2"/>
  <c r="F32" i="15"/>
  <c r="E51" i="15"/>
  <c r="H51" i="15"/>
  <c r="U75" i="2"/>
  <c r="D52" i="15"/>
  <c r="F31" i="14"/>
  <c r="O61" i="2"/>
  <c r="E42" i="14"/>
  <c r="C44" i="14"/>
  <c r="I44" i="14"/>
  <c r="L74" i="2"/>
  <c r="D43" i="14"/>
  <c r="J43" i="14"/>
  <c r="K43" i="14"/>
  <c r="M73" i="2"/>
  <c r="B45" i="14"/>
  <c r="H45" i="14"/>
  <c r="K75" i="2"/>
  <c r="B67" i="2"/>
  <c r="AU76" i="2"/>
  <c r="AG42" i="14"/>
  <c r="AH42" i="14"/>
  <c r="N43" i="14"/>
  <c r="O43" i="14"/>
  <c r="P43" i="14"/>
  <c r="Y43" i="14"/>
  <c r="Z43" i="14"/>
  <c r="AF43" i="14"/>
  <c r="AE43" i="14"/>
  <c r="L43" i="14"/>
  <c r="S78" i="2"/>
  <c r="B55" i="15"/>
  <c r="T77" i="2"/>
  <c r="C54" i="15"/>
  <c r="D66" i="2"/>
  <c r="AK66" i="2"/>
  <c r="W56" i="2"/>
  <c r="F33" i="15"/>
  <c r="E65" i="2"/>
  <c r="U76" i="2"/>
  <c r="D53" i="15"/>
  <c r="AY137" i="2"/>
  <c r="AZ137" i="2"/>
  <c r="AY138" i="2"/>
  <c r="AZ138" i="2"/>
  <c r="AY139" i="2"/>
  <c r="AZ139" i="2"/>
  <c r="AY140" i="2"/>
  <c r="AZ140" i="2"/>
  <c r="J51" i="15"/>
  <c r="I51" i="15"/>
  <c r="S51" i="15"/>
  <c r="G64" i="2"/>
  <c r="E52" i="15"/>
  <c r="H52" i="15"/>
  <c r="F32" i="14"/>
  <c r="O62" i="2"/>
  <c r="D44" i="14"/>
  <c r="J44" i="14"/>
  <c r="K44" i="14"/>
  <c r="M74" i="2"/>
  <c r="B46" i="14"/>
  <c r="H46" i="14"/>
  <c r="K76" i="2"/>
  <c r="E43" i="14"/>
  <c r="C45" i="14"/>
  <c r="I45" i="14"/>
  <c r="L75" i="2"/>
  <c r="B68" i="2"/>
  <c r="AU77" i="2"/>
  <c r="AG43" i="14"/>
  <c r="AH43" i="14"/>
  <c r="N44" i="14"/>
  <c r="O44" i="14"/>
  <c r="P44" i="14"/>
  <c r="Y44" i="14"/>
  <c r="Z44" i="14"/>
  <c r="AF44" i="14"/>
  <c r="AE44" i="14"/>
  <c r="L44" i="14"/>
  <c r="E53" i="15"/>
  <c r="H53" i="15"/>
  <c r="S79" i="2"/>
  <c r="B56" i="15"/>
  <c r="E66" i="2"/>
  <c r="U77" i="2"/>
  <c r="D54" i="15"/>
  <c r="T78" i="2"/>
  <c r="C55" i="15"/>
  <c r="J52" i="15"/>
  <c r="I52" i="15"/>
  <c r="S52" i="15"/>
  <c r="W57" i="2"/>
  <c r="F34" i="15"/>
  <c r="AY141" i="2"/>
  <c r="AZ141" i="2"/>
  <c r="AY142" i="2"/>
  <c r="AZ142" i="2"/>
  <c r="G65" i="2"/>
  <c r="D67" i="2"/>
  <c r="AK67" i="2"/>
  <c r="F33" i="14"/>
  <c r="O63" i="2"/>
  <c r="B47" i="14"/>
  <c r="H47" i="14"/>
  <c r="K77" i="2"/>
  <c r="D45" i="14"/>
  <c r="J45" i="14"/>
  <c r="K45" i="14"/>
  <c r="M75" i="2"/>
  <c r="E44" i="14"/>
  <c r="C46" i="14"/>
  <c r="I46" i="14"/>
  <c r="L76" i="2"/>
  <c r="B69" i="2"/>
  <c r="AU78" i="2"/>
  <c r="AG44" i="14"/>
  <c r="AH44" i="14"/>
  <c r="N45" i="14"/>
  <c r="O45" i="14"/>
  <c r="P45" i="14"/>
  <c r="Y45" i="14"/>
  <c r="Z45" i="14"/>
  <c r="AF45" i="14"/>
  <c r="AE45" i="14"/>
  <c r="L45" i="14"/>
  <c r="T79" i="2"/>
  <c r="C56" i="15"/>
  <c r="S80" i="2"/>
  <c r="B57" i="15"/>
  <c r="AL73" i="2"/>
  <c r="AL78" i="2"/>
  <c r="AL80" i="2"/>
  <c r="AL71" i="2"/>
  <c r="AL77" i="2"/>
  <c r="AL70" i="2"/>
  <c r="AL69" i="2"/>
  <c r="AL75" i="2"/>
  <c r="AL74" i="2"/>
  <c r="AL76" i="2"/>
  <c r="C70" i="2"/>
  <c r="X70" i="2"/>
  <c r="AL72" i="2"/>
  <c r="AL79" i="2"/>
  <c r="AY143" i="2"/>
  <c r="AZ143" i="2"/>
  <c r="AY144" i="2"/>
  <c r="AZ144" i="2"/>
  <c r="G66" i="2"/>
  <c r="D68" i="2"/>
  <c r="AK68" i="2"/>
  <c r="U78" i="2"/>
  <c r="D55" i="15"/>
  <c r="E54" i="15"/>
  <c r="H54" i="15"/>
  <c r="W58" i="2"/>
  <c r="F35" i="15"/>
  <c r="I53" i="15"/>
  <c r="S53" i="15"/>
  <c r="J53" i="15"/>
  <c r="E67" i="2"/>
  <c r="F34" i="14"/>
  <c r="O64" i="2"/>
  <c r="B48" i="14"/>
  <c r="H48" i="14"/>
  <c r="K78" i="2"/>
  <c r="D46" i="14"/>
  <c r="J46" i="14"/>
  <c r="K46" i="14"/>
  <c r="M76" i="2"/>
  <c r="C47" i="14"/>
  <c r="I47" i="14"/>
  <c r="L77" i="2"/>
  <c r="E45" i="14"/>
  <c r="B70" i="2"/>
  <c r="AU79" i="2"/>
  <c r="AG45" i="14"/>
  <c r="AH45" i="14"/>
  <c r="N46" i="14"/>
  <c r="O46" i="14"/>
  <c r="P46" i="14"/>
  <c r="Y46" i="14"/>
  <c r="Z46" i="14"/>
  <c r="AE46" i="14"/>
  <c r="L46" i="14"/>
  <c r="E68" i="2"/>
  <c r="AP73" i="2"/>
  <c r="AQ73" i="2"/>
  <c r="AP75" i="2"/>
  <c r="AQ75" i="2"/>
  <c r="AP69" i="2"/>
  <c r="AQ69" i="2"/>
  <c r="S81" i="2"/>
  <c r="B58" i="15"/>
  <c r="W59" i="2"/>
  <c r="F36" i="15"/>
  <c r="AP70" i="2"/>
  <c r="AQ70" i="2"/>
  <c r="J54" i="15"/>
  <c r="I54" i="15"/>
  <c r="S54" i="15"/>
  <c r="AP80" i="2"/>
  <c r="AQ80" i="2"/>
  <c r="AP76" i="2"/>
  <c r="AQ76" i="2"/>
  <c r="AP74" i="2"/>
  <c r="AQ74" i="2"/>
  <c r="D69" i="2"/>
  <c r="AK69" i="2"/>
  <c r="AY145" i="2"/>
  <c r="AZ145" i="2"/>
  <c r="AY146" i="2"/>
  <c r="AZ146" i="2"/>
  <c r="T80" i="2"/>
  <c r="C57" i="15"/>
  <c r="E55" i="15"/>
  <c r="H55" i="15"/>
  <c r="AP79" i="2"/>
  <c r="AQ79" i="2"/>
  <c r="AP77" i="2"/>
  <c r="AQ77" i="2"/>
  <c r="G67" i="2"/>
  <c r="AP78" i="2"/>
  <c r="AQ78" i="2"/>
  <c r="AP72" i="2"/>
  <c r="AQ72" i="2"/>
  <c r="AP71" i="2"/>
  <c r="AQ71" i="2"/>
  <c r="U79" i="2"/>
  <c r="D56" i="15"/>
  <c r="F35" i="14"/>
  <c r="O65" i="2"/>
  <c r="B49" i="14"/>
  <c r="H49" i="14"/>
  <c r="K79" i="2"/>
  <c r="E46" i="14"/>
  <c r="D47" i="14"/>
  <c r="J47" i="14"/>
  <c r="K47" i="14"/>
  <c r="M77" i="2"/>
  <c r="C48" i="14"/>
  <c r="I48" i="14"/>
  <c r="L78" i="2"/>
  <c r="B71" i="2"/>
  <c r="AF46" i="14"/>
  <c r="AG46" i="14"/>
  <c r="AH46" i="14"/>
  <c r="AU81" i="2"/>
  <c r="AU80" i="2"/>
  <c r="N47" i="14"/>
  <c r="O47" i="14"/>
  <c r="P47" i="14"/>
  <c r="Y47" i="14"/>
  <c r="Z47" i="14"/>
  <c r="AF47" i="14"/>
  <c r="AE47" i="14"/>
  <c r="L47" i="14"/>
  <c r="AY147" i="2"/>
  <c r="AZ147" i="2"/>
  <c r="AY148" i="2"/>
  <c r="AZ148" i="2"/>
  <c r="AY149" i="2"/>
  <c r="AZ149" i="2"/>
  <c r="AY150" i="2"/>
  <c r="AZ150" i="2"/>
  <c r="D70" i="2"/>
  <c r="AK70" i="2"/>
  <c r="W60" i="2"/>
  <c r="F37" i="15"/>
  <c r="U80" i="2"/>
  <c r="D57" i="15"/>
  <c r="E56" i="15"/>
  <c r="H56" i="15"/>
  <c r="I55" i="15"/>
  <c r="S55" i="15"/>
  <c r="J55" i="15"/>
  <c r="T81" i="2"/>
  <c r="C58" i="15"/>
  <c r="S82" i="2"/>
  <c r="B59" i="15"/>
  <c r="E69" i="2"/>
  <c r="G68" i="2"/>
  <c r="F36" i="14"/>
  <c r="O66" i="2"/>
  <c r="E47" i="14"/>
  <c r="B50" i="14"/>
  <c r="H50" i="14"/>
  <c r="K80" i="2"/>
  <c r="D48" i="14"/>
  <c r="J48" i="14"/>
  <c r="K48" i="14"/>
  <c r="M78" i="2"/>
  <c r="C49" i="14"/>
  <c r="I49" i="14"/>
  <c r="L79" i="2"/>
  <c r="B72" i="2"/>
  <c r="AG47" i="14"/>
  <c r="AH47" i="14"/>
  <c r="N48" i="14"/>
  <c r="O48" i="14"/>
  <c r="P48" i="14"/>
  <c r="Y48" i="14"/>
  <c r="Z48" i="14"/>
  <c r="AF48" i="14"/>
  <c r="AE48" i="14"/>
  <c r="L48" i="14"/>
  <c r="G69" i="2"/>
  <c r="D71" i="2"/>
  <c r="AK71" i="2"/>
  <c r="W61" i="2"/>
  <c r="F38" i="15"/>
  <c r="T82" i="2"/>
  <c r="C59" i="15"/>
  <c r="E70" i="2"/>
  <c r="H70" i="2"/>
  <c r="E57" i="15"/>
  <c r="H57" i="15"/>
  <c r="AY151" i="2"/>
  <c r="AZ151" i="2"/>
  <c r="AY152" i="2"/>
  <c r="AZ152" i="2"/>
  <c r="S83" i="2"/>
  <c r="B60" i="15"/>
  <c r="I56" i="15"/>
  <c r="S56" i="15"/>
  <c r="J56" i="15"/>
  <c r="U81" i="2"/>
  <c r="D58" i="15"/>
  <c r="F37" i="14"/>
  <c r="O67" i="2"/>
  <c r="B51" i="14"/>
  <c r="H51" i="14"/>
  <c r="K81" i="2"/>
  <c r="C50" i="14"/>
  <c r="I50" i="14"/>
  <c r="L80" i="2"/>
  <c r="E48" i="14"/>
  <c r="D49" i="14"/>
  <c r="J49" i="14"/>
  <c r="K49" i="14"/>
  <c r="M79" i="2"/>
  <c r="B73" i="2"/>
  <c r="AU82" i="2"/>
  <c r="AG48" i="14"/>
  <c r="AH48" i="14"/>
  <c r="N49" i="14"/>
  <c r="O49" i="14"/>
  <c r="P49" i="14"/>
  <c r="Y49" i="14"/>
  <c r="Z49" i="14"/>
  <c r="AF49" i="14"/>
  <c r="AE49" i="14"/>
  <c r="L49" i="14"/>
  <c r="W62" i="2"/>
  <c r="F39" i="15"/>
  <c r="S84" i="2"/>
  <c r="B61" i="15"/>
  <c r="G70" i="2"/>
  <c r="E71" i="2"/>
  <c r="I57" i="15"/>
  <c r="S57" i="15"/>
  <c r="J57" i="15"/>
  <c r="T83" i="2"/>
  <c r="C60" i="15"/>
  <c r="AY153" i="2"/>
  <c r="AZ153" i="2"/>
  <c r="AY154" i="2"/>
  <c r="AZ154" i="2"/>
  <c r="D72" i="2"/>
  <c r="AK72" i="2"/>
  <c r="E58" i="15"/>
  <c r="H58" i="15"/>
  <c r="U82" i="2"/>
  <c r="D59" i="15"/>
  <c r="F38" i="14"/>
  <c r="O68" i="2"/>
  <c r="C51" i="14"/>
  <c r="I51" i="14"/>
  <c r="L81" i="2"/>
  <c r="B52" i="14"/>
  <c r="H52" i="14"/>
  <c r="K82" i="2"/>
  <c r="D50" i="14"/>
  <c r="J50" i="14"/>
  <c r="K50" i="14"/>
  <c r="M80" i="2"/>
  <c r="E49" i="14"/>
  <c r="B74" i="2"/>
  <c r="AU83" i="2"/>
  <c r="AG49" i="14"/>
  <c r="AH49" i="14"/>
  <c r="N50" i="14"/>
  <c r="O50" i="14"/>
  <c r="P50" i="14"/>
  <c r="Y50" i="14"/>
  <c r="Z50" i="14"/>
  <c r="AE50" i="14"/>
  <c r="L50" i="14"/>
  <c r="D73" i="2"/>
  <c r="AK73" i="2"/>
  <c r="U83" i="2"/>
  <c r="D60" i="15"/>
  <c r="E72" i="2"/>
  <c r="W63" i="2"/>
  <c r="F40" i="15"/>
  <c r="J58" i="15"/>
  <c r="I58" i="15"/>
  <c r="S58" i="15"/>
  <c r="S85" i="2"/>
  <c r="B62" i="15"/>
  <c r="G71" i="2"/>
  <c r="T84" i="2"/>
  <c r="C61" i="15"/>
  <c r="AY155" i="2"/>
  <c r="AZ155" i="2"/>
  <c r="AY156" i="2"/>
  <c r="AZ156" i="2"/>
  <c r="E59" i="15"/>
  <c r="H59" i="15"/>
  <c r="F39" i="14"/>
  <c r="O69" i="2"/>
  <c r="C52" i="14"/>
  <c r="I52" i="14"/>
  <c r="L82" i="2"/>
  <c r="B53" i="14"/>
  <c r="H53" i="14"/>
  <c r="K83" i="2"/>
  <c r="E50" i="14"/>
  <c r="D51" i="14"/>
  <c r="J51" i="14"/>
  <c r="K51" i="14"/>
  <c r="M81" i="2"/>
  <c r="B75" i="2"/>
  <c r="AF50" i="14"/>
  <c r="AG50" i="14"/>
  <c r="AH50" i="14"/>
  <c r="AU84" i="2"/>
  <c r="N51" i="14"/>
  <c r="O51" i="14"/>
  <c r="P51" i="14"/>
  <c r="Y51" i="14"/>
  <c r="Z51" i="14"/>
  <c r="AE51" i="14"/>
  <c r="L51" i="14"/>
  <c r="AY157" i="2"/>
  <c r="AZ157" i="2"/>
  <c r="AY158" i="2"/>
  <c r="AZ158" i="2"/>
  <c r="S86" i="2"/>
  <c r="B63" i="15"/>
  <c r="D74" i="2"/>
  <c r="AK74" i="2"/>
  <c r="G72" i="2"/>
  <c r="U84" i="2"/>
  <c r="D61" i="15"/>
  <c r="J59" i="15"/>
  <c r="I59" i="15"/>
  <c r="S59" i="15"/>
  <c r="W64" i="2"/>
  <c r="F41" i="15"/>
  <c r="E60" i="15"/>
  <c r="H60" i="15"/>
  <c r="T85" i="2"/>
  <c r="C62" i="15"/>
  <c r="E73" i="2"/>
  <c r="F40" i="14"/>
  <c r="O70" i="2"/>
  <c r="B54" i="14"/>
  <c r="H54" i="14"/>
  <c r="K84" i="2"/>
  <c r="E51" i="14"/>
  <c r="C53" i="14"/>
  <c r="I53" i="14"/>
  <c r="L83" i="2"/>
  <c r="D52" i="14"/>
  <c r="J52" i="14"/>
  <c r="K52" i="14"/>
  <c r="M82" i="2"/>
  <c r="B76" i="2"/>
  <c r="AU85" i="2"/>
  <c r="AF51" i="14"/>
  <c r="AG51" i="14"/>
  <c r="AH51" i="14"/>
  <c r="N52" i="14"/>
  <c r="O52" i="14"/>
  <c r="P52" i="14"/>
  <c r="Y52" i="14"/>
  <c r="Z52" i="14"/>
  <c r="AE52" i="14"/>
  <c r="L52" i="14"/>
  <c r="S87" i="2"/>
  <c r="B64" i="15"/>
  <c r="J60" i="15"/>
  <c r="I60" i="15"/>
  <c r="S60" i="15"/>
  <c r="E74" i="2"/>
  <c r="T86" i="2"/>
  <c r="C63" i="15"/>
  <c r="U85" i="2"/>
  <c r="D62" i="15"/>
  <c r="G73" i="2"/>
  <c r="AY159" i="2"/>
  <c r="AZ159" i="2"/>
  <c r="AY160" i="2"/>
  <c r="AZ160" i="2"/>
  <c r="D75" i="2"/>
  <c r="AK75" i="2"/>
  <c r="W65" i="2"/>
  <c r="F42" i="15"/>
  <c r="E61" i="15"/>
  <c r="H61" i="15"/>
  <c r="F41" i="14"/>
  <c r="O71" i="2"/>
  <c r="B55" i="14"/>
  <c r="H55" i="14"/>
  <c r="K85" i="2"/>
  <c r="E52" i="14"/>
  <c r="D53" i="14"/>
  <c r="J53" i="14"/>
  <c r="K53" i="14"/>
  <c r="M83" i="2"/>
  <c r="C54" i="14"/>
  <c r="I54" i="14"/>
  <c r="L84" i="2"/>
  <c r="B77" i="2"/>
  <c r="AU86" i="2"/>
  <c r="AF52" i="14"/>
  <c r="AG52" i="14"/>
  <c r="AH52" i="14"/>
  <c r="N53" i="14"/>
  <c r="O53" i="14"/>
  <c r="P53" i="14"/>
  <c r="Y53" i="14"/>
  <c r="Z53" i="14"/>
  <c r="AE53" i="14"/>
  <c r="L53" i="14"/>
  <c r="AY161" i="2"/>
  <c r="AZ161" i="2"/>
  <c r="AY162" i="2"/>
  <c r="AZ162" i="2"/>
  <c r="G74" i="2"/>
  <c r="S88" i="2"/>
  <c r="B65" i="15"/>
  <c r="T87" i="2"/>
  <c r="C64" i="15"/>
  <c r="E75" i="2"/>
  <c r="E62" i="15"/>
  <c r="H62" i="15"/>
  <c r="I61" i="15"/>
  <c r="S61" i="15"/>
  <c r="J61" i="15"/>
  <c r="W66" i="2"/>
  <c r="F43" i="15"/>
  <c r="D76" i="2"/>
  <c r="AK76" i="2"/>
  <c r="U86" i="2"/>
  <c r="D63" i="15"/>
  <c r="F42" i="14"/>
  <c r="O72" i="2"/>
  <c r="B56" i="14"/>
  <c r="H56" i="14"/>
  <c r="K86" i="2"/>
  <c r="C55" i="14"/>
  <c r="I55" i="14"/>
  <c r="L85" i="2"/>
  <c r="E53" i="14"/>
  <c r="D54" i="14"/>
  <c r="J54" i="14"/>
  <c r="K54" i="14"/>
  <c r="M84" i="2"/>
  <c r="B78" i="2"/>
  <c r="AU87" i="2"/>
  <c r="AF53" i="14"/>
  <c r="AG53" i="14"/>
  <c r="AH53" i="14"/>
  <c r="N54" i="14"/>
  <c r="O54" i="14"/>
  <c r="P54" i="14"/>
  <c r="Y54" i="14"/>
  <c r="Z54" i="14"/>
  <c r="AE54" i="14"/>
  <c r="L54" i="14"/>
  <c r="U87" i="2"/>
  <c r="D64" i="15"/>
  <c r="S89" i="2"/>
  <c r="B66" i="15"/>
  <c r="T88" i="2"/>
  <c r="C65" i="15"/>
  <c r="E76" i="2"/>
  <c r="G75" i="2"/>
  <c r="J62" i="15"/>
  <c r="I62" i="15"/>
  <c r="S62" i="15"/>
  <c r="AY163" i="2"/>
  <c r="AZ163" i="2"/>
  <c r="AY164" i="2"/>
  <c r="AZ164" i="2"/>
  <c r="D77" i="2"/>
  <c r="AK77" i="2"/>
  <c r="W67" i="2"/>
  <c r="F44" i="15"/>
  <c r="E63" i="15"/>
  <c r="H63" i="15"/>
  <c r="F43" i="14"/>
  <c r="O73" i="2"/>
  <c r="B57" i="14"/>
  <c r="H57" i="14"/>
  <c r="K87" i="2"/>
  <c r="E54" i="14"/>
  <c r="C56" i="14"/>
  <c r="I56" i="14"/>
  <c r="L86" i="2"/>
  <c r="D55" i="14"/>
  <c r="J55" i="14"/>
  <c r="K55" i="14"/>
  <c r="M85" i="2"/>
  <c r="B79" i="2"/>
  <c r="AU88" i="2"/>
  <c r="AF54" i="14"/>
  <c r="AG54" i="14"/>
  <c r="AH54" i="14"/>
  <c r="AU89" i="2"/>
  <c r="N55" i="14"/>
  <c r="O55" i="14"/>
  <c r="P55" i="14"/>
  <c r="Y55" i="14"/>
  <c r="Z55" i="14"/>
  <c r="AE55" i="14"/>
  <c r="L55" i="14"/>
  <c r="T89" i="2"/>
  <c r="C66" i="15"/>
  <c r="S90" i="2"/>
  <c r="B67" i="15"/>
  <c r="I63" i="15"/>
  <c r="S63" i="15"/>
  <c r="J63" i="15"/>
  <c r="E77" i="2"/>
  <c r="D78" i="2"/>
  <c r="AK78" i="2"/>
  <c r="W68" i="2"/>
  <c r="F45" i="15"/>
  <c r="U88" i="2"/>
  <c r="D65" i="15"/>
  <c r="AY165" i="2"/>
  <c r="AZ165" i="2"/>
  <c r="AY166" i="2"/>
  <c r="AZ166" i="2"/>
  <c r="G76" i="2"/>
  <c r="E64" i="15"/>
  <c r="H64" i="15"/>
  <c r="F44" i="14"/>
  <c r="O74" i="2"/>
  <c r="B58" i="14"/>
  <c r="H58" i="14"/>
  <c r="K88" i="2"/>
  <c r="D56" i="14"/>
  <c r="J56" i="14"/>
  <c r="K56" i="14"/>
  <c r="M86" i="2"/>
  <c r="E55" i="14"/>
  <c r="C57" i="14"/>
  <c r="I57" i="14"/>
  <c r="L87" i="2"/>
  <c r="B80" i="2"/>
  <c r="AF55" i="14"/>
  <c r="AG55" i="14"/>
  <c r="AH55" i="14"/>
  <c r="N56" i="14"/>
  <c r="O56" i="14"/>
  <c r="P56" i="14"/>
  <c r="Y56" i="14"/>
  <c r="Z56" i="14"/>
  <c r="AE56" i="14"/>
  <c r="L56" i="14"/>
  <c r="AY167" i="2"/>
  <c r="AZ167" i="2"/>
  <c r="AY168" i="2"/>
  <c r="AZ168" i="2"/>
  <c r="D79" i="2"/>
  <c r="AK79" i="2"/>
  <c r="J64" i="15"/>
  <c r="I64" i="15"/>
  <c r="S64" i="15"/>
  <c r="G77" i="2"/>
  <c r="E65" i="15"/>
  <c r="H65" i="15"/>
  <c r="T90" i="2"/>
  <c r="C67" i="15"/>
  <c r="W69" i="2"/>
  <c r="F46" i="15"/>
  <c r="E78" i="2"/>
  <c r="S91" i="2"/>
  <c r="B68" i="15"/>
  <c r="U89" i="2"/>
  <c r="D66" i="15"/>
  <c r="F45" i="14"/>
  <c r="O75" i="2"/>
  <c r="B59" i="14"/>
  <c r="H59" i="14"/>
  <c r="K89" i="2"/>
  <c r="D57" i="14"/>
  <c r="J57" i="14"/>
  <c r="K57" i="14"/>
  <c r="M87" i="2"/>
  <c r="C58" i="14"/>
  <c r="I58" i="14"/>
  <c r="L88" i="2"/>
  <c r="E56" i="14"/>
  <c r="B81" i="2"/>
  <c r="AU90" i="2"/>
  <c r="AF56" i="14"/>
  <c r="AG56" i="14"/>
  <c r="AH56" i="14"/>
  <c r="AU91" i="2"/>
  <c r="N57" i="14"/>
  <c r="O57" i="14"/>
  <c r="P57" i="14"/>
  <c r="Y57" i="14"/>
  <c r="Z57" i="14"/>
  <c r="AE57" i="14"/>
  <c r="L57" i="14"/>
  <c r="C82" i="2"/>
  <c r="AL90" i="2"/>
  <c r="AL83" i="2"/>
  <c r="AL82" i="2"/>
  <c r="AL85" i="2"/>
  <c r="AL86" i="2"/>
  <c r="AL87" i="2"/>
  <c r="AL89" i="2"/>
  <c r="AL91" i="2"/>
  <c r="AL81" i="2"/>
  <c r="AL88" i="2"/>
  <c r="AL92" i="2"/>
  <c r="AL84" i="2"/>
  <c r="G78" i="2"/>
  <c r="W70" i="2"/>
  <c r="F47" i="15"/>
  <c r="E79" i="2"/>
  <c r="T91" i="2"/>
  <c r="C68" i="15"/>
  <c r="S92" i="2"/>
  <c r="B69" i="15"/>
  <c r="D80" i="2"/>
  <c r="AK80" i="2"/>
  <c r="J65" i="15"/>
  <c r="I65" i="15"/>
  <c r="S65" i="15"/>
  <c r="AY169" i="2"/>
  <c r="AZ169" i="2"/>
  <c r="AY170" i="2"/>
  <c r="AZ170" i="2"/>
  <c r="U90" i="2"/>
  <c r="D67" i="15"/>
  <c r="E66" i="15"/>
  <c r="H66" i="15"/>
  <c r="F46" i="14"/>
  <c r="O76" i="2"/>
  <c r="C59" i="14"/>
  <c r="I59" i="14"/>
  <c r="L89" i="2"/>
  <c r="D58" i="14"/>
  <c r="J58" i="14"/>
  <c r="K58" i="14"/>
  <c r="M88" i="2"/>
  <c r="B60" i="14"/>
  <c r="H60" i="14"/>
  <c r="K90" i="2"/>
  <c r="E57" i="14"/>
  <c r="B82" i="2"/>
  <c r="X82" i="2"/>
  <c r="P82" i="2"/>
  <c r="AF57" i="14"/>
  <c r="AG57" i="14"/>
  <c r="AH57" i="14"/>
  <c r="N58" i="14"/>
  <c r="O58" i="14"/>
  <c r="P58" i="14"/>
  <c r="Y58" i="14"/>
  <c r="Z58" i="14"/>
  <c r="AE58" i="14"/>
  <c r="L58" i="14"/>
  <c r="AP87" i="2"/>
  <c r="AQ87" i="2"/>
  <c r="AP86" i="2"/>
  <c r="AQ86" i="2"/>
  <c r="AP84" i="2"/>
  <c r="AQ84" i="2"/>
  <c r="AP85" i="2"/>
  <c r="AQ85" i="2"/>
  <c r="G79" i="2"/>
  <c r="AP92" i="2"/>
  <c r="AQ92" i="2"/>
  <c r="AP82" i="2"/>
  <c r="AQ82" i="2"/>
  <c r="D81" i="2"/>
  <c r="AK81" i="2"/>
  <c r="W71" i="2"/>
  <c r="F48" i="15"/>
  <c r="AP83" i="2"/>
  <c r="AQ83" i="2"/>
  <c r="E67" i="15"/>
  <c r="H67" i="15"/>
  <c r="AP81" i="2"/>
  <c r="AQ81" i="2"/>
  <c r="S93" i="2"/>
  <c r="B70" i="15"/>
  <c r="AY171" i="2"/>
  <c r="AZ171" i="2"/>
  <c r="AY172" i="2"/>
  <c r="AZ172" i="2"/>
  <c r="AY173" i="2"/>
  <c r="AZ173" i="2"/>
  <c r="AY174" i="2"/>
  <c r="AZ174" i="2"/>
  <c r="AY175" i="2"/>
  <c r="AZ175" i="2"/>
  <c r="AY176" i="2"/>
  <c r="AZ176" i="2"/>
  <c r="AY177" i="2"/>
  <c r="AZ177" i="2"/>
  <c r="AY178" i="2"/>
  <c r="AZ178" i="2"/>
  <c r="AY179" i="2"/>
  <c r="AZ179" i="2"/>
  <c r="AY180" i="2"/>
  <c r="AZ180" i="2"/>
  <c r="AP91" i="2"/>
  <c r="AQ91" i="2"/>
  <c r="J66" i="15"/>
  <c r="I66" i="15"/>
  <c r="S66" i="15"/>
  <c r="U91" i="2"/>
  <c r="D68" i="15"/>
  <c r="E80" i="2"/>
  <c r="AP88" i="2"/>
  <c r="AQ88" i="2"/>
  <c r="T92" i="2"/>
  <c r="C69" i="15"/>
  <c r="AP90" i="2"/>
  <c r="AQ90" i="2"/>
  <c r="AP89" i="2"/>
  <c r="AQ89" i="2"/>
  <c r="F47" i="14"/>
  <c r="O77" i="2"/>
  <c r="C60" i="14"/>
  <c r="I60" i="14"/>
  <c r="L90" i="2"/>
  <c r="B61" i="14"/>
  <c r="H61" i="14"/>
  <c r="K91" i="2"/>
  <c r="E58" i="14"/>
  <c r="D59" i="14"/>
  <c r="J59" i="14"/>
  <c r="K59" i="14"/>
  <c r="M89" i="2"/>
  <c r="B83" i="2"/>
  <c r="AU92" i="2"/>
  <c r="AF58" i="14"/>
  <c r="AG58" i="14"/>
  <c r="AH58" i="14"/>
  <c r="AU93" i="2"/>
  <c r="N59" i="14"/>
  <c r="O59" i="14"/>
  <c r="P59" i="14"/>
  <c r="Y59" i="14"/>
  <c r="Z59" i="14"/>
  <c r="AF59" i="14"/>
  <c r="AE59" i="14"/>
  <c r="L59" i="14"/>
  <c r="D82" i="2"/>
  <c r="AK82" i="2"/>
  <c r="G80" i="2"/>
  <c r="E81" i="2"/>
  <c r="T93" i="2"/>
  <c r="C70" i="15"/>
  <c r="U92" i="2"/>
  <c r="D69" i="15"/>
  <c r="AY181" i="2"/>
  <c r="AZ181" i="2"/>
  <c r="AY182" i="2"/>
  <c r="AZ182" i="2"/>
  <c r="S94" i="2"/>
  <c r="B71" i="15"/>
  <c r="E68" i="15"/>
  <c r="H68" i="15"/>
  <c r="W72" i="2"/>
  <c r="F49" i="15"/>
  <c r="J67" i="15"/>
  <c r="I67" i="15"/>
  <c r="S67" i="15"/>
  <c r="F48" i="14"/>
  <c r="O78" i="2"/>
  <c r="B62" i="14"/>
  <c r="H62" i="14"/>
  <c r="K92" i="2"/>
  <c r="E59" i="14"/>
  <c r="C61" i="14"/>
  <c r="I61" i="14"/>
  <c r="L91" i="2"/>
  <c r="D60" i="14"/>
  <c r="J60" i="14"/>
  <c r="K60" i="14"/>
  <c r="M90" i="2"/>
  <c r="B84" i="2"/>
  <c r="AG59" i="14"/>
  <c r="AH59" i="14"/>
  <c r="N60" i="14"/>
  <c r="O60" i="14"/>
  <c r="P60" i="14"/>
  <c r="Y60" i="14"/>
  <c r="Z60" i="14"/>
  <c r="AF60" i="14"/>
  <c r="AE60" i="14"/>
  <c r="L60" i="14"/>
  <c r="W73" i="2"/>
  <c r="F50" i="15"/>
  <c r="D83" i="2"/>
  <c r="AK83" i="2"/>
  <c r="U93" i="2"/>
  <c r="D70" i="15"/>
  <c r="S95" i="2"/>
  <c r="B72" i="15"/>
  <c r="G81" i="2"/>
  <c r="T94" i="2"/>
  <c r="C71" i="15"/>
  <c r="E69" i="15"/>
  <c r="H69" i="15"/>
  <c r="AY183" i="2"/>
  <c r="AZ183" i="2"/>
  <c r="AY184" i="2"/>
  <c r="AZ184" i="2"/>
  <c r="I68" i="15"/>
  <c r="S68" i="15"/>
  <c r="J68" i="15"/>
  <c r="E82" i="2"/>
  <c r="H82" i="2"/>
  <c r="F49" i="14"/>
  <c r="O79" i="2"/>
  <c r="B63" i="14"/>
  <c r="H63" i="14"/>
  <c r="K93" i="2"/>
  <c r="E60" i="14"/>
  <c r="D61" i="14"/>
  <c r="J61" i="14"/>
  <c r="K61" i="14"/>
  <c r="M91" i="2"/>
  <c r="C62" i="14"/>
  <c r="I62" i="14"/>
  <c r="L92" i="2"/>
  <c r="B85" i="2"/>
  <c r="AU94" i="2"/>
  <c r="AG60" i="14"/>
  <c r="AH60" i="14"/>
  <c r="N61" i="14"/>
  <c r="O61" i="14"/>
  <c r="P61" i="14"/>
  <c r="Y61" i="14"/>
  <c r="Z61" i="14"/>
  <c r="AF61" i="14"/>
  <c r="AE61" i="14"/>
  <c r="L61" i="14"/>
  <c r="W74" i="2"/>
  <c r="F51" i="15"/>
  <c r="AY185" i="2"/>
  <c r="AZ185" i="2"/>
  <c r="AY186" i="2"/>
  <c r="AZ186" i="2"/>
  <c r="E70" i="15"/>
  <c r="H70" i="15"/>
  <c r="J69" i="15"/>
  <c r="I69" i="15"/>
  <c r="S69" i="15"/>
  <c r="G82" i="2"/>
  <c r="D84" i="2"/>
  <c r="AK84" i="2"/>
  <c r="U94" i="2"/>
  <c r="D71" i="15"/>
  <c r="S96" i="2"/>
  <c r="B73" i="15"/>
  <c r="T95" i="2"/>
  <c r="C72" i="15"/>
  <c r="E83" i="2"/>
  <c r="O80" i="2"/>
  <c r="F50" i="14"/>
  <c r="D62" i="14"/>
  <c r="J62" i="14"/>
  <c r="K62" i="14"/>
  <c r="M92" i="2"/>
  <c r="E61" i="14"/>
  <c r="B64" i="14"/>
  <c r="H64" i="14"/>
  <c r="K94" i="2"/>
  <c r="C63" i="14"/>
  <c r="I63" i="14"/>
  <c r="L93" i="2"/>
  <c r="B86" i="2"/>
  <c r="AU95" i="2"/>
  <c r="AG61" i="14"/>
  <c r="AH61" i="14"/>
  <c r="N62" i="14"/>
  <c r="O62" i="14"/>
  <c r="P62" i="14"/>
  <c r="Y62" i="14"/>
  <c r="Z62" i="14"/>
  <c r="AF62" i="14"/>
  <c r="AE62" i="14"/>
  <c r="L62" i="14"/>
  <c r="U95" i="2"/>
  <c r="D72" i="15"/>
  <c r="S97" i="2"/>
  <c r="B74" i="15"/>
  <c r="W75" i="2"/>
  <c r="F52" i="15"/>
  <c r="E84" i="2"/>
  <c r="I70" i="15"/>
  <c r="S70" i="15"/>
  <c r="J70" i="15"/>
  <c r="G83" i="2"/>
  <c r="E71" i="15"/>
  <c r="H71" i="15"/>
  <c r="AY187" i="2"/>
  <c r="AZ187" i="2"/>
  <c r="AY188" i="2"/>
  <c r="AZ188" i="2"/>
  <c r="D85" i="2"/>
  <c r="AK85" i="2"/>
  <c r="T96" i="2"/>
  <c r="C73" i="15"/>
  <c r="F51" i="14"/>
  <c r="O81" i="2"/>
  <c r="B65" i="14"/>
  <c r="H65" i="14"/>
  <c r="K95" i="2"/>
  <c r="D63" i="14"/>
  <c r="J63" i="14"/>
  <c r="K63" i="14"/>
  <c r="M93" i="2"/>
  <c r="C64" i="14"/>
  <c r="I64" i="14"/>
  <c r="L94" i="2"/>
  <c r="E62" i="14"/>
  <c r="B87" i="2"/>
  <c r="AU96" i="2"/>
  <c r="AG62" i="14"/>
  <c r="AH62" i="14"/>
  <c r="N63" i="14"/>
  <c r="O63" i="14"/>
  <c r="P63" i="14"/>
  <c r="Y63" i="14"/>
  <c r="Z63" i="14"/>
  <c r="AF63" i="14"/>
  <c r="AE63" i="14"/>
  <c r="L63" i="14"/>
  <c r="W76" i="2"/>
  <c r="F53" i="15"/>
  <c r="S98" i="2"/>
  <c r="B75" i="15"/>
  <c r="E85" i="2"/>
  <c r="J71" i="15"/>
  <c r="I71" i="15"/>
  <c r="S71" i="15"/>
  <c r="T97" i="2"/>
  <c r="C74" i="15"/>
  <c r="AY189" i="2"/>
  <c r="AZ189" i="2"/>
  <c r="AY190" i="2"/>
  <c r="AZ190" i="2"/>
  <c r="D86" i="2"/>
  <c r="AK86" i="2"/>
  <c r="U96" i="2"/>
  <c r="D73" i="15"/>
  <c r="G84" i="2"/>
  <c r="E72" i="15"/>
  <c r="H72" i="15"/>
  <c r="F52" i="14"/>
  <c r="O82" i="2"/>
  <c r="B66" i="14"/>
  <c r="H66" i="14"/>
  <c r="K96" i="2"/>
  <c r="E63" i="14"/>
  <c r="C65" i="14"/>
  <c r="I65" i="14"/>
  <c r="L95" i="2"/>
  <c r="D64" i="14"/>
  <c r="J64" i="14"/>
  <c r="K64" i="14"/>
  <c r="M94" i="2"/>
  <c r="B88" i="2"/>
  <c r="AU97" i="2"/>
  <c r="AG63" i="14"/>
  <c r="AH63" i="14"/>
  <c r="N64" i="14"/>
  <c r="O64" i="14"/>
  <c r="P64" i="14"/>
  <c r="Y64" i="14"/>
  <c r="Z64" i="14"/>
  <c r="AF64" i="14"/>
  <c r="AE64" i="14"/>
  <c r="L64" i="14"/>
  <c r="AY191" i="2"/>
  <c r="AZ191" i="2"/>
  <c r="AY192" i="2"/>
  <c r="AZ192" i="2"/>
  <c r="AY193" i="2"/>
  <c r="AZ193" i="2"/>
  <c r="AY194" i="2"/>
  <c r="AZ194" i="2"/>
  <c r="AY195" i="2"/>
  <c r="AZ195" i="2"/>
  <c r="AY196" i="2"/>
  <c r="AZ196" i="2"/>
  <c r="S99" i="2"/>
  <c r="B76" i="15"/>
  <c r="G85" i="2"/>
  <c r="T98" i="2"/>
  <c r="C75" i="15"/>
  <c r="E73" i="15"/>
  <c r="H73" i="15"/>
  <c r="J72" i="15"/>
  <c r="I72" i="15"/>
  <c r="S72" i="15"/>
  <c r="D87" i="2"/>
  <c r="AK87" i="2"/>
  <c r="U97" i="2"/>
  <c r="D74" i="15"/>
  <c r="E86" i="2"/>
  <c r="W77" i="2"/>
  <c r="F54" i="15"/>
  <c r="F53" i="14"/>
  <c r="O83" i="2"/>
  <c r="D65" i="14"/>
  <c r="J65" i="14"/>
  <c r="K65" i="14"/>
  <c r="M95" i="2"/>
  <c r="C66" i="14"/>
  <c r="I66" i="14"/>
  <c r="L96" i="2"/>
  <c r="B67" i="14"/>
  <c r="H67" i="14"/>
  <c r="K97" i="2"/>
  <c r="E64" i="14"/>
  <c r="B89" i="2"/>
  <c r="AU98" i="2"/>
  <c r="AG64" i="14"/>
  <c r="AH64" i="14"/>
  <c r="N65" i="14"/>
  <c r="O65" i="14"/>
  <c r="P65" i="14"/>
  <c r="Y65" i="14"/>
  <c r="Z65" i="14"/>
  <c r="AE65" i="14"/>
  <c r="L65" i="14"/>
  <c r="D88" i="2"/>
  <c r="AK88" i="2"/>
  <c r="E87" i="2"/>
  <c r="T99" i="2"/>
  <c r="C76" i="15"/>
  <c r="U98" i="2"/>
  <c r="D75" i="15"/>
  <c r="G86" i="2"/>
  <c r="S100" i="2"/>
  <c r="B77" i="15"/>
  <c r="AY197" i="2"/>
  <c r="AZ197" i="2"/>
  <c r="AY198" i="2"/>
  <c r="AZ198" i="2"/>
  <c r="AY199" i="2"/>
  <c r="AZ199" i="2"/>
  <c r="AY200" i="2"/>
  <c r="AZ200" i="2"/>
  <c r="AY201" i="2"/>
  <c r="AZ201" i="2"/>
  <c r="AY202" i="2"/>
  <c r="AZ202" i="2"/>
  <c r="AY203" i="2"/>
  <c r="AZ203" i="2"/>
  <c r="AY204" i="2"/>
  <c r="AZ204" i="2"/>
  <c r="AY205" i="2"/>
  <c r="AZ205" i="2"/>
  <c r="AY206" i="2"/>
  <c r="AZ206" i="2"/>
  <c r="AY207" i="2"/>
  <c r="AZ207" i="2"/>
  <c r="AY208" i="2"/>
  <c r="AZ208" i="2"/>
  <c r="AY209" i="2"/>
  <c r="AZ209" i="2"/>
  <c r="AY210" i="2"/>
  <c r="AZ210" i="2"/>
  <c r="J73" i="15"/>
  <c r="I73" i="15"/>
  <c r="S73" i="15"/>
  <c r="W78" i="2"/>
  <c r="F55" i="15"/>
  <c r="E74" i="15"/>
  <c r="H74" i="15"/>
  <c r="F54" i="14"/>
  <c r="O84" i="2"/>
  <c r="D66" i="14"/>
  <c r="J66" i="14"/>
  <c r="K66" i="14"/>
  <c r="M96" i="2"/>
  <c r="B68" i="14"/>
  <c r="H68" i="14"/>
  <c r="K98" i="2"/>
  <c r="C67" i="14"/>
  <c r="I67" i="14"/>
  <c r="L97" i="2"/>
  <c r="E65" i="14"/>
  <c r="B90" i="2"/>
  <c r="AF65" i="14"/>
  <c r="AG65" i="14"/>
  <c r="AH65" i="14"/>
  <c r="AU99" i="2"/>
  <c r="N66" i="14"/>
  <c r="O66" i="14"/>
  <c r="P66" i="14"/>
  <c r="Y66" i="14"/>
  <c r="Z66" i="14"/>
  <c r="AE66" i="14"/>
  <c r="L66" i="14"/>
  <c r="AY211" i="2"/>
  <c r="AZ211" i="2"/>
  <c r="AY212" i="2"/>
  <c r="AZ212" i="2"/>
  <c r="W79" i="2"/>
  <c r="F56" i="15"/>
  <c r="D89" i="2"/>
  <c r="AK89" i="2"/>
  <c r="U99" i="2"/>
  <c r="D76" i="15"/>
  <c r="S101" i="2"/>
  <c r="B78" i="15"/>
  <c r="G87" i="2"/>
  <c r="T100" i="2"/>
  <c r="C77" i="15"/>
  <c r="I74" i="15"/>
  <c r="S74" i="15"/>
  <c r="J74" i="15"/>
  <c r="E75" i="15"/>
  <c r="H75" i="15"/>
  <c r="E88" i="2"/>
  <c r="F55" i="14"/>
  <c r="O85" i="2"/>
  <c r="B69" i="14"/>
  <c r="H69" i="14"/>
  <c r="K99" i="2"/>
  <c r="D67" i="14"/>
  <c r="J67" i="14"/>
  <c r="K67" i="14"/>
  <c r="M97" i="2"/>
  <c r="C68" i="14"/>
  <c r="I68" i="14"/>
  <c r="L98" i="2"/>
  <c r="E66" i="14"/>
  <c r="B91" i="2"/>
  <c r="AU100" i="2"/>
  <c r="AF66" i="14"/>
  <c r="AG66" i="14"/>
  <c r="AH66" i="14"/>
  <c r="N67" i="14"/>
  <c r="O67" i="14"/>
  <c r="P67" i="14"/>
  <c r="Y67" i="14"/>
  <c r="Z67" i="14"/>
  <c r="AE67" i="14"/>
  <c r="L67" i="14"/>
  <c r="S102" i="2"/>
  <c r="B79" i="15"/>
  <c r="T101" i="2"/>
  <c r="C78" i="15"/>
  <c r="U100" i="2"/>
  <c r="D77" i="15"/>
  <c r="G88" i="2"/>
  <c r="AY213" i="2"/>
  <c r="AZ213" i="2"/>
  <c r="AY214" i="2"/>
  <c r="AZ214" i="2"/>
  <c r="D90" i="2"/>
  <c r="AK90" i="2"/>
  <c r="E76" i="15"/>
  <c r="H76" i="15"/>
  <c r="J75" i="15"/>
  <c r="I75" i="15"/>
  <c r="S75" i="15"/>
  <c r="E89" i="2"/>
  <c r="W80" i="2"/>
  <c r="F57" i="15"/>
  <c r="F56" i="14"/>
  <c r="O86" i="2"/>
  <c r="D68" i="14"/>
  <c r="J68" i="14"/>
  <c r="K68" i="14"/>
  <c r="M98" i="2"/>
  <c r="B70" i="14"/>
  <c r="H70" i="14"/>
  <c r="K100" i="2"/>
  <c r="C69" i="14"/>
  <c r="I69" i="14"/>
  <c r="L99" i="2"/>
  <c r="E67" i="14"/>
  <c r="B92" i="2"/>
  <c r="AU101" i="2"/>
  <c r="AF67" i="14"/>
  <c r="AG67" i="14"/>
  <c r="AH67" i="14"/>
  <c r="N68" i="14"/>
  <c r="O68" i="14"/>
  <c r="P68" i="14"/>
  <c r="Y68" i="14"/>
  <c r="Z68" i="14"/>
  <c r="AE68" i="14"/>
  <c r="L68" i="14"/>
  <c r="E77" i="15"/>
  <c r="H77" i="15"/>
  <c r="S103" i="2"/>
  <c r="B80" i="15"/>
  <c r="E90" i="2"/>
  <c r="G89" i="2"/>
  <c r="I76" i="15"/>
  <c r="S76" i="15"/>
  <c r="J76" i="15"/>
  <c r="D91" i="2"/>
  <c r="AK91" i="2"/>
  <c r="AY215" i="2"/>
  <c r="AZ215" i="2"/>
  <c r="AY216" i="2"/>
  <c r="AZ216" i="2"/>
  <c r="AY217" i="2"/>
  <c r="AZ217" i="2"/>
  <c r="AY218" i="2"/>
  <c r="AZ218" i="2"/>
  <c r="AY219" i="2"/>
  <c r="AZ219" i="2"/>
  <c r="AY220" i="2"/>
  <c r="AZ220" i="2"/>
  <c r="AY221" i="2"/>
  <c r="AZ221" i="2"/>
  <c r="AY222" i="2"/>
  <c r="AZ222" i="2"/>
  <c r="AY223" i="2"/>
  <c r="AZ223" i="2"/>
  <c r="AY224" i="2"/>
  <c r="AZ224" i="2"/>
  <c r="AY225" i="2"/>
  <c r="AZ225" i="2"/>
  <c r="T102" i="2"/>
  <c r="C79" i="15"/>
  <c r="U101" i="2"/>
  <c r="D78" i="15"/>
  <c r="W81" i="2"/>
  <c r="F58" i="15"/>
  <c r="F57" i="14"/>
  <c r="O87" i="2"/>
  <c r="D69" i="14"/>
  <c r="J69" i="14"/>
  <c r="K69" i="14"/>
  <c r="M99" i="2"/>
  <c r="B71" i="14"/>
  <c r="H71" i="14"/>
  <c r="K101" i="2"/>
  <c r="C70" i="14"/>
  <c r="I70" i="14"/>
  <c r="L100" i="2"/>
  <c r="E68" i="14"/>
  <c r="B93" i="2"/>
  <c r="AU102" i="2"/>
  <c r="AF68" i="14"/>
  <c r="AG68" i="14"/>
  <c r="AH68" i="14"/>
  <c r="AY226" i="2"/>
  <c r="AZ226" i="2"/>
  <c r="AY227" i="2"/>
  <c r="AZ227" i="2"/>
  <c r="N69" i="14"/>
  <c r="O69" i="14"/>
  <c r="P69" i="14"/>
  <c r="Y69" i="14"/>
  <c r="Z69" i="14"/>
  <c r="AF69" i="14"/>
  <c r="AE69" i="14"/>
  <c r="L69" i="14"/>
  <c r="G90" i="2"/>
  <c r="T103" i="2"/>
  <c r="C80" i="15"/>
  <c r="S104" i="2"/>
  <c r="B81" i="15"/>
  <c r="E78" i="15"/>
  <c r="H78" i="15"/>
  <c r="AL100" i="2"/>
  <c r="AL94" i="2"/>
  <c r="AL98" i="2"/>
  <c r="C94" i="2"/>
  <c r="AL99" i="2"/>
  <c r="AL103" i="2"/>
  <c r="AL97" i="2"/>
  <c r="AL101" i="2"/>
  <c r="AL93" i="2"/>
  <c r="AL96" i="2"/>
  <c r="AL95" i="2"/>
  <c r="AL102" i="2"/>
  <c r="AL104" i="2"/>
  <c r="W82" i="2"/>
  <c r="F59" i="15"/>
  <c r="J77" i="15"/>
  <c r="I77" i="15"/>
  <c r="S77" i="15"/>
  <c r="D92" i="2"/>
  <c r="AK92" i="2"/>
  <c r="E91" i="2"/>
  <c r="U102" i="2"/>
  <c r="D79" i="15"/>
  <c r="F58" i="14"/>
  <c r="O88" i="2"/>
  <c r="B72" i="14"/>
  <c r="H72" i="14"/>
  <c r="K102" i="2"/>
  <c r="C71" i="14"/>
  <c r="I71" i="14"/>
  <c r="L101" i="2"/>
  <c r="D70" i="14"/>
  <c r="J70" i="14"/>
  <c r="K70" i="14"/>
  <c r="M100" i="2"/>
  <c r="E69" i="14"/>
  <c r="B94" i="2"/>
  <c r="X94" i="2"/>
  <c r="P94" i="2"/>
  <c r="AU103" i="2"/>
  <c r="AG69" i="14"/>
  <c r="AH69" i="14"/>
  <c r="AY228" i="2"/>
  <c r="AZ228" i="2"/>
  <c r="N70" i="14"/>
  <c r="O70" i="14"/>
  <c r="P70" i="14"/>
  <c r="Y70" i="14"/>
  <c r="Z70" i="14"/>
  <c r="AF70" i="14"/>
  <c r="AE70" i="14"/>
  <c r="L70" i="14"/>
  <c r="D93" i="2"/>
  <c r="AK93" i="2"/>
  <c r="AP100" i="2"/>
  <c r="AQ100" i="2"/>
  <c r="AP101" i="2"/>
  <c r="AQ101" i="2"/>
  <c r="S105" i="2"/>
  <c r="B82" i="15"/>
  <c r="E79" i="15"/>
  <c r="H79" i="15"/>
  <c r="AP97" i="2"/>
  <c r="AQ97" i="2"/>
  <c r="E92" i="2"/>
  <c r="AP98" i="2"/>
  <c r="AQ98" i="2"/>
  <c r="AP94" i="2"/>
  <c r="AQ94" i="2"/>
  <c r="AP93" i="2"/>
  <c r="AQ93" i="2"/>
  <c r="J78" i="15"/>
  <c r="I78" i="15"/>
  <c r="S78" i="15"/>
  <c r="AP103" i="2"/>
  <c r="AQ103" i="2"/>
  <c r="AP102" i="2"/>
  <c r="AQ102" i="2"/>
  <c r="AP95" i="2"/>
  <c r="AQ95" i="2"/>
  <c r="AP96" i="2"/>
  <c r="AQ96" i="2"/>
  <c r="U103" i="2"/>
  <c r="D80" i="15"/>
  <c r="W83" i="2"/>
  <c r="F60" i="15"/>
  <c r="T104" i="2"/>
  <c r="C81" i="15"/>
  <c r="G91" i="2"/>
  <c r="AP104" i="2"/>
  <c r="AQ104" i="2"/>
  <c r="AP99" i="2"/>
  <c r="AQ99" i="2"/>
  <c r="F59" i="14"/>
  <c r="O89" i="2"/>
  <c r="B73" i="14"/>
  <c r="H73" i="14"/>
  <c r="K103" i="2"/>
  <c r="E70" i="14"/>
  <c r="C72" i="14"/>
  <c r="I72" i="14"/>
  <c r="L102" i="2"/>
  <c r="D71" i="14"/>
  <c r="J71" i="14"/>
  <c r="K71" i="14"/>
  <c r="M101" i="2"/>
  <c r="B95" i="2"/>
  <c r="AU104" i="2"/>
  <c r="AG70" i="14"/>
  <c r="AH70" i="14"/>
  <c r="AY229" i="2"/>
  <c r="AZ229" i="2"/>
  <c r="N71" i="14"/>
  <c r="O71" i="14"/>
  <c r="P71" i="14"/>
  <c r="Y71" i="14"/>
  <c r="Z71" i="14"/>
  <c r="AE71" i="14"/>
  <c r="L71" i="14"/>
  <c r="J79" i="15"/>
  <c r="I79" i="15"/>
  <c r="S79" i="15"/>
  <c r="D94" i="2"/>
  <c r="AK94" i="2"/>
  <c r="U104" i="2"/>
  <c r="D81" i="15"/>
  <c r="G92" i="2"/>
  <c r="T105" i="2"/>
  <c r="C82" i="15"/>
  <c r="S106" i="2"/>
  <c r="B83" i="15"/>
  <c r="E80" i="15"/>
  <c r="H80" i="15"/>
  <c r="W84" i="2"/>
  <c r="F61" i="15"/>
  <c r="E93" i="2"/>
  <c r="O90" i="2"/>
  <c r="F60" i="14"/>
  <c r="D72" i="14"/>
  <c r="J72" i="14"/>
  <c r="K72" i="14"/>
  <c r="M102" i="2"/>
  <c r="B74" i="14"/>
  <c r="H74" i="14"/>
  <c r="K104" i="2"/>
  <c r="E71" i="14"/>
  <c r="C73" i="14"/>
  <c r="I73" i="14"/>
  <c r="L103" i="2"/>
  <c r="B96" i="2"/>
  <c r="AF71" i="14"/>
  <c r="AG71" i="14"/>
  <c r="AH71" i="14"/>
  <c r="AU105" i="2"/>
  <c r="AY230" i="2"/>
  <c r="AZ230" i="2"/>
  <c r="N72" i="14"/>
  <c r="O72" i="14"/>
  <c r="P72" i="14"/>
  <c r="Y72" i="14"/>
  <c r="Z72" i="14"/>
  <c r="AE72" i="14"/>
  <c r="L72" i="14"/>
  <c r="E81" i="15"/>
  <c r="H81" i="15"/>
  <c r="T106" i="2"/>
  <c r="C83" i="15"/>
  <c r="W85" i="2"/>
  <c r="F62" i="15"/>
  <c r="E94" i="2"/>
  <c r="H94" i="2"/>
  <c r="G93" i="2"/>
  <c r="U105" i="2"/>
  <c r="D82" i="15"/>
  <c r="D95" i="2"/>
  <c r="AK95" i="2"/>
  <c r="J80" i="15"/>
  <c r="I80" i="15"/>
  <c r="S80" i="15"/>
  <c r="S107" i="2"/>
  <c r="B84" i="15"/>
  <c r="O91" i="2"/>
  <c r="F61" i="14"/>
  <c r="C74" i="14"/>
  <c r="I74" i="14"/>
  <c r="L104" i="2"/>
  <c r="B75" i="14"/>
  <c r="H75" i="14"/>
  <c r="K105" i="2"/>
  <c r="D73" i="14"/>
  <c r="J73" i="14"/>
  <c r="K73" i="14"/>
  <c r="M103" i="2"/>
  <c r="E72" i="14"/>
  <c r="B97" i="2"/>
  <c r="AU106" i="2"/>
  <c r="AF72" i="14"/>
  <c r="AG72" i="14"/>
  <c r="AH72" i="14"/>
  <c r="AY231" i="2"/>
  <c r="AZ231" i="2"/>
  <c r="N73" i="14"/>
  <c r="O73" i="14"/>
  <c r="P73" i="14"/>
  <c r="Y73" i="14"/>
  <c r="Z73" i="14"/>
  <c r="AE73" i="14"/>
  <c r="L73" i="14"/>
  <c r="E82" i="15"/>
  <c r="H82" i="15"/>
  <c r="T107" i="2"/>
  <c r="C84" i="15"/>
  <c r="U106" i="2"/>
  <c r="D83" i="15"/>
  <c r="S108" i="2"/>
  <c r="B85" i="15"/>
  <c r="J81" i="15"/>
  <c r="I81" i="15"/>
  <c r="S81" i="15"/>
  <c r="D96" i="2"/>
  <c r="AK96" i="2"/>
  <c r="G94" i="2"/>
  <c r="E95" i="2"/>
  <c r="W86" i="2"/>
  <c r="F63" i="15"/>
  <c r="F62" i="14"/>
  <c r="O92" i="2"/>
  <c r="B76" i="14"/>
  <c r="H76" i="14"/>
  <c r="K106" i="2"/>
  <c r="E73" i="14"/>
  <c r="C75" i="14"/>
  <c r="I75" i="14"/>
  <c r="L105" i="2"/>
  <c r="D74" i="14"/>
  <c r="J74" i="14"/>
  <c r="K74" i="14"/>
  <c r="M104" i="2"/>
  <c r="B98" i="2"/>
  <c r="AU107" i="2"/>
  <c r="AF73" i="14"/>
  <c r="AG73" i="14"/>
  <c r="AH73" i="14"/>
  <c r="AY232" i="2"/>
  <c r="AZ232" i="2"/>
  <c r="N74" i="14"/>
  <c r="O74" i="14"/>
  <c r="P74" i="14"/>
  <c r="Y74" i="14"/>
  <c r="Z74" i="14"/>
  <c r="AE74" i="14"/>
  <c r="L74" i="14"/>
  <c r="E96" i="2"/>
  <c r="S109" i="2"/>
  <c r="B86" i="15"/>
  <c r="G95" i="2"/>
  <c r="E83" i="15"/>
  <c r="H83" i="15"/>
  <c r="T108" i="2"/>
  <c r="C85" i="15"/>
  <c r="U107" i="2"/>
  <c r="D84" i="15"/>
  <c r="D97" i="2"/>
  <c r="AK97" i="2"/>
  <c r="I82" i="15"/>
  <c r="S82" i="15"/>
  <c r="J82" i="15"/>
  <c r="W87" i="2"/>
  <c r="F64" i="15"/>
  <c r="O93" i="2"/>
  <c r="F63" i="14"/>
  <c r="D75" i="14"/>
  <c r="J75" i="14"/>
  <c r="K75" i="14"/>
  <c r="M105" i="2"/>
  <c r="C76" i="14"/>
  <c r="I76" i="14"/>
  <c r="L106" i="2"/>
  <c r="E74" i="14"/>
  <c r="B77" i="14"/>
  <c r="H77" i="14"/>
  <c r="K107" i="2"/>
  <c r="B99" i="2"/>
  <c r="AU108" i="2"/>
  <c r="AF74" i="14"/>
  <c r="AG74" i="14"/>
  <c r="AH74" i="14"/>
  <c r="AY233" i="2"/>
  <c r="AZ233" i="2"/>
  <c r="N75" i="14"/>
  <c r="O75" i="14"/>
  <c r="P75" i="14"/>
  <c r="Y75" i="14"/>
  <c r="Z75" i="14"/>
  <c r="AE75" i="14"/>
  <c r="L75" i="14"/>
  <c r="D98" i="2"/>
  <c r="AK98" i="2"/>
  <c r="S110" i="2"/>
  <c r="B87" i="15"/>
  <c r="U108" i="2"/>
  <c r="D85" i="15"/>
  <c r="E84" i="15"/>
  <c r="H84" i="15"/>
  <c r="T109" i="2"/>
  <c r="C86" i="15"/>
  <c r="E97" i="2"/>
  <c r="W88" i="2"/>
  <c r="F65" i="15"/>
  <c r="J83" i="15"/>
  <c r="I83" i="15"/>
  <c r="S83" i="15"/>
  <c r="G96" i="2"/>
  <c r="O94" i="2"/>
  <c r="F64" i="14"/>
  <c r="B78" i="14"/>
  <c r="H78" i="14"/>
  <c r="K108" i="2"/>
  <c r="D76" i="14"/>
  <c r="J76" i="14"/>
  <c r="K76" i="14"/>
  <c r="M106" i="2"/>
  <c r="C77" i="14"/>
  <c r="I77" i="14"/>
  <c r="L107" i="2"/>
  <c r="E75" i="14"/>
  <c r="B100" i="2"/>
  <c r="AU109" i="2"/>
  <c r="AF75" i="14"/>
  <c r="AG75" i="14"/>
  <c r="AH75" i="14"/>
  <c r="AY234" i="2"/>
  <c r="AZ234" i="2"/>
  <c r="N76" i="14"/>
  <c r="O76" i="14"/>
  <c r="P76" i="14"/>
  <c r="Y76" i="14"/>
  <c r="Z76" i="14"/>
  <c r="AE76" i="14"/>
  <c r="L76" i="14"/>
  <c r="U109" i="2"/>
  <c r="D86" i="15"/>
  <c r="J84" i="15"/>
  <c r="I84" i="15"/>
  <c r="S84" i="15"/>
  <c r="D99" i="2"/>
  <c r="AK99" i="2"/>
  <c r="E85" i="15"/>
  <c r="H85" i="15"/>
  <c r="S111" i="2"/>
  <c r="B88" i="15"/>
  <c r="T110" i="2"/>
  <c r="C87" i="15"/>
  <c r="W89" i="2"/>
  <c r="F66" i="15"/>
  <c r="G97" i="2"/>
  <c r="E98" i="2"/>
  <c r="O95" i="2"/>
  <c r="F65" i="14"/>
  <c r="D77" i="14"/>
  <c r="J77" i="14"/>
  <c r="K77" i="14"/>
  <c r="M107" i="2"/>
  <c r="C78" i="14"/>
  <c r="I78" i="14"/>
  <c r="L108" i="2"/>
  <c r="B79" i="14"/>
  <c r="H79" i="14"/>
  <c r="K109" i="2"/>
  <c r="E76" i="14"/>
  <c r="B101" i="2"/>
  <c r="AU110" i="2"/>
  <c r="AF76" i="14"/>
  <c r="AG76" i="14"/>
  <c r="AH76" i="14"/>
  <c r="AY235" i="2"/>
  <c r="AZ235" i="2"/>
  <c r="N77" i="14"/>
  <c r="O77" i="14"/>
  <c r="P77" i="14"/>
  <c r="Y77" i="14"/>
  <c r="Z77" i="14"/>
  <c r="AE77" i="14"/>
  <c r="L77" i="14"/>
  <c r="S112" i="2"/>
  <c r="B89" i="15"/>
  <c r="T111" i="2"/>
  <c r="C88" i="15"/>
  <c r="W90" i="2"/>
  <c r="F67" i="15"/>
  <c r="J85" i="15"/>
  <c r="I85" i="15"/>
  <c r="S85" i="15"/>
  <c r="G98" i="2"/>
  <c r="D100" i="2"/>
  <c r="AK100" i="2"/>
  <c r="U110" i="2"/>
  <c r="D87" i="15"/>
  <c r="E86" i="15"/>
  <c r="H86" i="15"/>
  <c r="E99" i="2"/>
  <c r="F66" i="14"/>
  <c r="O96" i="2"/>
  <c r="D78" i="14"/>
  <c r="J78" i="14"/>
  <c r="K78" i="14"/>
  <c r="M108" i="2"/>
  <c r="C79" i="14"/>
  <c r="I79" i="14"/>
  <c r="L109" i="2"/>
  <c r="B80" i="14"/>
  <c r="H80" i="14"/>
  <c r="K110" i="2"/>
  <c r="E77" i="14"/>
  <c r="B102" i="2"/>
  <c r="AU111" i="2"/>
  <c r="AF77" i="14"/>
  <c r="AG77" i="14"/>
  <c r="AH77" i="14"/>
  <c r="AY236" i="2"/>
  <c r="AZ236" i="2"/>
  <c r="N78" i="14"/>
  <c r="O78" i="14"/>
  <c r="P78" i="14"/>
  <c r="Y78" i="14"/>
  <c r="Z78" i="14"/>
  <c r="AE78" i="14"/>
  <c r="L78" i="14"/>
  <c r="J86" i="15"/>
  <c r="I86" i="15"/>
  <c r="S86" i="15"/>
  <c r="S113" i="2"/>
  <c r="B90" i="15"/>
  <c r="U111" i="2"/>
  <c r="D88" i="15"/>
  <c r="D101" i="2"/>
  <c r="AK101" i="2"/>
  <c r="W91" i="2"/>
  <c r="F68" i="15"/>
  <c r="G99" i="2"/>
  <c r="E100" i="2"/>
  <c r="T112" i="2"/>
  <c r="C89" i="15"/>
  <c r="E87" i="15"/>
  <c r="H87" i="15"/>
  <c r="F67" i="14"/>
  <c r="O97" i="2"/>
  <c r="D79" i="14"/>
  <c r="J79" i="14"/>
  <c r="K79" i="14"/>
  <c r="M109" i="2"/>
  <c r="C80" i="14"/>
  <c r="I80" i="14"/>
  <c r="L110" i="2"/>
  <c r="B81" i="14"/>
  <c r="H81" i="14"/>
  <c r="K111" i="2"/>
  <c r="E78" i="14"/>
  <c r="B103" i="2"/>
  <c r="AU112" i="2"/>
  <c r="AF78" i="14"/>
  <c r="AG78" i="14"/>
  <c r="AH78" i="14"/>
  <c r="AY237" i="2"/>
  <c r="AZ237" i="2"/>
  <c r="N79" i="14"/>
  <c r="O79" i="14"/>
  <c r="P79" i="14"/>
  <c r="Y79" i="14"/>
  <c r="Z79" i="14"/>
  <c r="AE79" i="14"/>
  <c r="L79" i="14"/>
  <c r="W92" i="2"/>
  <c r="F69" i="15"/>
  <c r="T113" i="2"/>
  <c r="C90" i="15"/>
  <c r="S114" i="2"/>
  <c r="B91" i="15"/>
  <c r="U112" i="2"/>
  <c r="D89" i="15"/>
  <c r="E88" i="15"/>
  <c r="H88" i="15"/>
  <c r="D102" i="2"/>
  <c r="AK102" i="2"/>
  <c r="J87" i="15"/>
  <c r="I87" i="15"/>
  <c r="S87" i="15"/>
  <c r="G100" i="2"/>
  <c r="E101" i="2"/>
  <c r="O98" i="2"/>
  <c r="F68" i="14"/>
  <c r="D80" i="14"/>
  <c r="J80" i="14"/>
  <c r="K80" i="14"/>
  <c r="M110" i="2"/>
  <c r="B82" i="14"/>
  <c r="H82" i="14"/>
  <c r="K112" i="2"/>
  <c r="C81" i="14"/>
  <c r="I81" i="14"/>
  <c r="L111" i="2"/>
  <c r="E79" i="14"/>
  <c r="B104" i="2"/>
  <c r="AU113" i="2"/>
  <c r="AF79" i="14"/>
  <c r="AG79" i="14"/>
  <c r="AH79" i="14"/>
  <c r="AY238" i="2"/>
  <c r="AZ238" i="2"/>
  <c r="N80" i="14"/>
  <c r="O80" i="14"/>
  <c r="P80" i="14"/>
  <c r="Y80" i="14"/>
  <c r="Z80" i="14"/>
  <c r="AE80" i="14"/>
  <c r="L80" i="14"/>
  <c r="G101" i="2"/>
  <c r="U113" i="2"/>
  <c r="D90" i="15"/>
  <c r="T114" i="2"/>
  <c r="C91" i="15"/>
  <c r="W93" i="2"/>
  <c r="F70" i="15"/>
  <c r="D103" i="2"/>
  <c r="AK103" i="2"/>
  <c r="I88" i="15"/>
  <c r="S88" i="15"/>
  <c r="J88" i="15"/>
  <c r="S115" i="2"/>
  <c r="B92" i="15"/>
  <c r="E102" i="2"/>
  <c r="E89" i="15"/>
  <c r="H89" i="15"/>
  <c r="F69" i="14"/>
  <c r="O99" i="2"/>
  <c r="C82" i="14"/>
  <c r="I82" i="14"/>
  <c r="L112" i="2"/>
  <c r="D81" i="14"/>
  <c r="J81" i="14"/>
  <c r="K81" i="14"/>
  <c r="M111" i="2"/>
  <c r="B83" i="14"/>
  <c r="H83" i="14"/>
  <c r="K113" i="2"/>
  <c r="E80" i="14"/>
  <c r="B105" i="2"/>
  <c r="AU114" i="2"/>
  <c r="AF80" i="14"/>
  <c r="AG80" i="14"/>
  <c r="AH80" i="14"/>
  <c r="AY239" i="2"/>
  <c r="AZ239" i="2"/>
  <c r="N81" i="14"/>
  <c r="O81" i="14"/>
  <c r="P81" i="14"/>
  <c r="Y81" i="14"/>
  <c r="Z81" i="14"/>
  <c r="AE81" i="14"/>
  <c r="L81" i="14"/>
  <c r="U114" i="2"/>
  <c r="D91" i="15"/>
  <c r="T115" i="2"/>
  <c r="C92" i="15"/>
  <c r="E103" i="2"/>
  <c r="AL106" i="2"/>
  <c r="AL109" i="2"/>
  <c r="AL111" i="2"/>
  <c r="AL107" i="2"/>
  <c r="AL113" i="2"/>
  <c r="AL105" i="2"/>
  <c r="C106" i="2"/>
  <c r="AL116" i="2"/>
  <c r="AL112" i="2"/>
  <c r="AL110" i="2"/>
  <c r="AL108" i="2"/>
  <c r="AL115" i="2"/>
  <c r="AL114" i="2"/>
  <c r="S116" i="2"/>
  <c r="B93" i="15"/>
  <c r="G102" i="2"/>
  <c r="D104" i="2"/>
  <c r="AK104" i="2"/>
  <c r="W94" i="2"/>
  <c r="F71" i="15"/>
  <c r="E90" i="15"/>
  <c r="H90" i="15"/>
  <c r="J89" i="15"/>
  <c r="I89" i="15"/>
  <c r="S89" i="15"/>
  <c r="O100" i="2"/>
  <c r="F70" i="14"/>
  <c r="C83" i="14"/>
  <c r="I83" i="14"/>
  <c r="L113" i="2"/>
  <c r="B84" i="14"/>
  <c r="H84" i="14"/>
  <c r="K114" i="2"/>
  <c r="E81" i="14"/>
  <c r="D82" i="14"/>
  <c r="J82" i="14"/>
  <c r="K82" i="14"/>
  <c r="M112" i="2"/>
  <c r="B106" i="2"/>
  <c r="X106" i="2"/>
  <c r="P106" i="2"/>
  <c r="AU115" i="2"/>
  <c r="AF81" i="14"/>
  <c r="AG81" i="14"/>
  <c r="AH81" i="14"/>
  <c r="AY240" i="2"/>
  <c r="AZ240" i="2"/>
  <c r="N82" i="14"/>
  <c r="O82" i="14"/>
  <c r="P82" i="14"/>
  <c r="Y82" i="14"/>
  <c r="Z82" i="14"/>
  <c r="AE82" i="14"/>
  <c r="L82" i="14"/>
  <c r="W95" i="2"/>
  <c r="F72" i="15"/>
  <c r="AP107" i="2"/>
  <c r="AQ107" i="2"/>
  <c r="AP108" i="2"/>
  <c r="AQ108" i="2"/>
  <c r="D105" i="2"/>
  <c r="AK105" i="2"/>
  <c r="I90" i="15"/>
  <c r="S90" i="15"/>
  <c r="J90" i="15"/>
  <c r="AP110" i="2"/>
  <c r="AQ110" i="2"/>
  <c r="AP109" i="2"/>
  <c r="AQ109" i="2"/>
  <c r="T116" i="2"/>
  <c r="C93" i="15"/>
  <c r="G103" i="2"/>
  <c r="AP105" i="2"/>
  <c r="AQ105" i="2"/>
  <c r="AP114" i="2"/>
  <c r="AQ114" i="2"/>
  <c r="AP115" i="2"/>
  <c r="AQ115" i="2"/>
  <c r="E104" i="2"/>
  <c r="AP112" i="2"/>
  <c r="AQ112" i="2"/>
  <c r="AP106" i="2"/>
  <c r="AQ106" i="2"/>
  <c r="E91" i="15"/>
  <c r="H91" i="15"/>
  <c r="AP113" i="2"/>
  <c r="AQ113" i="2"/>
  <c r="U115" i="2"/>
  <c r="D92" i="15"/>
  <c r="AP111" i="2"/>
  <c r="AQ111" i="2"/>
  <c r="S117" i="2"/>
  <c r="B94" i="15"/>
  <c r="AP116" i="2"/>
  <c r="AQ116" i="2"/>
  <c r="F71" i="14"/>
  <c r="O101" i="2"/>
  <c r="C84" i="14"/>
  <c r="I84" i="14"/>
  <c r="L114" i="2"/>
  <c r="E82" i="14"/>
  <c r="B85" i="14"/>
  <c r="H85" i="14"/>
  <c r="K115" i="2"/>
  <c r="D83" i="14"/>
  <c r="J83" i="14"/>
  <c r="K83" i="14"/>
  <c r="M113" i="2"/>
  <c r="B107" i="2"/>
  <c r="AU116" i="2"/>
  <c r="AF82" i="14"/>
  <c r="AG82" i="14"/>
  <c r="AH82" i="14"/>
  <c r="AY241" i="2"/>
  <c r="AZ241" i="2"/>
  <c r="N83" i="14"/>
  <c r="O83" i="14"/>
  <c r="P83" i="14"/>
  <c r="Y83" i="14"/>
  <c r="Z83" i="14"/>
  <c r="AE83" i="14"/>
  <c r="L83" i="14"/>
  <c r="S118" i="2"/>
  <c r="B95" i="15"/>
  <c r="T117" i="2"/>
  <c r="C94" i="15"/>
  <c r="D106" i="2"/>
  <c r="AK106" i="2"/>
  <c r="J91" i="15"/>
  <c r="I91" i="15"/>
  <c r="S91" i="15"/>
  <c r="G104" i="2"/>
  <c r="E92" i="15"/>
  <c r="H92" i="15"/>
  <c r="U116" i="2"/>
  <c r="D93" i="15"/>
  <c r="W96" i="2"/>
  <c r="F73" i="15"/>
  <c r="E105" i="2"/>
  <c r="F72" i="14"/>
  <c r="O102" i="2"/>
  <c r="B86" i="14"/>
  <c r="H86" i="14"/>
  <c r="K116" i="2"/>
  <c r="E83" i="14"/>
  <c r="D84" i="14"/>
  <c r="J84" i="14"/>
  <c r="K84" i="14"/>
  <c r="M114" i="2"/>
  <c r="C85" i="14"/>
  <c r="I85" i="14"/>
  <c r="L115" i="2"/>
  <c r="B108" i="2"/>
  <c r="AU117" i="2"/>
  <c r="AF83" i="14"/>
  <c r="AG83" i="14"/>
  <c r="AH83" i="14"/>
  <c r="AY242" i="2"/>
  <c r="AZ242" i="2"/>
  <c r="N84" i="14"/>
  <c r="O84" i="14"/>
  <c r="P84" i="14"/>
  <c r="Y84" i="14"/>
  <c r="Z84" i="14"/>
  <c r="AE84" i="14"/>
  <c r="L84" i="14"/>
  <c r="J92" i="15"/>
  <c r="I92" i="15"/>
  <c r="S92" i="15"/>
  <c r="E106" i="2"/>
  <c r="H106" i="2"/>
  <c r="S119" i="2"/>
  <c r="B96" i="15"/>
  <c r="U117" i="2"/>
  <c r="D94" i="15"/>
  <c r="D107" i="2"/>
  <c r="AK107" i="2"/>
  <c r="T118" i="2"/>
  <c r="C95" i="15"/>
  <c r="G105" i="2"/>
  <c r="W97" i="2"/>
  <c r="F74" i="15"/>
  <c r="E93" i="15"/>
  <c r="H93" i="15"/>
  <c r="F73" i="14"/>
  <c r="O103" i="2"/>
  <c r="B87" i="14"/>
  <c r="H87" i="14"/>
  <c r="K117" i="2"/>
  <c r="C86" i="14"/>
  <c r="I86" i="14"/>
  <c r="L116" i="2"/>
  <c r="E84" i="14"/>
  <c r="D85" i="14"/>
  <c r="J85" i="14"/>
  <c r="K85" i="14"/>
  <c r="M115" i="2"/>
  <c r="B109" i="2"/>
  <c r="AU118" i="2"/>
  <c r="AF84" i="14"/>
  <c r="AG84" i="14"/>
  <c r="AH84" i="14"/>
  <c r="AY243" i="2"/>
  <c r="AZ243" i="2"/>
  <c r="N85" i="14"/>
  <c r="O85" i="14"/>
  <c r="P85" i="14"/>
  <c r="Y85" i="14"/>
  <c r="Z85" i="14"/>
  <c r="AE85" i="14"/>
  <c r="L85" i="14"/>
  <c r="T119" i="2"/>
  <c r="C96" i="15"/>
  <c r="S120" i="2"/>
  <c r="B97" i="15"/>
  <c r="W98" i="2"/>
  <c r="F75" i="15"/>
  <c r="U118" i="2"/>
  <c r="D95" i="15"/>
  <c r="E107" i="2"/>
  <c r="G106" i="2"/>
  <c r="E94" i="15"/>
  <c r="H94" i="15"/>
  <c r="D108" i="2"/>
  <c r="AK108" i="2"/>
  <c r="J93" i="15"/>
  <c r="I93" i="15"/>
  <c r="S93" i="15"/>
  <c r="F74" i="14"/>
  <c r="O104" i="2"/>
  <c r="B88" i="14"/>
  <c r="H88" i="14"/>
  <c r="K118" i="2"/>
  <c r="E85" i="14"/>
  <c r="C87" i="14"/>
  <c r="I87" i="14"/>
  <c r="L117" i="2"/>
  <c r="D86" i="14"/>
  <c r="J86" i="14"/>
  <c r="K86" i="14"/>
  <c r="M116" i="2"/>
  <c r="B110" i="2"/>
  <c r="AU119" i="2"/>
  <c r="AF85" i="14"/>
  <c r="AG85" i="14"/>
  <c r="AH85" i="14"/>
  <c r="AY244" i="2"/>
  <c r="AZ244" i="2"/>
  <c r="N86" i="14"/>
  <c r="O86" i="14"/>
  <c r="P86" i="14"/>
  <c r="Y86" i="14"/>
  <c r="Z86" i="14"/>
  <c r="AE86" i="14"/>
  <c r="L86" i="14"/>
  <c r="T120" i="2"/>
  <c r="C97" i="15"/>
  <c r="J94" i="15"/>
  <c r="I94" i="15"/>
  <c r="S94" i="15"/>
  <c r="E108" i="2"/>
  <c r="S121" i="2"/>
  <c r="B98" i="15"/>
  <c r="E95" i="15"/>
  <c r="H95" i="15"/>
  <c r="U119" i="2"/>
  <c r="D96" i="15"/>
  <c r="G107" i="2"/>
  <c r="D109" i="2"/>
  <c r="AK109" i="2"/>
  <c r="W99" i="2"/>
  <c r="F76" i="15"/>
  <c r="F75" i="14"/>
  <c r="O105" i="2"/>
  <c r="D87" i="14"/>
  <c r="J87" i="14"/>
  <c r="K87" i="14"/>
  <c r="M117" i="2"/>
  <c r="B89" i="14"/>
  <c r="H89" i="14"/>
  <c r="K119" i="2"/>
  <c r="E86" i="14"/>
  <c r="C88" i="14"/>
  <c r="I88" i="14"/>
  <c r="L118" i="2"/>
  <c r="B111" i="2"/>
  <c r="AU120" i="2"/>
  <c r="AF86" i="14"/>
  <c r="AG86" i="14"/>
  <c r="AH86" i="14"/>
  <c r="AY245" i="2"/>
  <c r="AZ245" i="2"/>
  <c r="N87" i="14"/>
  <c r="O87" i="14"/>
  <c r="P87" i="14"/>
  <c r="Y87" i="14"/>
  <c r="Z87" i="14"/>
  <c r="AE87" i="14"/>
  <c r="L87" i="14"/>
  <c r="D110" i="2"/>
  <c r="AK110" i="2"/>
  <c r="G108" i="2"/>
  <c r="J95" i="15"/>
  <c r="I95" i="15"/>
  <c r="S95" i="15"/>
  <c r="S122" i="2"/>
  <c r="B99" i="15"/>
  <c r="E96" i="15"/>
  <c r="H96" i="15"/>
  <c r="E109" i="2"/>
  <c r="T121" i="2"/>
  <c r="C98" i="15"/>
  <c r="W100" i="2"/>
  <c r="F77" i="15"/>
  <c r="U120" i="2"/>
  <c r="D97" i="15"/>
  <c r="F76" i="14"/>
  <c r="O106" i="2"/>
  <c r="B90" i="14"/>
  <c r="H90" i="14"/>
  <c r="K120" i="2"/>
  <c r="C89" i="14"/>
  <c r="I89" i="14"/>
  <c r="L119" i="2"/>
  <c r="D88" i="14"/>
  <c r="J88" i="14"/>
  <c r="K88" i="14"/>
  <c r="M118" i="2"/>
  <c r="E87" i="14"/>
  <c r="B112" i="2"/>
  <c r="AU121" i="2"/>
  <c r="AF87" i="14"/>
  <c r="AG87" i="14"/>
  <c r="AH87" i="14"/>
  <c r="AY246" i="2"/>
  <c r="AZ246" i="2"/>
  <c r="N88" i="14"/>
  <c r="O88" i="14"/>
  <c r="P88" i="14"/>
  <c r="Y88" i="14"/>
  <c r="Z88" i="14"/>
  <c r="AE88" i="14"/>
  <c r="L88" i="14"/>
  <c r="E97" i="15"/>
  <c r="H97" i="15"/>
  <c r="J96" i="15"/>
  <c r="I96" i="15"/>
  <c r="S96" i="15"/>
  <c r="D111" i="2"/>
  <c r="AK111" i="2"/>
  <c r="S123" i="2"/>
  <c r="B100" i="15"/>
  <c r="G109" i="2"/>
  <c r="W101" i="2"/>
  <c r="F78" i="15"/>
  <c r="T122" i="2"/>
  <c r="C99" i="15"/>
  <c r="U121" i="2"/>
  <c r="D98" i="15"/>
  <c r="E110" i="2"/>
  <c r="F77" i="14"/>
  <c r="O107" i="2"/>
  <c r="E88" i="14"/>
  <c r="C90" i="14"/>
  <c r="I90" i="14"/>
  <c r="L120" i="2"/>
  <c r="D89" i="14"/>
  <c r="J89" i="14"/>
  <c r="K89" i="14"/>
  <c r="M119" i="2"/>
  <c r="B91" i="14"/>
  <c r="H91" i="14"/>
  <c r="K121" i="2"/>
  <c r="B113" i="2"/>
  <c r="AU122" i="2"/>
  <c r="AF88" i="14"/>
  <c r="AG88" i="14"/>
  <c r="AH88" i="14"/>
  <c r="AY247" i="2"/>
  <c r="AZ247" i="2"/>
  <c r="N89" i="14"/>
  <c r="O89" i="14"/>
  <c r="P89" i="14"/>
  <c r="Y89" i="14"/>
  <c r="Z89" i="14"/>
  <c r="AE89" i="14"/>
  <c r="L89" i="14"/>
  <c r="W102" i="2"/>
  <c r="F79" i="15"/>
  <c r="E111" i="2"/>
  <c r="D112" i="2"/>
  <c r="AK112" i="2"/>
  <c r="E98" i="15"/>
  <c r="H98" i="15"/>
  <c r="T123" i="2"/>
  <c r="C100" i="15"/>
  <c r="S124" i="2"/>
  <c r="B101" i="15"/>
  <c r="G110" i="2"/>
  <c r="J97" i="15"/>
  <c r="I97" i="15"/>
  <c r="S97" i="15"/>
  <c r="U122" i="2"/>
  <c r="D99" i="15"/>
  <c r="F78" i="14"/>
  <c r="O108" i="2"/>
  <c r="B92" i="14"/>
  <c r="H92" i="14"/>
  <c r="K122" i="2"/>
  <c r="D90" i="14"/>
  <c r="J90" i="14"/>
  <c r="K90" i="14"/>
  <c r="M120" i="2"/>
  <c r="C91" i="14"/>
  <c r="I91" i="14"/>
  <c r="L121" i="2"/>
  <c r="E89" i="14"/>
  <c r="B114" i="2"/>
  <c r="AU123" i="2"/>
  <c r="AF89" i="14"/>
  <c r="AG89" i="14"/>
  <c r="AH89" i="14"/>
  <c r="AY248" i="2"/>
  <c r="AZ248" i="2"/>
  <c r="N90" i="14"/>
  <c r="O90" i="14"/>
  <c r="P90" i="14"/>
  <c r="Y90" i="14"/>
  <c r="Z90" i="14"/>
  <c r="AE90" i="14"/>
  <c r="L90" i="14"/>
  <c r="E99" i="15"/>
  <c r="H99" i="15"/>
  <c r="E112" i="2"/>
  <c r="S125" i="2"/>
  <c r="B102" i="15"/>
  <c r="G111" i="2"/>
  <c r="J98" i="15"/>
  <c r="I98" i="15"/>
  <c r="S98" i="15"/>
  <c r="T124" i="2"/>
  <c r="C101" i="15"/>
  <c r="D113" i="2"/>
  <c r="AK113" i="2"/>
  <c r="U123" i="2"/>
  <c r="D100" i="15"/>
  <c r="W103" i="2"/>
  <c r="F80" i="15"/>
  <c r="O109" i="2"/>
  <c r="F79" i="14"/>
  <c r="B93" i="14"/>
  <c r="H93" i="14"/>
  <c r="K123" i="2"/>
  <c r="E90" i="14"/>
  <c r="C92" i="14"/>
  <c r="I92" i="14"/>
  <c r="L122" i="2"/>
  <c r="D91" i="14"/>
  <c r="J91" i="14"/>
  <c r="K91" i="14"/>
  <c r="M121" i="2"/>
  <c r="B115" i="2"/>
  <c r="AU124" i="2"/>
  <c r="AF90" i="14"/>
  <c r="AG90" i="14"/>
  <c r="AH90" i="14"/>
  <c r="AY249" i="2"/>
  <c r="AZ249" i="2"/>
  <c r="N91" i="14"/>
  <c r="O91" i="14"/>
  <c r="P91" i="14"/>
  <c r="Y91" i="14"/>
  <c r="Z91" i="14"/>
  <c r="AE91" i="14"/>
  <c r="L91" i="14"/>
  <c r="T125" i="2"/>
  <c r="C102" i="15"/>
  <c r="J99" i="15"/>
  <c r="I99" i="15"/>
  <c r="S99" i="15"/>
  <c r="W104" i="2"/>
  <c r="F81" i="15"/>
  <c r="U124" i="2"/>
  <c r="D101" i="15"/>
  <c r="E100" i="15"/>
  <c r="H100" i="15"/>
  <c r="E113" i="2"/>
  <c r="D114" i="2"/>
  <c r="AK114" i="2"/>
  <c r="G112" i="2"/>
  <c r="S126" i="2"/>
  <c r="B103" i="15"/>
  <c r="F80" i="14"/>
  <c r="O110" i="2"/>
  <c r="B94" i="14"/>
  <c r="H94" i="14"/>
  <c r="K124" i="2"/>
  <c r="C93" i="14"/>
  <c r="I93" i="14"/>
  <c r="L123" i="2"/>
  <c r="D92" i="14"/>
  <c r="J92" i="14"/>
  <c r="K92" i="14"/>
  <c r="M122" i="2"/>
  <c r="E91" i="14"/>
  <c r="B116" i="2"/>
  <c r="AU125" i="2"/>
  <c r="AF91" i="14"/>
  <c r="AG91" i="14"/>
  <c r="AH91" i="14"/>
  <c r="AY250" i="2"/>
  <c r="AZ250" i="2"/>
  <c r="N92" i="14"/>
  <c r="O92" i="14"/>
  <c r="P92" i="14"/>
  <c r="Y92" i="14"/>
  <c r="Z92" i="14"/>
  <c r="AE92" i="14"/>
  <c r="L92" i="14"/>
  <c r="I100" i="15"/>
  <c r="S100" i="15"/>
  <c r="J100" i="15"/>
  <c r="T126" i="2"/>
  <c r="C103" i="15"/>
  <c r="G113" i="2"/>
  <c r="E101" i="15"/>
  <c r="H101" i="15"/>
  <c r="U125" i="2"/>
  <c r="D102" i="15"/>
  <c r="S127" i="2"/>
  <c r="B104" i="15"/>
  <c r="D115" i="2"/>
  <c r="AK115" i="2"/>
  <c r="E114" i="2"/>
  <c r="W105" i="2"/>
  <c r="F82" i="15"/>
  <c r="O111" i="2"/>
  <c r="F81" i="14"/>
  <c r="E92" i="14"/>
  <c r="C94" i="14"/>
  <c r="I94" i="14"/>
  <c r="L124" i="2"/>
  <c r="B95" i="14"/>
  <c r="H95" i="14"/>
  <c r="K125" i="2"/>
  <c r="D93" i="14"/>
  <c r="J93" i="14"/>
  <c r="K93" i="14"/>
  <c r="M123" i="2"/>
  <c r="B117" i="2"/>
  <c r="AU126" i="2"/>
  <c r="AF92" i="14"/>
  <c r="AG92" i="14"/>
  <c r="AH92" i="14"/>
  <c r="AY251" i="2"/>
  <c r="AZ251" i="2"/>
  <c r="N93" i="14"/>
  <c r="O93" i="14"/>
  <c r="P93" i="14"/>
  <c r="Y93" i="14"/>
  <c r="Z93" i="14"/>
  <c r="AE93" i="14"/>
  <c r="L93" i="14"/>
  <c r="T127" i="2"/>
  <c r="C104" i="15"/>
  <c r="S128" i="2"/>
  <c r="B105" i="15"/>
  <c r="E102" i="15"/>
  <c r="H102" i="15"/>
  <c r="AL121" i="2"/>
  <c r="AL126" i="2"/>
  <c r="AL122" i="2"/>
  <c r="AL127" i="2"/>
  <c r="AL118" i="2"/>
  <c r="AL125" i="2"/>
  <c r="AL123" i="2"/>
  <c r="AL117" i="2"/>
  <c r="AL128" i="2"/>
  <c r="C118" i="2"/>
  <c r="AL124" i="2"/>
  <c r="AL119" i="2"/>
  <c r="AL120" i="2"/>
  <c r="G114" i="2"/>
  <c r="D116" i="2"/>
  <c r="AK116" i="2"/>
  <c r="E115" i="2"/>
  <c r="U126" i="2"/>
  <c r="D103" i="15"/>
  <c r="J101" i="15"/>
  <c r="I101" i="15"/>
  <c r="S101" i="15"/>
  <c r="W106" i="2"/>
  <c r="F83" i="15"/>
  <c r="O112" i="2"/>
  <c r="F82" i="14"/>
  <c r="D94" i="14"/>
  <c r="J94" i="14"/>
  <c r="K94" i="14"/>
  <c r="M124" i="2"/>
  <c r="C95" i="14"/>
  <c r="I95" i="14"/>
  <c r="L125" i="2"/>
  <c r="E93" i="14"/>
  <c r="B96" i="14"/>
  <c r="H96" i="14"/>
  <c r="K126" i="2"/>
  <c r="B118" i="2"/>
  <c r="X118" i="2"/>
  <c r="P118" i="2"/>
  <c r="AU127" i="2"/>
  <c r="AF93" i="14"/>
  <c r="AG93" i="14"/>
  <c r="AH93" i="14"/>
  <c r="AY252" i="2"/>
  <c r="AZ252" i="2"/>
  <c r="N94" i="14"/>
  <c r="O94" i="14"/>
  <c r="P94" i="14"/>
  <c r="Y94" i="14"/>
  <c r="Z94" i="14"/>
  <c r="AE94" i="14"/>
  <c r="L94" i="14"/>
  <c r="S129" i="2"/>
  <c r="B106" i="15"/>
  <c r="AP117" i="2"/>
  <c r="AQ117" i="2"/>
  <c r="AP123" i="2"/>
  <c r="AQ123" i="2"/>
  <c r="AP125" i="2"/>
  <c r="AQ125" i="2"/>
  <c r="E116" i="2"/>
  <c r="E103" i="15"/>
  <c r="H103" i="15"/>
  <c r="AP119" i="2"/>
  <c r="AQ119" i="2"/>
  <c r="AP124" i="2"/>
  <c r="AQ124" i="2"/>
  <c r="D117" i="2"/>
  <c r="AK117" i="2"/>
  <c r="AP126" i="2"/>
  <c r="AQ126" i="2"/>
  <c r="I102" i="15"/>
  <c r="S102" i="15"/>
  <c r="J102" i="15"/>
  <c r="AP120" i="2"/>
  <c r="AQ120" i="2"/>
  <c r="AP118" i="2"/>
  <c r="AQ118" i="2"/>
  <c r="W107" i="2"/>
  <c r="F84" i="15"/>
  <c r="AP127" i="2"/>
  <c r="AQ127" i="2"/>
  <c r="G115" i="2"/>
  <c r="AP122" i="2"/>
  <c r="AQ122" i="2"/>
  <c r="T128" i="2"/>
  <c r="C105" i="15"/>
  <c r="AP128" i="2"/>
  <c r="AQ128" i="2"/>
  <c r="AP121" i="2"/>
  <c r="AQ121" i="2"/>
  <c r="U127" i="2"/>
  <c r="D104" i="15"/>
  <c r="F83" i="14"/>
  <c r="O113" i="2"/>
  <c r="D95" i="14"/>
  <c r="J95" i="14"/>
  <c r="K95" i="14"/>
  <c r="M125" i="2"/>
  <c r="B97" i="14"/>
  <c r="H97" i="14"/>
  <c r="K127" i="2"/>
  <c r="C96" i="14"/>
  <c r="I96" i="14"/>
  <c r="L126" i="2"/>
  <c r="E94" i="14"/>
  <c r="B119" i="2"/>
  <c r="AU128" i="2"/>
  <c r="AF94" i="14"/>
  <c r="AG94" i="14"/>
  <c r="AH94" i="14"/>
  <c r="AY253" i="2"/>
  <c r="AZ253" i="2"/>
  <c r="N95" i="14"/>
  <c r="O95" i="14"/>
  <c r="P95" i="14"/>
  <c r="Y95" i="14"/>
  <c r="Z95" i="14"/>
  <c r="AE95" i="14"/>
  <c r="L95" i="14"/>
  <c r="J103" i="15"/>
  <c r="I103" i="15"/>
  <c r="S103" i="15"/>
  <c r="U128" i="2"/>
  <c r="D105" i="15"/>
  <c r="D118" i="2"/>
  <c r="AK118" i="2"/>
  <c r="E117" i="2"/>
  <c r="G116" i="2"/>
  <c r="E104" i="15"/>
  <c r="H104" i="15"/>
  <c r="S130" i="2"/>
  <c r="B107" i="15"/>
  <c r="T129" i="2"/>
  <c r="C106" i="15"/>
  <c r="W108" i="2"/>
  <c r="F85" i="15"/>
  <c r="O114" i="2"/>
  <c r="F84" i="14"/>
  <c r="B98" i="14"/>
  <c r="H98" i="14"/>
  <c r="K128" i="2"/>
  <c r="D96" i="14"/>
  <c r="J96" i="14"/>
  <c r="K96" i="14"/>
  <c r="M126" i="2"/>
  <c r="C97" i="14"/>
  <c r="I97" i="14"/>
  <c r="L127" i="2"/>
  <c r="E95" i="14"/>
  <c r="B120" i="2"/>
  <c r="AU129" i="2"/>
  <c r="AF95" i="14"/>
  <c r="AG95" i="14"/>
  <c r="AH95" i="14"/>
  <c r="AY254" i="2"/>
  <c r="AZ254" i="2"/>
  <c r="N96" i="14"/>
  <c r="O96" i="14"/>
  <c r="P96" i="14"/>
  <c r="Y96" i="14"/>
  <c r="Z96" i="14"/>
  <c r="AE96" i="14"/>
  <c r="L96" i="14"/>
  <c r="T130" i="2"/>
  <c r="C107" i="15"/>
  <c r="S131" i="2"/>
  <c r="B108" i="15"/>
  <c r="E105" i="15"/>
  <c r="H105" i="15"/>
  <c r="J104" i="15"/>
  <c r="I104" i="15"/>
  <c r="S104" i="15"/>
  <c r="W109" i="2"/>
  <c r="F86" i="15"/>
  <c r="D119" i="2"/>
  <c r="AK119" i="2"/>
  <c r="G117" i="2"/>
  <c r="E118" i="2"/>
  <c r="H118" i="2"/>
  <c r="U129" i="2"/>
  <c r="D106" i="15"/>
  <c r="O115" i="2"/>
  <c r="F85" i="14"/>
  <c r="B99" i="14"/>
  <c r="H99" i="14"/>
  <c r="K129" i="2"/>
  <c r="D97" i="14"/>
  <c r="J97" i="14"/>
  <c r="K97" i="14"/>
  <c r="M127" i="2"/>
  <c r="C98" i="14"/>
  <c r="I98" i="14"/>
  <c r="L128" i="2"/>
  <c r="E96" i="14"/>
  <c r="B121" i="2"/>
  <c r="AU130" i="2"/>
  <c r="AF96" i="14"/>
  <c r="AG96" i="14"/>
  <c r="AH96" i="14"/>
  <c r="AY255" i="2"/>
  <c r="AZ255" i="2"/>
  <c r="N97" i="14"/>
  <c r="O97" i="14"/>
  <c r="P97" i="14"/>
  <c r="Y97" i="14"/>
  <c r="Z97" i="14"/>
  <c r="AE97" i="14"/>
  <c r="L97" i="14"/>
  <c r="E106" i="15"/>
  <c r="H106" i="15"/>
  <c r="W110" i="2"/>
  <c r="F87" i="15"/>
  <c r="E119" i="2"/>
  <c r="D120" i="2"/>
  <c r="AK120" i="2"/>
  <c r="S132" i="2"/>
  <c r="B109" i="15"/>
  <c r="G118" i="2"/>
  <c r="T131" i="2"/>
  <c r="C108" i="15"/>
  <c r="J105" i="15"/>
  <c r="I105" i="15"/>
  <c r="S105" i="15"/>
  <c r="U130" i="2"/>
  <c r="D107" i="15"/>
  <c r="F86" i="14"/>
  <c r="O116" i="2"/>
  <c r="D98" i="14"/>
  <c r="J98" i="14"/>
  <c r="K98" i="14"/>
  <c r="M128" i="2"/>
  <c r="B100" i="14"/>
  <c r="H100" i="14"/>
  <c r="K130" i="2"/>
  <c r="C99" i="14"/>
  <c r="I99" i="14"/>
  <c r="L129" i="2"/>
  <c r="E97" i="14"/>
  <c r="B122" i="2"/>
  <c r="AU131" i="2"/>
  <c r="AF97" i="14"/>
  <c r="AG97" i="14"/>
  <c r="AH97" i="14"/>
  <c r="AY256" i="2"/>
  <c r="AZ256" i="2"/>
  <c r="N98" i="14"/>
  <c r="O98" i="14"/>
  <c r="P98" i="14"/>
  <c r="Y98" i="14"/>
  <c r="Z98" i="14"/>
  <c r="AF98" i="14"/>
  <c r="AE98" i="14"/>
  <c r="L98" i="14"/>
  <c r="E107" i="15"/>
  <c r="H107" i="15"/>
  <c r="W111" i="2"/>
  <c r="F88" i="15"/>
  <c r="T132" i="2"/>
  <c r="C109" i="15"/>
  <c r="G119" i="2"/>
  <c r="S133" i="2"/>
  <c r="B110" i="15"/>
  <c r="E120" i="2"/>
  <c r="U131" i="2"/>
  <c r="D108" i="15"/>
  <c r="D121" i="2"/>
  <c r="AK121" i="2"/>
  <c r="I106" i="15"/>
  <c r="S106" i="15"/>
  <c r="J106" i="15"/>
  <c r="F87" i="14"/>
  <c r="O117" i="2"/>
  <c r="B101" i="14"/>
  <c r="H101" i="14"/>
  <c r="K131" i="2"/>
  <c r="D99" i="14"/>
  <c r="J99" i="14"/>
  <c r="K99" i="14"/>
  <c r="M129" i="2"/>
  <c r="C100" i="14"/>
  <c r="I100" i="14"/>
  <c r="L130" i="2"/>
  <c r="E98" i="14"/>
  <c r="B123" i="2"/>
  <c r="AU132" i="2"/>
  <c r="AG98" i="14"/>
  <c r="AH98" i="14"/>
  <c r="AY257" i="2"/>
  <c r="AZ257" i="2"/>
  <c r="N99" i="14"/>
  <c r="O99" i="14"/>
  <c r="P99" i="14"/>
  <c r="Y99" i="14"/>
  <c r="Z99" i="14"/>
  <c r="AE99" i="14"/>
  <c r="L99" i="14"/>
  <c r="G120" i="2"/>
  <c r="W112" i="2"/>
  <c r="F89" i="15"/>
  <c r="D122" i="2"/>
  <c r="AK122" i="2"/>
  <c r="S134" i="2"/>
  <c r="B111" i="15"/>
  <c r="J107" i="15"/>
  <c r="I107" i="15"/>
  <c r="S107" i="15"/>
  <c r="U132" i="2"/>
  <c r="D109" i="15"/>
  <c r="E121" i="2"/>
  <c r="T133" i="2"/>
  <c r="C110" i="15"/>
  <c r="E108" i="15"/>
  <c r="H108" i="15"/>
  <c r="F88" i="14"/>
  <c r="O118" i="2"/>
  <c r="D100" i="14"/>
  <c r="J100" i="14"/>
  <c r="K100" i="14"/>
  <c r="M130" i="2"/>
  <c r="C101" i="14"/>
  <c r="I101" i="14"/>
  <c r="L131" i="2"/>
  <c r="E99" i="14"/>
  <c r="B102" i="14"/>
  <c r="H102" i="14"/>
  <c r="K132" i="2"/>
  <c r="B124" i="2"/>
  <c r="AF99" i="14"/>
  <c r="AG99" i="14"/>
  <c r="AH99" i="14"/>
  <c r="AU133" i="2"/>
  <c r="AY258" i="2"/>
  <c r="AZ258" i="2"/>
  <c r="N100" i="14"/>
  <c r="O100" i="14"/>
  <c r="P100" i="14"/>
  <c r="Y100" i="14"/>
  <c r="Z100" i="14"/>
  <c r="AE100" i="14"/>
  <c r="L100" i="14"/>
  <c r="E122" i="2"/>
  <c r="T134" i="2"/>
  <c r="C111" i="15"/>
  <c r="U133" i="2"/>
  <c r="D110" i="15"/>
  <c r="J108" i="15"/>
  <c r="I108" i="15"/>
  <c r="S108" i="15"/>
  <c r="G121" i="2"/>
  <c r="S135" i="2"/>
  <c r="B112" i="15"/>
  <c r="W113" i="2"/>
  <c r="F90" i="15"/>
  <c r="E109" i="15"/>
  <c r="H109" i="15"/>
  <c r="D123" i="2"/>
  <c r="AK123" i="2"/>
  <c r="F89" i="14"/>
  <c r="O119" i="2"/>
  <c r="D101" i="14"/>
  <c r="J101" i="14"/>
  <c r="K101" i="14"/>
  <c r="M131" i="2"/>
  <c r="B103" i="14"/>
  <c r="H103" i="14"/>
  <c r="K133" i="2"/>
  <c r="C102" i="14"/>
  <c r="I102" i="14"/>
  <c r="L132" i="2"/>
  <c r="E100" i="14"/>
  <c r="B125" i="2"/>
  <c r="AU134" i="2"/>
  <c r="AF100" i="14"/>
  <c r="AG100" i="14"/>
  <c r="AH100" i="14"/>
  <c r="AU135" i="2"/>
  <c r="AY259" i="2"/>
  <c r="AZ259" i="2"/>
  <c r="N101" i="14"/>
  <c r="O101" i="14"/>
  <c r="P101" i="14"/>
  <c r="Y101" i="14"/>
  <c r="Z101" i="14"/>
  <c r="AF101" i="14"/>
  <c r="AE101" i="14"/>
  <c r="L101" i="14"/>
  <c r="W114" i="2"/>
  <c r="F91" i="15"/>
  <c r="J109" i="15"/>
  <c r="I109" i="15"/>
  <c r="S109" i="15"/>
  <c r="T135" i="2"/>
  <c r="C112" i="15"/>
  <c r="G122" i="2"/>
  <c r="E123" i="2"/>
  <c r="E110" i="15"/>
  <c r="H110" i="15"/>
  <c r="D124" i="2"/>
  <c r="AK124" i="2"/>
  <c r="S136" i="2"/>
  <c r="B113" i="15"/>
  <c r="U134" i="2"/>
  <c r="D111" i="15"/>
  <c r="F90" i="14"/>
  <c r="O120" i="2"/>
  <c r="B104" i="14"/>
  <c r="H104" i="14"/>
  <c r="K134" i="2"/>
  <c r="C103" i="14"/>
  <c r="I103" i="14"/>
  <c r="L133" i="2"/>
  <c r="D102" i="14"/>
  <c r="J102" i="14"/>
  <c r="K102" i="14"/>
  <c r="M132" i="2"/>
  <c r="E101" i="14"/>
  <c r="B126" i="2"/>
  <c r="AG101" i="14"/>
  <c r="AH101" i="14"/>
  <c r="AY260" i="2"/>
  <c r="AZ260" i="2"/>
  <c r="N102" i="14"/>
  <c r="O102" i="14"/>
  <c r="P102" i="14"/>
  <c r="Y102" i="14"/>
  <c r="Z102" i="14"/>
  <c r="AE102" i="14"/>
  <c r="L102" i="14"/>
  <c r="J110" i="15"/>
  <c r="I110" i="15"/>
  <c r="S110" i="15"/>
  <c r="S137" i="2"/>
  <c r="B114" i="15"/>
  <c r="D125" i="2"/>
  <c r="AK125" i="2"/>
  <c r="W115" i="2"/>
  <c r="F92" i="15"/>
  <c r="U135" i="2"/>
  <c r="D112" i="15"/>
  <c r="T136" i="2"/>
  <c r="C113" i="15"/>
  <c r="E111" i="15"/>
  <c r="H111" i="15"/>
  <c r="G123" i="2"/>
  <c r="E124" i="2"/>
  <c r="O121" i="2"/>
  <c r="F91" i="14"/>
  <c r="E102" i="14"/>
  <c r="B105" i="14"/>
  <c r="H105" i="14"/>
  <c r="K135" i="2"/>
  <c r="C104" i="14"/>
  <c r="I104" i="14"/>
  <c r="L134" i="2"/>
  <c r="D103" i="14"/>
  <c r="J103" i="14"/>
  <c r="K103" i="14"/>
  <c r="M133" i="2"/>
  <c r="B127" i="2"/>
  <c r="AF102" i="14"/>
  <c r="AG102" i="14"/>
  <c r="AH102" i="14"/>
  <c r="AU136" i="2"/>
  <c r="AY261" i="2"/>
  <c r="AZ261" i="2"/>
  <c r="N103" i="14"/>
  <c r="O103" i="14"/>
  <c r="P103" i="14"/>
  <c r="Y103" i="14"/>
  <c r="Z103" i="14"/>
  <c r="AE103" i="14"/>
  <c r="L103" i="14"/>
  <c r="G124" i="2"/>
  <c r="U136" i="2"/>
  <c r="D113" i="15"/>
  <c r="D126" i="2"/>
  <c r="AK126" i="2"/>
  <c r="E125" i="2"/>
  <c r="J111" i="15"/>
  <c r="I111" i="15"/>
  <c r="S111" i="15"/>
  <c r="T137" i="2"/>
  <c r="C114" i="15"/>
  <c r="W116" i="2"/>
  <c r="F93" i="15"/>
  <c r="E112" i="15"/>
  <c r="H112" i="15"/>
  <c r="S138" i="2"/>
  <c r="B115" i="15"/>
  <c r="O122" i="2"/>
  <c r="F92" i="14"/>
  <c r="C105" i="14"/>
  <c r="I105" i="14"/>
  <c r="L135" i="2"/>
  <c r="E103" i="14"/>
  <c r="D104" i="14"/>
  <c r="J104" i="14"/>
  <c r="K104" i="14"/>
  <c r="M134" i="2"/>
  <c r="B106" i="14"/>
  <c r="H106" i="14"/>
  <c r="K136" i="2"/>
  <c r="B128" i="2"/>
  <c r="AU137" i="2"/>
  <c r="AF103" i="14"/>
  <c r="AG103" i="14"/>
  <c r="AH103" i="14"/>
  <c r="AU138" i="2"/>
  <c r="AY262" i="2"/>
  <c r="AZ262" i="2"/>
  <c r="N104" i="14"/>
  <c r="O104" i="14"/>
  <c r="P104" i="14"/>
  <c r="Y104" i="14"/>
  <c r="Z104" i="14"/>
  <c r="AE104" i="14"/>
  <c r="L104" i="14"/>
  <c r="E126" i="2"/>
  <c r="S139" i="2"/>
  <c r="B116" i="15"/>
  <c r="E113" i="15"/>
  <c r="H113" i="15"/>
  <c r="W117" i="2"/>
  <c r="F94" i="15"/>
  <c r="G125" i="2"/>
  <c r="D127" i="2"/>
  <c r="AK127" i="2"/>
  <c r="I112" i="15"/>
  <c r="S112" i="15"/>
  <c r="J112" i="15"/>
  <c r="U137" i="2"/>
  <c r="D114" i="15"/>
  <c r="T138" i="2"/>
  <c r="C115" i="15"/>
  <c r="F93" i="14"/>
  <c r="O123" i="2"/>
  <c r="C106" i="14"/>
  <c r="I106" i="14"/>
  <c r="L136" i="2"/>
  <c r="E104" i="14"/>
  <c r="B107" i="14"/>
  <c r="H107" i="14"/>
  <c r="K137" i="2"/>
  <c r="D105" i="14"/>
  <c r="J105" i="14"/>
  <c r="K105" i="14"/>
  <c r="M135" i="2"/>
  <c r="B129" i="2"/>
  <c r="AF104" i="14"/>
  <c r="AG104" i="14"/>
  <c r="AH104" i="14"/>
  <c r="AY263" i="2"/>
  <c r="AZ263" i="2"/>
  <c r="N105" i="14"/>
  <c r="O105" i="14"/>
  <c r="P105" i="14"/>
  <c r="Y105" i="14"/>
  <c r="Z105" i="14"/>
  <c r="AE105" i="14"/>
  <c r="L105" i="14"/>
  <c r="E127" i="2"/>
  <c r="T139" i="2"/>
  <c r="C116" i="15"/>
  <c r="S140" i="2"/>
  <c r="B117" i="15"/>
  <c r="AL130" i="2"/>
  <c r="AL135" i="2"/>
  <c r="C130" i="2"/>
  <c r="AL138" i="2"/>
  <c r="AL136" i="2"/>
  <c r="AL140" i="2"/>
  <c r="AL133" i="2"/>
  <c r="AL131" i="2"/>
  <c r="AL134" i="2"/>
  <c r="AL139" i="2"/>
  <c r="AL132" i="2"/>
  <c r="AL137" i="2"/>
  <c r="AL129" i="2"/>
  <c r="W118" i="2"/>
  <c r="F95" i="15"/>
  <c r="J113" i="15"/>
  <c r="I113" i="15"/>
  <c r="S113" i="15"/>
  <c r="U138" i="2"/>
  <c r="D115" i="15"/>
  <c r="D128" i="2"/>
  <c r="AK128" i="2"/>
  <c r="E114" i="15"/>
  <c r="H114" i="15"/>
  <c r="G126" i="2"/>
  <c r="O124" i="2"/>
  <c r="F94" i="14"/>
  <c r="C107" i="14"/>
  <c r="I107" i="14"/>
  <c r="L137" i="2"/>
  <c r="D106" i="14"/>
  <c r="J106" i="14"/>
  <c r="K106" i="14"/>
  <c r="M136" i="2"/>
  <c r="E105" i="14"/>
  <c r="B108" i="14"/>
  <c r="H108" i="14"/>
  <c r="K138" i="2"/>
  <c r="B130" i="2"/>
  <c r="P130" i="2"/>
  <c r="X130" i="2"/>
  <c r="AU139" i="2"/>
  <c r="AF105" i="14"/>
  <c r="AG105" i="14"/>
  <c r="AH105" i="14"/>
  <c r="AU140" i="2"/>
  <c r="AY264" i="2"/>
  <c r="AZ264" i="2"/>
  <c r="N106" i="14"/>
  <c r="O106" i="14"/>
  <c r="P106" i="14"/>
  <c r="Y106" i="14"/>
  <c r="Z106" i="14"/>
  <c r="AE106" i="14"/>
  <c r="L106" i="14"/>
  <c r="AP130" i="2"/>
  <c r="AQ130" i="2"/>
  <c r="E128" i="2"/>
  <c r="AP131" i="2"/>
  <c r="AQ131" i="2"/>
  <c r="AP133" i="2"/>
  <c r="AQ133" i="2"/>
  <c r="AP129" i="2"/>
  <c r="AQ129" i="2"/>
  <c r="AP138" i="2"/>
  <c r="AQ138" i="2"/>
  <c r="U139" i="2"/>
  <c r="D116" i="15"/>
  <c r="D129" i="2"/>
  <c r="AK129" i="2"/>
  <c r="E115" i="15"/>
  <c r="H115" i="15"/>
  <c r="AP132" i="2"/>
  <c r="AQ132" i="2"/>
  <c r="S141" i="2"/>
  <c r="B118" i="15"/>
  <c r="AP134" i="2"/>
  <c r="AQ134" i="2"/>
  <c r="W119" i="2"/>
  <c r="F96" i="15"/>
  <c r="AP140" i="2"/>
  <c r="AQ140" i="2"/>
  <c r="AP136" i="2"/>
  <c r="AQ136" i="2"/>
  <c r="J114" i="15"/>
  <c r="I114" i="15"/>
  <c r="S114" i="15"/>
  <c r="AP137" i="2"/>
  <c r="AQ137" i="2"/>
  <c r="T140" i="2"/>
  <c r="C117" i="15"/>
  <c r="AP139" i="2"/>
  <c r="AQ139" i="2"/>
  <c r="AP135" i="2"/>
  <c r="AQ135" i="2"/>
  <c r="G127" i="2"/>
  <c r="F95" i="14"/>
  <c r="O125" i="2"/>
  <c r="E106" i="14"/>
  <c r="B109" i="14"/>
  <c r="H109" i="14"/>
  <c r="K139" i="2"/>
  <c r="C108" i="14"/>
  <c r="I108" i="14"/>
  <c r="L138" i="2"/>
  <c r="D107" i="14"/>
  <c r="J107" i="14"/>
  <c r="K107" i="14"/>
  <c r="M137" i="2"/>
  <c r="B131" i="2"/>
  <c r="AF106" i="14"/>
  <c r="AG106" i="14"/>
  <c r="AH106" i="14"/>
  <c r="AY265" i="2"/>
  <c r="AZ265" i="2"/>
  <c r="N107" i="14"/>
  <c r="O107" i="14"/>
  <c r="P107" i="14"/>
  <c r="Y107" i="14"/>
  <c r="Z107" i="14"/>
  <c r="AF107" i="14"/>
  <c r="AE107" i="14"/>
  <c r="L107" i="14"/>
  <c r="T141" i="2"/>
  <c r="C118" i="15"/>
  <c r="W120" i="2"/>
  <c r="F97" i="15"/>
  <c r="S142" i="2"/>
  <c r="B119" i="15"/>
  <c r="E116" i="15"/>
  <c r="H116" i="15"/>
  <c r="D130" i="2"/>
  <c r="AK130" i="2"/>
  <c r="G128" i="2"/>
  <c r="J115" i="15"/>
  <c r="I115" i="15"/>
  <c r="S115" i="15"/>
  <c r="U140" i="2"/>
  <c r="D117" i="15"/>
  <c r="E129" i="2"/>
  <c r="F96" i="14"/>
  <c r="O126" i="2"/>
  <c r="D108" i="14"/>
  <c r="J108" i="14"/>
  <c r="K108" i="14"/>
  <c r="M138" i="2"/>
  <c r="C109" i="14"/>
  <c r="I109" i="14"/>
  <c r="L139" i="2"/>
  <c r="E107" i="14"/>
  <c r="B110" i="14"/>
  <c r="H110" i="14"/>
  <c r="K140" i="2"/>
  <c r="B132" i="2"/>
  <c r="AU141" i="2"/>
  <c r="AY266" i="2"/>
  <c r="AZ266" i="2"/>
  <c r="AG107" i="14"/>
  <c r="AH107" i="14"/>
  <c r="N108" i="14"/>
  <c r="O108" i="14"/>
  <c r="P108" i="14"/>
  <c r="Y108" i="14"/>
  <c r="Z108" i="14"/>
  <c r="AE108" i="14"/>
  <c r="L108" i="14"/>
  <c r="G129" i="2"/>
  <c r="E117" i="15"/>
  <c r="H117" i="15"/>
  <c r="T142" i="2"/>
  <c r="C119" i="15"/>
  <c r="S143" i="2"/>
  <c r="B120" i="15"/>
  <c r="D131" i="2"/>
  <c r="AK131" i="2"/>
  <c r="W121" i="2"/>
  <c r="F98" i="15"/>
  <c r="E130" i="2"/>
  <c r="H130" i="2"/>
  <c r="J116" i="15"/>
  <c r="I116" i="15"/>
  <c r="S116" i="15"/>
  <c r="U141" i="2"/>
  <c r="D118" i="15"/>
  <c r="F97" i="14"/>
  <c r="O127" i="2"/>
  <c r="D109" i="14"/>
  <c r="J109" i="14"/>
  <c r="K109" i="14"/>
  <c r="M139" i="2"/>
  <c r="C110" i="14"/>
  <c r="I110" i="14"/>
  <c r="L140" i="2"/>
  <c r="B111" i="14"/>
  <c r="H111" i="14"/>
  <c r="K141" i="2"/>
  <c r="E108" i="14"/>
  <c r="B133" i="2"/>
  <c r="AF108" i="14"/>
  <c r="AG108" i="14"/>
  <c r="AH108" i="14"/>
  <c r="AU142" i="2"/>
  <c r="AY267" i="2"/>
  <c r="AZ267" i="2"/>
  <c r="N109" i="14"/>
  <c r="O109" i="14"/>
  <c r="P109" i="14"/>
  <c r="Y109" i="14"/>
  <c r="Z109" i="14"/>
  <c r="AF109" i="14"/>
  <c r="AE109" i="14"/>
  <c r="L109" i="14"/>
  <c r="E118" i="15"/>
  <c r="H118" i="15"/>
  <c r="E131" i="2"/>
  <c r="U142" i="2"/>
  <c r="D119" i="15"/>
  <c r="T143" i="2"/>
  <c r="C120" i="15"/>
  <c r="D132" i="2"/>
  <c r="AK132" i="2"/>
  <c r="S144" i="2"/>
  <c r="B121" i="15"/>
  <c r="G130" i="2"/>
  <c r="J117" i="15"/>
  <c r="I117" i="15"/>
  <c r="S117" i="15"/>
  <c r="W122" i="2"/>
  <c r="F99" i="15"/>
  <c r="F98" i="14"/>
  <c r="O128" i="2"/>
  <c r="D110" i="14"/>
  <c r="J110" i="14"/>
  <c r="K110" i="14"/>
  <c r="M140" i="2"/>
  <c r="C111" i="14"/>
  <c r="I111" i="14"/>
  <c r="L141" i="2"/>
  <c r="B112" i="14"/>
  <c r="H112" i="14"/>
  <c r="K142" i="2"/>
  <c r="E109" i="14"/>
  <c r="B134" i="2"/>
  <c r="AU143" i="2"/>
  <c r="AY268" i="2"/>
  <c r="AZ268" i="2"/>
  <c r="AG109" i="14"/>
  <c r="AH109" i="14"/>
  <c r="N110" i="14"/>
  <c r="O110" i="14"/>
  <c r="P110" i="14"/>
  <c r="Y110" i="14"/>
  <c r="Z110" i="14"/>
  <c r="AE110" i="14"/>
  <c r="L110" i="14"/>
  <c r="E119" i="15"/>
  <c r="H119" i="15"/>
  <c r="E132" i="2"/>
  <c r="D133" i="2"/>
  <c r="AK133" i="2"/>
  <c r="J118" i="15"/>
  <c r="I118" i="15"/>
  <c r="S118" i="15"/>
  <c r="T144" i="2"/>
  <c r="C121" i="15"/>
  <c r="U143" i="2"/>
  <c r="D120" i="15"/>
  <c r="S145" i="2"/>
  <c r="B122" i="15"/>
  <c r="G131" i="2"/>
  <c r="W123" i="2"/>
  <c r="F100" i="15"/>
  <c r="O129" i="2"/>
  <c r="F99" i="14"/>
  <c r="D111" i="14"/>
  <c r="J111" i="14"/>
  <c r="K111" i="14"/>
  <c r="M141" i="2"/>
  <c r="B113" i="14"/>
  <c r="H113" i="14"/>
  <c r="K143" i="2"/>
  <c r="C112" i="14"/>
  <c r="I112" i="14"/>
  <c r="L142" i="2"/>
  <c r="E110" i="14"/>
  <c r="B135" i="2"/>
  <c r="AF110" i="14"/>
  <c r="AG110" i="14"/>
  <c r="AH110" i="14"/>
  <c r="AU144" i="2"/>
  <c r="AY269" i="2"/>
  <c r="AZ269" i="2"/>
  <c r="N111" i="14"/>
  <c r="O111" i="14"/>
  <c r="P111" i="14"/>
  <c r="Y111" i="14"/>
  <c r="Z111" i="14"/>
  <c r="AE111" i="14"/>
  <c r="L111" i="14"/>
  <c r="E120" i="15"/>
  <c r="H120" i="15"/>
  <c r="E133" i="2"/>
  <c r="S146" i="2"/>
  <c r="B123" i="15"/>
  <c r="J119" i="15"/>
  <c r="I119" i="15"/>
  <c r="S119" i="15"/>
  <c r="G132" i="2"/>
  <c r="U144" i="2"/>
  <c r="D121" i="15"/>
  <c r="D134" i="2"/>
  <c r="AK134" i="2"/>
  <c r="T145" i="2"/>
  <c r="C122" i="15"/>
  <c r="W124" i="2"/>
  <c r="F101" i="15"/>
  <c r="O130" i="2"/>
  <c r="F100" i="14"/>
  <c r="D112" i="14"/>
  <c r="J112" i="14"/>
  <c r="K112" i="14"/>
  <c r="M142" i="2"/>
  <c r="B114" i="14"/>
  <c r="H114" i="14"/>
  <c r="K144" i="2"/>
  <c r="C113" i="14"/>
  <c r="I113" i="14"/>
  <c r="L143" i="2"/>
  <c r="E111" i="14"/>
  <c r="B136" i="2"/>
  <c r="AU145" i="2"/>
  <c r="AF111" i="14"/>
  <c r="AG111" i="14"/>
  <c r="AH111" i="14"/>
  <c r="AY270" i="2"/>
  <c r="AZ270" i="2"/>
  <c r="N112" i="14"/>
  <c r="O112" i="14"/>
  <c r="P112" i="14"/>
  <c r="Y112" i="14"/>
  <c r="Z112" i="14"/>
  <c r="AE112" i="14"/>
  <c r="L112" i="14"/>
  <c r="S147" i="2"/>
  <c r="B124" i="15"/>
  <c r="T146" i="2"/>
  <c r="C123" i="15"/>
  <c r="E134" i="2"/>
  <c r="D135" i="2"/>
  <c r="AK135" i="2"/>
  <c r="J120" i="15"/>
  <c r="I120" i="15"/>
  <c r="S120" i="15"/>
  <c r="G133" i="2"/>
  <c r="U145" i="2"/>
  <c r="D122" i="15"/>
  <c r="W125" i="2"/>
  <c r="F102" i="15"/>
  <c r="E121" i="15"/>
  <c r="H121" i="15"/>
  <c r="F101" i="14"/>
  <c r="O131" i="2"/>
  <c r="D113" i="14"/>
  <c r="J113" i="14"/>
  <c r="K113" i="14"/>
  <c r="M143" i="2"/>
  <c r="B115" i="14"/>
  <c r="H115" i="14"/>
  <c r="K145" i="2"/>
  <c r="C114" i="14"/>
  <c r="I114" i="14"/>
  <c r="L144" i="2"/>
  <c r="E112" i="14"/>
  <c r="B137" i="2"/>
  <c r="AU146" i="2"/>
  <c r="AF112" i="14"/>
  <c r="AG112" i="14"/>
  <c r="AH112" i="14"/>
  <c r="AY271" i="2"/>
  <c r="AZ271" i="2"/>
  <c r="N113" i="14"/>
  <c r="O113" i="14"/>
  <c r="P113" i="14"/>
  <c r="Y113" i="14"/>
  <c r="Z113" i="14"/>
  <c r="AF113" i="14"/>
  <c r="AE113" i="14"/>
  <c r="L113" i="14"/>
  <c r="J121" i="15"/>
  <c r="I121" i="15"/>
  <c r="S121" i="15"/>
  <c r="G134" i="2"/>
  <c r="E135" i="2"/>
  <c r="S148" i="2"/>
  <c r="B125" i="15"/>
  <c r="U146" i="2"/>
  <c r="D123" i="15"/>
  <c r="E122" i="15"/>
  <c r="H122" i="15"/>
  <c r="D136" i="2"/>
  <c r="AK136" i="2"/>
  <c r="W126" i="2"/>
  <c r="F103" i="15"/>
  <c r="T147" i="2"/>
  <c r="C124" i="15"/>
  <c r="F102" i="14"/>
  <c r="O132" i="2"/>
  <c r="E113" i="14"/>
  <c r="D114" i="14"/>
  <c r="J114" i="14"/>
  <c r="K114" i="14"/>
  <c r="M144" i="2"/>
  <c r="B116" i="14"/>
  <c r="H116" i="14"/>
  <c r="K146" i="2"/>
  <c r="C115" i="14"/>
  <c r="I115" i="14"/>
  <c r="L145" i="2"/>
  <c r="B138" i="2"/>
  <c r="AU147" i="2"/>
  <c r="AY272" i="2"/>
  <c r="AZ272" i="2"/>
  <c r="N114" i="14"/>
  <c r="O114" i="14"/>
  <c r="P114" i="14"/>
  <c r="Y114" i="14"/>
  <c r="Z114" i="14"/>
  <c r="AE114" i="14"/>
  <c r="AG113" i="14"/>
  <c r="AH113" i="14"/>
  <c r="L114" i="14"/>
  <c r="U147" i="2"/>
  <c r="D124" i="15"/>
  <c r="S149" i="2"/>
  <c r="B126" i="15"/>
  <c r="W127" i="2"/>
  <c r="F104" i="15"/>
  <c r="D137" i="2"/>
  <c r="AK137" i="2"/>
  <c r="E136" i="2"/>
  <c r="I122" i="15"/>
  <c r="S122" i="15"/>
  <c r="J122" i="15"/>
  <c r="G135" i="2"/>
  <c r="T148" i="2"/>
  <c r="C125" i="15"/>
  <c r="E123" i="15"/>
  <c r="H123" i="15"/>
  <c r="O133" i="2"/>
  <c r="F103" i="14"/>
  <c r="D115" i="14"/>
  <c r="J115" i="14"/>
  <c r="K115" i="14"/>
  <c r="M145" i="2"/>
  <c r="E114" i="14"/>
  <c r="B117" i="14"/>
  <c r="H117" i="14"/>
  <c r="K147" i="2"/>
  <c r="C116" i="14"/>
  <c r="I116" i="14"/>
  <c r="L146" i="2"/>
  <c r="B139" i="2"/>
  <c r="AF114" i="14"/>
  <c r="AG114" i="14"/>
  <c r="AH114" i="14"/>
  <c r="AU148" i="2"/>
  <c r="AY273" i="2"/>
  <c r="AZ273" i="2"/>
  <c r="N115" i="14"/>
  <c r="O115" i="14"/>
  <c r="P115" i="14"/>
  <c r="Y115" i="14"/>
  <c r="Z115" i="14"/>
  <c r="AF115" i="14"/>
  <c r="AE115" i="14"/>
  <c r="L115" i="14"/>
  <c r="S150" i="2"/>
  <c r="B127" i="15"/>
  <c r="G136" i="2"/>
  <c r="T149" i="2"/>
  <c r="C126" i="15"/>
  <c r="U148" i="2"/>
  <c r="D125" i="15"/>
  <c r="D138" i="2"/>
  <c r="AK138" i="2"/>
  <c r="E137" i="2"/>
  <c r="J123" i="15"/>
  <c r="I123" i="15"/>
  <c r="S123" i="15"/>
  <c r="W128" i="2"/>
  <c r="F105" i="15"/>
  <c r="E124" i="15"/>
  <c r="H124" i="15"/>
  <c r="F104" i="14"/>
  <c r="O134" i="2"/>
  <c r="B118" i="14"/>
  <c r="H118" i="14"/>
  <c r="K148" i="2"/>
  <c r="D116" i="14"/>
  <c r="J116" i="14"/>
  <c r="K116" i="14"/>
  <c r="M146" i="2"/>
  <c r="C117" i="14"/>
  <c r="I117" i="14"/>
  <c r="L147" i="2"/>
  <c r="E115" i="14"/>
  <c r="B140" i="2"/>
  <c r="AU149" i="2"/>
  <c r="AY274" i="2"/>
  <c r="AZ274" i="2"/>
  <c r="AG115" i="14"/>
  <c r="AH115" i="14"/>
  <c r="N116" i="14"/>
  <c r="O116" i="14"/>
  <c r="P116" i="14"/>
  <c r="Y116" i="14"/>
  <c r="Z116" i="14"/>
  <c r="AE116" i="14"/>
  <c r="L116" i="14"/>
  <c r="G137" i="2"/>
  <c r="E138" i="2"/>
  <c r="W129" i="2"/>
  <c r="F106" i="15"/>
  <c r="T150" i="2"/>
  <c r="C127" i="15"/>
  <c r="U149" i="2"/>
  <c r="D126" i="15"/>
  <c r="E125" i="15"/>
  <c r="H125" i="15"/>
  <c r="S151" i="2"/>
  <c r="B128" i="15"/>
  <c r="D139" i="2"/>
  <c r="AK139" i="2"/>
  <c r="I124" i="15"/>
  <c r="S124" i="15"/>
  <c r="J124" i="15"/>
  <c r="O135" i="2"/>
  <c r="F105" i="14"/>
  <c r="C118" i="14"/>
  <c r="I118" i="14"/>
  <c r="L148" i="2"/>
  <c r="E116" i="14"/>
  <c r="B119" i="14"/>
  <c r="H119" i="14"/>
  <c r="K149" i="2"/>
  <c r="D117" i="14"/>
  <c r="J117" i="14"/>
  <c r="K117" i="14"/>
  <c r="M147" i="2"/>
  <c r="B141" i="2"/>
  <c r="AF116" i="14"/>
  <c r="AG116" i="14"/>
  <c r="AH116" i="14"/>
  <c r="AU150" i="2"/>
  <c r="AY275" i="2"/>
  <c r="AZ275" i="2"/>
  <c r="N117" i="14"/>
  <c r="O117" i="14"/>
  <c r="P117" i="14"/>
  <c r="Y117" i="14"/>
  <c r="Z117" i="14"/>
  <c r="AE117" i="14"/>
  <c r="L117" i="14"/>
  <c r="W130" i="2"/>
  <c r="F107" i="15"/>
  <c r="D140" i="2"/>
  <c r="AK140" i="2"/>
  <c r="T151" i="2"/>
  <c r="C128" i="15"/>
  <c r="E126" i="15"/>
  <c r="H126" i="15"/>
  <c r="G138" i="2"/>
  <c r="E139" i="2"/>
  <c r="J125" i="15"/>
  <c r="I125" i="15"/>
  <c r="S125" i="15"/>
  <c r="U150" i="2"/>
  <c r="D127" i="15"/>
  <c r="AL145" i="2"/>
  <c r="AL148" i="2"/>
  <c r="AL142" i="2"/>
  <c r="AL150" i="2"/>
  <c r="AL149" i="2"/>
  <c r="AL146" i="2"/>
  <c r="C142" i="2"/>
  <c r="AL141" i="2"/>
  <c r="AL147" i="2"/>
  <c r="AL144" i="2"/>
  <c r="AL151" i="2"/>
  <c r="AL152" i="2"/>
  <c r="AL143" i="2"/>
  <c r="S152" i="2"/>
  <c r="B129" i="15"/>
  <c r="F106" i="14"/>
  <c r="O136" i="2"/>
  <c r="B120" i="14"/>
  <c r="H120" i="14"/>
  <c r="K150" i="2"/>
  <c r="E117" i="14"/>
  <c r="C119" i="14"/>
  <c r="I119" i="14"/>
  <c r="L149" i="2"/>
  <c r="D118" i="14"/>
  <c r="J118" i="14"/>
  <c r="K118" i="14"/>
  <c r="M148" i="2"/>
  <c r="B142" i="2"/>
  <c r="X142" i="2"/>
  <c r="P142" i="2"/>
  <c r="AU151" i="2"/>
  <c r="AF117" i="14"/>
  <c r="AG117" i="14"/>
  <c r="AH117" i="14"/>
  <c r="AU152" i="2"/>
  <c r="AY276" i="2"/>
  <c r="AZ276" i="2"/>
  <c r="N118" i="14"/>
  <c r="O118" i="14"/>
  <c r="P118" i="14"/>
  <c r="Y118" i="14"/>
  <c r="Z118" i="14"/>
  <c r="AF118" i="14"/>
  <c r="AE118" i="14"/>
  <c r="L118" i="14"/>
  <c r="D141" i="2"/>
  <c r="AK141" i="2"/>
  <c r="AP147" i="2"/>
  <c r="AQ147" i="2"/>
  <c r="AP145" i="2"/>
  <c r="AQ145" i="2"/>
  <c r="AP141" i="2"/>
  <c r="AQ141" i="2"/>
  <c r="G139" i="2"/>
  <c r="AP149" i="2"/>
  <c r="AQ149" i="2"/>
  <c r="AP152" i="2"/>
  <c r="AQ152" i="2"/>
  <c r="AP150" i="2"/>
  <c r="AQ150" i="2"/>
  <c r="J126" i="15"/>
  <c r="I126" i="15"/>
  <c r="S126" i="15"/>
  <c r="W131" i="2"/>
  <c r="F108" i="15"/>
  <c r="AP143" i="2"/>
  <c r="AQ143" i="2"/>
  <c r="AP151" i="2"/>
  <c r="AQ151" i="2"/>
  <c r="AP142" i="2"/>
  <c r="AQ142" i="2"/>
  <c r="U151" i="2"/>
  <c r="D128" i="15"/>
  <c r="AP146" i="2"/>
  <c r="AQ146" i="2"/>
  <c r="E127" i="15"/>
  <c r="H127" i="15"/>
  <c r="E140" i="2"/>
  <c r="S153" i="2"/>
  <c r="B130" i="15"/>
  <c r="T152" i="2"/>
  <c r="C129" i="15"/>
  <c r="AP144" i="2"/>
  <c r="AQ144" i="2"/>
  <c r="AP148" i="2"/>
  <c r="AQ148" i="2"/>
  <c r="F107" i="14"/>
  <c r="O137" i="2"/>
  <c r="B121" i="14"/>
  <c r="H121" i="14"/>
  <c r="K151" i="2"/>
  <c r="E118" i="14"/>
  <c r="C120" i="14"/>
  <c r="I120" i="14"/>
  <c r="L150" i="2"/>
  <c r="D119" i="14"/>
  <c r="J119" i="14"/>
  <c r="K119" i="14"/>
  <c r="M149" i="2"/>
  <c r="B143" i="2"/>
  <c r="AY277" i="2"/>
  <c r="AG118" i="14"/>
  <c r="AH118" i="14"/>
  <c r="N119" i="14"/>
  <c r="O119" i="14"/>
  <c r="P119" i="14"/>
  <c r="Y119" i="14"/>
  <c r="Z119" i="14"/>
  <c r="AE119" i="14"/>
  <c r="L119" i="14"/>
  <c r="J127" i="15"/>
  <c r="I127" i="15"/>
  <c r="S127" i="15"/>
  <c r="W132" i="2"/>
  <c r="F109" i="15"/>
  <c r="S154" i="2"/>
  <c r="B131" i="15"/>
  <c r="E128" i="15"/>
  <c r="H128" i="15"/>
  <c r="U152" i="2"/>
  <c r="D129" i="15"/>
  <c r="D142" i="2"/>
  <c r="AK142" i="2"/>
  <c r="G140" i="2"/>
  <c r="T153" i="2"/>
  <c r="C130" i="15"/>
  <c r="E141" i="2"/>
  <c r="F108" i="14"/>
  <c r="O138" i="2"/>
  <c r="D120" i="14"/>
  <c r="J120" i="14"/>
  <c r="K120" i="14"/>
  <c r="M150" i="2"/>
  <c r="C121" i="14"/>
  <c r="I121" i="14"/>
  <c r="L151" i="2"/>
  <c r="E119" i="14"/>
  <c r="B122" i="14"/>
  <c r="H122" i="14"/>
  <c r="K152" i="2"/>
  <c r="B144" i="2"/>
  <c r="AF119" i="14"/>
  <c r="AG119" i="14"/>
  <c r="AH119" i="14"/>
  <c r="AU154" i="2"/>
  <c r="AU153" i="2"/>
  <c r="AZ277" i="2"/>
  <c r="N120" i="14"/>
  <c r="O120" i="14"/>
  <c r="P120" i="14"/>
  <c r="Y120" i="14"/>
  <c r="Z120" i="14"/>
  <c r="AF120" i="14"/>
  <c r="AE120" i="14"/>
  <c r="L120" i="14"/>
  <c r="U153" i="2"/>
  <c r="D130" i="15"/>
  <c r="E129" i="15"/>
  <c r="H129" i="15"/>
  <c r="J128" i="15"/>
  <c r="I128" i="15"/>
  <c r="S128" i="15"/>
  <c r="E142" i="2"/>
  <c r="H142" i="2"/>
  <c r="S155" i="2"/>
  <c r="B132" i="15"/>
  <c r="T154" i="2"/>
  <c r="C131" i="15"/>
  <c r="W133" i="2"/>
  <c r="F110" i="15"/>
  <c r="D143" i="2"/>
  <c r="AK143" i="2"/>
  <c r="G141" i="2"/>
  <c r="F109" i="14"/>
  <c r="O139" i="2"/>
  <c r="D121" i="14"/>
  <c r="J121" i="14"/>
  <c r="K121" i="14"/>
  <c r="M151" i="2"/>
  <c r="C122" i="14"/>
  <c r="I122" i="14"/>
  <c r="L152" i="2"/>
  <c r="B123" i="14"/>
  <c r="H123" i="14"/>
  <c r="K153" i="2"/>
  <c r="E120" i="14"/>
  <c r="B145" i="2"/>
  <c r="AY278" i="2"/>
  <c r="AG120" i="14"/>
  <c r="AH120" i="14"/>
  <c r="N121" i="14"/>
  <c r="O121" i="14"/>
  <c r="P121" i="14"/>
  <c r="Y121" i="14"/>
  <c r="Z121" i="14"/>
  <c r="AF121" i="14"/>
  <c r="AE121" i="14"/>
  <c r="L121" i="14"/>
  <c r="J129" i="15"/>
  <c r="I129" i="15"/>
  <c r="S129" i="15"/>
  <c r="D144" i="2"/>
  <c r="AK144" i="2"/>
  <c r="S156" i="2"/>
  <c r="B133" i="15"/>
  <c r="G142" i="2"/>
  <c r="E143" i="2"/>
  <c r="T155" i="2"/>
  <c r="C132" i="15"/>
  <c r="W134" i="2"/>
  <c r="F111" i="15"/>
  <c r="U154" i="2"/>
  <c r="D131" i="15"/>
  <c r="E130" i="15"/>
  <c r="H130" i="15"/>
  <c r="F110" i="14"/>
  <c r="O140" i="2"/>
  <c r="D122" i="14"/>
  <c r="J122" i="14"/>
  <c r="K122" i="14"/>
  <c r="M152" i="2"/>
  <c r="C123" i="14"/>
  <c r="I123" i="14"/>
  <c r="L153" i="2"/>
  <c r="B124" i="14"/>
  <c r="H124" i="14"/>
  <c r="K154" i="2"/>
  <c r="E121" i="14"/>
  <c r="B146" i="2"/>
  <c r="AU155" i="2"/>
  <c r="AZ278" i="2"/>
  <c r="AG121" i="14"/>
  <c r="AH121" i="14"/>
  <c r="N122" i="14"/>
  <c r="O122" i="14"/>
  <c r="P122" i="14"/>
  <c r="Y122" i="14"/>
  <c r="Z122" i="14"/>
  <c r="AF122" i="14"/>
  <c r="AE122" i="14"/>
  <c r="L122" i="14"/>
  <c r="T156" i="2"/>
  <c r="C133" i="15"/>
  <c r="W135" i="2"/>
  <c r="F112" i="15"/>
  <c r="D145" i="2"/>
  <c r="AK145" i="2"/>
  <c r="U155" i="2"/>
  <c r="D132" i="15"/>
  <c r="J130" i="15"/>
  <c r="I130" i="15"/>
  <c r="S130" i="15"/>
  <c r="S157" i="2"/>
  <c r="B134" i="15"/>
  <c r="E144" i="2"/>
  <c r="E131" i="15"/>
  <c r="H131" i="15"/>
  <c r="G143" i="2"/>
  <c r="O141" i="2"/>
  <c r="F111" i="14"/>
  <c r="B125" i="14"/>
  <c r="H125" i="14"/>
  <c r="K155" i="2"/>
  <c r="D123" i="14"/>
  <c r="J123" i="14"/>
  <c r="K123" i="14"/>
  <c r="M153" i="2"/>
  <c r="C124" i="14"/>
  <c r="I124" i="14"/>
  <c r="L154" i="2"/>
  <c r="E122" i="14"/>
  <c r="B147" i="2"/>
  <c r="AU156" i="2"/>
  <c r="AY279" i="2"/>
  <c r="AZ279" i="2"/>
  <c r="AG122" i="14"/>
  <c r="AH122" i="14"/>
  <c r="N123" i="14"/>
  <c r="O123" i="14"/>
  <c r="P123" i="14"/>
  <c r="Y123" i="14"/>
  <c r="Z123" i="14"/>
  <c r="AE123" i="14"/>
  <c r="L123" i="14"/>
  <c r="J131" i="15"/>
  <c r="I131" i="15"/>
  <c r="S131" i="15"/>
  <c r="D146" i="2"/>
  <c r="AK146" i="2"/>
  <c r="S158" i="2"/>
  <c r="B135" i="15"/>
  <c r="T157" i="2"/>
  <c r="C134" i="15"/>
  <c r="G144" i="2"/>
  <c r="E132" i="15"/>
  <c r="H132" i="15"/>
  <c r="U156" i="2"/>
  <c r="D133" i="15"/>
  <c r="E145" i="2"/>
  <c r="W136" i="2"/>
  <c r="F113" i="15"/>
  <c r="O142" i="2"/>
  <c r="F112" i="14"/>
  <c r="C125" i="14"/>
  <c r="I125" i="14"/>
  <c r="L155" i="2"/>
  <c r="D124" i="14"/>
  <c r="J124" i="14"/>
  <c r="K124" i="14"/>
  <c r="M154" i="2"/>
  <c r="B126" i="14"/>
  <c r="H126" i="14"/>
  <c r="K156" i="2"/>
  <c r="E123" i="14"/>
  <c r="B148" i="2"/>
  <c r="AF123" i="14"/>
  <c r="AG123" i="14"/>
  <c r="AH123" i="14"/>
  <c r="AU157" i="2"/>
  <c r="AY280" i="2"/>
  <c r="AZ280" i="2"/>
  <c r="N124" i="14"/>
  <c r="O124" i="14"/>
  <c r="P124" i="14"/>
  <c r="Y124" i="14"/>
  <c r="Z124" i="14"/>
  <c r="AF124" i="14"/>
  <c r="AE124" i="14"/>
  <c r="L124" i="14"/>
  <c r="U157" i="2"/>
  <c r="D134" i="15"/>
  <c r="W137" i="2"/>
  <c r="F114" i="15"/>
  <c r="D147" i="2"/>
  <c r="AK147" i="2"/>
  <c r="E146" i="2"/>
  <c r="J132" i="15"/>
  <c r="I132" i="15"/>
  <c r="S132" i="15"/>
  <c r="T158" i="2"/>
  <c r="C135" i="15"/>
  <c r="G145" i="2"/>
  <c r="S159" i="2"/>
  <c r="B136" i="15"/>
  <c r="E133" i="15"/>
  <c r="H133" i="15"/>
  <c r="F113" i="14"/>
  <c r="O143" i="2"/>
  <c r="B127" i="14"/>
  <c r="H127" i="14"/>
  <c r="K157" i="2"/>
  <c r="E124" i="14"/>
  <c r="C126" i="14"/>
  <c r="I126" i="14"/>
  <c r="L156" i="2"/>
  <c r="D125" i="14"/>
  <c r="J125" i="14"/>
  <c r="K125" i="14"/>
  <c r="M155" i="2"/>
  <c r="B149" i="2"/>
  <c r="AU158" i="2"/>
  <c r="AY281" i="2"/>
  <c r="AZ281" i="2"/>
  <c r="AG124" i="14"/>
  <c r="AH124" i="14"/>
  <c r="N125" i="14"/>
  <c r="O125" i="14"/>
  <c r="P125" i="14"/>
  <c r="Y125" i="14"/>
  <c r="Z125" i="14"/>
  <c r="AF125" i="14"/>
  <c r="AE125" i="14"/>
  <c r="L125" i="14"/>
  <c r="E147" i="2"/>
  <c r="T159" i="2"/>
  <c r="C136" i="15"/>
  <c r="W138" i="2"/>
  <c r="F115" i="15"/>
  <c r="U158" i="2"/>
  <c r="D135" i="15"/>
  <c r="S160" i="2"/>
  <c r="B137" i="15"/>
  <c r="D148" i="2"/>
  <c r="AK148" i="2"/>
  <c r="J133" i="15"/>
  <c r="I133" i="15"/>
  <c r="S133" i="15"/>
  <c r="G146" i="2"/>
  <c r="E134" i="15"/>
  <c r="H134" i="15"/>
  <c r="O144" i="2"/>
  <c r="F114" i="14"/>
  <c r="E125" i="14"/>
  <c r="D126" i="14"/>
  <c r="J126" i="14"/>
  <c r="K126" i="14"/>
  <c r="M156" i="2"/>
  <c r="C127" i="14"/>
  <c r="I127" i="14"/>
  <c r="L157" i="2"/>
  <c r="B128" i="14"/>
  <c r="H128" i="14"/>
  <c r="K158" i="2"/>
  <c r="B150" i="2"/>
  <c r="AU159" i="2"/>
  <c r="AY282" i="2"/>
  <c r="AZ282" i="2"/>
  <c r="AG125" i="14"/>
  <c r="AH125" i="14"/>
  <c r="N126" i="14"/>
  <c r="O126" i="14"/>
  <c r="P126" i="14"/>
  <c r="Y126" i="14"/>
  <c r="Z126" i="14"/>
  <c r="AE126" i="14"/>
  <c r="L126" i="14"/>
  <c r="D149" i="2"/>
  <c r="AK149" i="2"/>
  <c r="W139" i="2"/>
  <c r="F116" i="15"/>
  <c r="T160" i="2"/>
  <c r="C137" i="15"/>
  <c r="S161" i="2"/>
  <c r="B138" i="15"/>
  <c r="U159" i="2"/>
  <c r="D136" i="15"/>
  <c r="I134" i="15"/>
  <c r="S134" i="15"/>
  <c r="J134" i="15"/>
  <c r="E148" i="2"/>
  <c r="E135" i="15"/>
  <c r="H135" i="15"/>
  <c r="G147" i="2"/>
  <c r="F115" i="14"/>
  <c r="O145" i="2"/>
  <c r="B129" i="14"/>
  <c r="H129" i="14"/>
  <c r="K159" i="2"/>
  <c r="C128" i="14"/>
  <c r="I128" i="14"/>
  <c r="L158" i="2"/>
  <c r="E126" i="14"/>
  <c r="D127" i="14"/>
  <c r="J127" i="14"/>
  <c r="K127" i="14"/>
  <c r="M157" i="2"/>
  <c r="B151" i="2"/>
  <c r="AF126" i="14"/>
  <c r="AG126" i="14"/>
  <c r="AH126" i="14"/>
  <c r="AU160" i="2"/>
  <c r="AY283" i="2"/>
  <c r="AZ283" i="2"/>
  <c r="N127" i="14"/>
  <c r="O127" i="14"/>
  <c r="P127" i="14"/>
  <c r="Y127" i="14"/>
  <c r="Z127" i="14"/>
  <c r="AF127" i="14"/>
  <c r="AE127" i="14"/>
  <c r="L127" i="14"/>
  <c r="J135" i="15"/>
  <c r="I135" i="15"/>
  <c r="S135" i="15"/>
  <c r="T161" i="2"/>
  <c r="C138" i="15"/>
  <c r="E136" i="15"/>
  <c r="H136" i="15"/>
  <c r="W140" i="2"/>
  <c r="F117" i="15"/>
  <c r="E149" i="2"/>
  <c r="S162" i="2"/>
  <c r="B139" i="15"/>
  <c r="D150" i="2"/>
  <c r="AK150" i="2"/>
  <c r="G148" i="2"/>
  <c r="U160" i="2"/>
  <c r="D137" i="15"/>
  <c r="O146" i="2"/>
  <c r="F116" i="14"/>
  <c r="B130" i="14"/>
  <c r="H130" i="14"/>
  <c r="K160" i="2"/>
  <c r="D128" i="14"/>
  <c r="J128" i="14"/>
  <c r="K128" i="14"/>
  <c r="M158" i="2"/>
  <c r="C129" i="14"/>
  <c r="I129" i="14"/>
  <c r="L159" i="2"/>
  <c r="E127" i="14"/>
  <c r="B152" i="2"/>
  <c r="AU161" i="2"/>
  <c r="AY284" i="2"/>
  <c r="AZ284" i="2"/>
  <c r="AG127" i="14"/>
  <c r="AH127" i="14"/>
  <c r="N128" i="14"/>
  <c r="O128" i="14"/>
  <c r="P128" i="14"/>
  <c r="Y128" i="14"/>
  <c r="Z128" i="14"/>
  <c r="AE128" i="14"/>
  <c r="L128" i="14"/>
  <c r="D151" i="2"/>
  <c r="AK151" i="2"/>
  <c r="G149" i="2"/>
  <c r="W141" i="2"/>
  <c r="F118" i="15"/>
  <c r="E137" i="15"/>
  <c r="H137" i="15"/>
  <c r="T162" i="2"/>
  <c r="C139" i="15"/>
  <c r="U161" i="2"/>
  <c r="D138" i="15"/>
  <c r="S163" i="2"/>
  <c r="B140" i="15"/>
  <c r="E150" i="2"/>
  <c r="I136" i="15"/>
  <c r="S136" i="15"/>
  <c r="J136" i="15"/>
  <c r="F117" i="14"/>
  <c r="O147" i="2"/>
  <c r="B131" i="14"/>
  <c r="H131" i="14"/>
  <c r="K161" i="2"/>
  <c r="E128" i="14"/>
  <c r="C130" i="14"/>
  <c r="I130" i="14"/>
  <c r="L160" i="2"/>
  <c r="D129" i="14"/>
  <c r="J129" i="14"/>
  <c r="K129" i="14"/>
  <c r="M159" i="2"/>
  <c r="AF128" i="14"/>
  <c r="AG128" i="14"/>
  <c r="AH128" i="14"/>
  <c r="AU162" i="2"/>
  <c r="AY285" i="2"/>
  <c r="AZ285" i="2"/>
  <c r="N129" i="14"/>
  <c r="O129" i="14"/>
  <c r="P129" i="14"/>
  <c r="Y129" i="14"/>
  <c r="Z129" i="14"/>
  <c r="AE129" i="14"/>
  <c r="L129" i="14"/>
  <c r="E138" i="15"/>
  <c r="H138" i="15"/>
  <c r="S164" i="2"/>
  <c r="B141" i="15"/>
  <c r="G150" i="2"/>
  <c r="D152" i="2"/>
  <c r="AK152" i="2"/>
  <c r="J137" i="15"/>
  <c r="I137" i="15"/>
  <c r="S137" i="15"/>
  <c r="AL163" i="2"/>
  <c r="AL164" i="2"/>
  <c r="AL154" i="2"/>
  <c r="C154" i="2"/>
  <c r="AL157" i="2"/>
  <c r="AL156" i="2"/>
  <c r="AL161" i="2"/>
  <c r="AL23" i="2"/>
  <c r="AL155" i="2"/>
  <c r="AL158" i="2"/>
  <c r="AL159" i="2"/>
  <c r="AL160" i="2"/>
  <c r="AL162" i="2"/>
  <c r="W142" i="2"/>
  <c r="F119" i="15"/>
  <c r="T163" i="2"/>
  <c r="C140" i="15"/>
  <c r="U162" i="2"/>
  <c r="D139" i="15"/>
  <c r="E151" i="2"/>
  <c r="F118" i="14"/>
  <c r="O148" i="2"/>
  <c r="B132" i="14"/>
  <c r="H132" i="14"/>
  <c r="K162" i="2"/>
  <c r="E129" i="14"/>
  <c r="D130" i="14"/>
  <c r="J130" i="14"/>
  <c r="K130" i="14"/>
  <c r="M160" i="2"/>
  <c r="C131" i="14"/>
  <c r="I131" i="14"/>
  <c r="L161" i="2"/>
  <c r="B154" i="2"/>
  <c r="P154" i="2"/>
  <c r="X154" i="2"/>
  <c r="AU163" i="2"/>
  <c r="AF129" i="14"/>
  <c r="AG129" i="14"/>
  <c r="AH129" i="14"/>
  <c r="N130" i="14"/>
  <c r="O130" i="14"/>
  <c r="P130" i="14"/>
  <c r="Y130" i="14"/>
  <c r="Z130" i="14"/>
  <c r="AE130" i="14"/>
  <c r="L130" i="14"/>
  <c r="AP159" i="2"/>
  <c r="AQ159" i="2"/>
  <c r="AP154" i="2"/>
  <c r="AQ154" i="2"/>
  <c r="AP158" i="2"/>
  <c r="AQ158" i="2"/>
  <c r="AP164" i="2"/>
  <c r="AQ164" i="2"/>
  <c r="T164" i="2"/>
  <c r="C141" i="15"/>
  <c r="E139" i="15"/>
  <c r="H139" i="15"/>
  <c r="AP160" i="2"/>
  <c r="AQ160" i="2"/>
  <c r="U163" i="2"/>
  <c r="D140" i="15"/>
  <c r="D153" i="2"/>
  <c r="AK153" i="2"/>
  <c r="AP156" i="2"/>
  <c r="AQ156" i="2"/>
  <c r="G151" i="2"/>
  <c r="AP155" i="2"/>
  <c r="AQ155" i="2"/>
  <c r="AP163" i="2"/>
  <c r="AQ163" i="2"/>
  <c r="W143" i="2"/>
  <c r="F120" i="15"/>
  <c r="AP153" i="2"/>
  <c r="AQ153" i="2"/>
  <c r="I138" i="15"/>
  <c r="S138" i="15"/>
  <c r="J138" i="15"/>
  <c r="AP161" i="2"/>
  <c r="AQ161" i="2"/>
  <c r="S165" i="2"/>
  <c r="B142" i="15"/>
  <c r="AP162" i="2"/>
  <c r="AQ162" i="2"/>
  <c r="AP157" i="2"/>
  <c r="AQ157" i="2"/>
  <c r="E152" i="2"/>
  <c r="F119" i="14"/>
  <c r="O149" i="2"/>
  <c r="B133" i="14"/>
  <c r="H133" i="14"/>
  <c r="K163" i="2"/>
  <c r="C132" i="14"/>
  <c r="I132" i="14"/>
  <c r="L162" i="2"/>
  <c r="E130" i="14"/>
  <c r="D131" i="14"/>
  <c r="J131" i="14"/>
  <c r="K131" i="14"/>
  <c r="M161" i="2"/>
  <c r="B155" i="2"/>
  <c r="AU164" i="2"/>
  <c r="AF130" i="14"/>
  <c r="AG130" i="14"/>
  <c r="AH130" i="14"/>
  <c r="N131" i="14"/>
  <c r="O131" i="14"/>
  <c r="P131" i="14"/>
  <c r="Y131" i="14"/>
  <c r="Z131" i="14"/>
  <c r="AE131" i="14"/>
  <c r="L131" i="14"/>
  <c r="S166" i="2"/>
  <c r="B143" i="15"/>
  <c r="W144" i="2"/>
  <c r="F121" i="15"/>
  <c r="E140" i="15"/>
  <c r="H140" i="15"/>
  <c r="U164" i="2"/>
  <c r="D141" i="15"/>
  <c r="D154" i="2"/>
  <c r="AK154" i="2"/>
  <c r="J139" i="15"/>
  <c r="I139" i="15"/>
  <c r="S139" i="15"/>
  <c r="E153" i="2"/>
  <c r="T165" i="2"/>
  <c r="C142" i="15"/>
  <c r="G152" i="2"/>
  <c r="F120" i="14"/>
  <c r="O150" i="2"/>
  <c r="C133" i="14"/>
  <c r="I133" i="14"/>
  <c r="L163" i="2"/>
  <c r="E131" i="14"/>
  <c r="B134" i="14"/>
  <c r="H134" i="14"/>
  <c r="K164" i="2"/>
  <c r="D132" i="14"/>
  <c r="J132" i="14"/>
  <c r="K132" i="14"/>
  <c r="M162" i="2"/>
  <c r="B156" i="2"/>
  <c r="AU165" i="2"/>
  <c r="AF131" i="14"/>
  <c r="AG131" i="14"/>
  <c r="AH131" i="14"/>
  <c r="N132" i="14"/>
  <c r="O132" i="14"/>
  <c r="P132" i="14"/>
  <c r="Y132" i="14"/>
  <c r="Z132" i="14"/>
  <c r="AE132" i="14"/>
  <c r="L132" i="14"/>
  <c r="W145" i="2"/>
  <c r="F122" i="15"/>
  <c r="E141" i="15"/>
  <c r="H141" i="15"/>
  <c r="T166" i="2"/>
  <c r="C143" i="15"/>
  <c r="G153" i="2"/>
  <c r="J140" i="15"/>
  <c r="I140" i="15"/>
  <c r="S140" i="15"/>
  <c r="D155" i="2"/>
  <c r="AK155" i="2"/>
  <c r="E154" i="2"/>
  <c r="H154" i="2"/>
  <c r="U165" i="2"/>
  <c r="D142" i="15"/>
  <c r="S167" i="2"/>
  <c r="B144" i="15"/>
  <c r="F121" i="14"/>
  <c r="O151" i="2"/>
  <c r="B135" i="14"/>
  <c r="H135" i="14"/>
  <c r="K165" i="2"/>
  <c r="E132" i="14"/>
  <c r="D133" i="14"/>
  <c r="J133" i="14"/>
  <c r="K133" i="14"/>
  <c r="M163" i="2"/>
  <c r="C134" i="14"/>
  <c r="I134" i="14"/>
  <c r="L164" i="2"/>
  <c r="B157" i="2"/>
  <c r="AU166" i="2"/>
  <c r="AF132" i="14"/>
  <c r="AG132" i="14"/>
  <c r="AH132" i="14"/>
  <c r="N133" i="14"/>
  <c r="O133" i="14"/>
  <c r="P133" i="14"/>
  <c r="Y133" i="14"/>
  <c r="Z133" i="14"/>
  <c r="AE133" i="14"/>
  <c r="L133" i="14"/>
  <c r="U166" i="2"/>
  <c r="D143" i="15"/>
  <c r="D156" i="2"/>
  <c r="AK156" i="2"/>
  <c r="E155" i="2"/>
  <c r="S168" i="2"/>
  <c r="B145" i="15"/>
  <c r="G154" i="2"/>
  <c r="J141" i="15"/>
  <c r="I141" i="15"/>
  <c r="S141" i="15"/>
  <c r="E142" i="15"/>
  <c r="H142" i="15"/>
  <c r="T167" i="2"/>
  <c r="C144" i="15"/>
  <c r="W146" i="2"/>
  <c r="F123" i="15"/>
  <c r="F122" i="14"/>
  <c r="O152" i="2"/>
  <c r="C135" i="14"/>
  <c r="I135" i="14"/>
  <c r="L165" i="2"/>
  <c r="B136" i="14"/>
  <c r="H136" i="14"/>
  <c r="K166" i="2"/>
  <c r="E133" i="14"/>
  <c r="D134" i="14"/>
  <c r="J134" i="14"/>
  <c r="K134" i="14"/>
  <c r="M164" i="2"/>
  <c r="B158" i="2"/>
  <c r="AU167" i="2"/>
  <c r="AF133" i="14"/>
  <c r="AG133" i="14"/>
  <c r="AH133" i="14"/>
  <c r="N134" i="14"/>
  <c r="O134" i="14"/>
  <c r="P134" i="14"/>
  <c r="Y134" i="14"/>
  <c r="Z134" i="14"/>
  <c r="AE134" i="14"/>
  <c r="L134" i="14"/>
  <c r="G155" i="2"/>
  <c r="T168" i="2"/>
  <c r="C145" i="15"/>
  <c r="U167" i="2"/>
  <c r="D144" i="15"/>
  <c r="J142" i="15"/>
  <c r="I142" i="15"/>
  <c r="S142" i="15"/>
  <c r="D157" i="2"/>
  <c r="AK157" i="2"/>
  <c r="S169" i="2"/>
  <c r="B146" i="15"/>
  <c r="E156" i="2"/>
  <c r="W147" i="2"/>
  <c r="F124" i="15"/>
  <c r="E143" i="15"/>
  <c r="H143" i="15"/>
  <c r="O153" i="2"/>
  <c r="F123" i="14"/>
  <c r="B137" i="14"/>
  <c r="H137" i="14"/>
  <c r="K167" i="2"/>
  <c r="E134" i="14"/>
  <c r="C136" i="14"/>
  <c r="I136" i="14"/>
  <c r="L166" i="2"/>
  <c r="D135" i="14"/>
  <c r="J135" i="14"/>
  <c r="K135" i="14"/>
  <c r="M165" i="2"/>
  <c r="B159" i="2"/>
  <c r="AU168" i="2"/>
  <c r="AF134" i="14"/>
  <c r="AG134" i="14"/>
  <c r="AH134" i="14"/>
  <c r="N135" i="14"/>
  <c r="O135" i="14"/>
  <c r="P135" i="14"/>
  <c r="Y135" i="14"/>
  <c r="Z135" i="14"/>
  <c r="AE135" i="14"/>
  <c r="L135" i="14"/>
  <c r="E144" i="15"/>
  <c r="H144" i="15"/>
  <c r="D158" i="2"/>
  <c r="AK158" i="2"/>
  <c r="S170" i="2"/>
  <c r="B147" i="15"/>
  <c r="T169" i="2"/>
  <c r="C146" i="15"/>
  <c r="G156" i="2"/>
  <c r="W148" i="2"/>
  <c r="F125" i="15"/>
  <c r="E157" i="2"/>
  <c r="U168" i="2"/>
  <c r="D145" i="15"/>
  <c r="J143" i="15"/>
  <c r="I143" i="15"/>
  <c r="S143" i="15"/>
  <c r="F124" i="14"/>
  <c r="O154" i="2"/>
  <c r="C137" i="14"/>
  <c r="I137" i="14"/>
  <c r="L167" i="2"/>
  <c r="E135" i="14"/>
  <c r="D136" i="14"/>
  <c r="J136" i="14"/>
  <c r="K136" i="14"/>
  <c r="M166" i="2"/>
  <c r="B138" i="14"/>
  <c r="H138" i="14"/>
  <c r="K168" i="2"/>
  <c r="B160" i="2"/>
  <c r="AU169" i="2"/>
  <c r="AF135" i="14"/>
  <c r="AG135" i="14"/>
  <c r="AH135" i="14"/>
  <c r="N136" i="14"/>
  <c r="O136" i="14"/>
  <c r="P136" i="14"/>
  <c r="Y136" i="14"/>
  <c r="Z136" i="14"/>
  <c r="AE136" i="14"/>
  <c r="L136" i="14"/>
  <c r="S171" i="2"/>
  <c r="B148" i="15"/>
  <c r="E145" i="15"/>
  <c r="H145" i="15"/>
  <c r="J144" i="15"/>
  <c r="I144" i="15"/>
  <c r="S144" i="15"/>
  <c r="T170" i="2"/>
  <c r="C147" i="15"/>
  <c r="D159" i="2"/>
  <c r="AK159" i="2"/>
  <c r="G157" i="2"/>
  <c r="W149" i="2"/>
  <c r="F126" i="15"/>
  <c r="U169" i="2"/>
  <c r="D146" i="15"/>
  <c r="E158" i="2"/>
  <c r="F125" i="14"/>
  <c r="O155" i="2"/>
  <c r="C138" i="14"/>
  <c r="I138" i="14"/>
  <c r="L168" i="2"/>
  <c r="E136" i="14"/>
  <c r="B139" i="14"/>
  <c r="H139" i="14"/>
  <c r="K169" i="2"/>
  <c r="D137" i="14"/>
  <c r="J137" i="14"/>
  <c r="K137" i="14"/>
  <c r="M167" i="2"/>
  <c r="B161" i="2"/>
  <c r="AU170" i="2"/>
  <c r="AF136" i="14"/>
  <c r="AG136" i="14"/>
  <c r="AH136" i="14"/>
  <c r="N137" i="14"/>
  <c r="O137" i="14"/>
  <c r="P137" i="14"/>
  <c r="Y137" i="14"/>
  <c r="Z137" i="14"/>
  <c r="AE137" i="14"/>
  <c r="L137" i="14"/>
  <c r="E159" i="2"/>
  <c r="E146" i="15"/>
  <c r="H146" i="15"/>
  <c r="T171" i="2"/>
  <c r="C148" i="15"/>
  <c r="W150" i="2"/>
  <c r="F127" i="15"/>
  <c r="G158" i="2"/>
  <c r="U170" i="2"/>
  <c r="D147" i="15"/>
  <c r="J145" i="15"/>
  <c r="I145" i="15"/>
  <c r="S145" i="15"/>
  <c r="D160" i="2"/>
  <c r="AK160" i="2"/>
  <c r="S172" i="2"/>
  <c r="B149" i="15"/>
  <c r="O156" i="2"/>
  <c r="F126" i="14"/>
  <c r="C139" i="14"/>
  <c r="I139" i="14"/>
  <c r="L169" i="2"/>
  <c r="D138" i="14"/>
  <c r="J138" i="14"/>
  <c r="K138" i="14"/>
  <c r="M168" i="2"/>
  <c r="B140" i="14"/>
  <c r="H140" i="14"/>
  <c r="K170" i="2"/>
  <c r="E137" i="14"/>
  <c r="B162" i="2"/>
  <c r="AU171" i="2"/>
  <c r="AF137" i="14"/>
  <c r="AG137" i="14"/>
  <c r="AH137" i="14"/>
  <c r="N138" i="14"/>
  <c r="O138" i="14"/>
  <c r="P138" i="14"/>
  <c r="Y138" i="14"/>
  <c r="Z138" i="14"/>
  <c r="AE138" i="14"/>
  <c r="L138" i="14"/>
  <c r="I146" i="15"/>
  <c r="S146" i="15"/>
  <c r="J146" i="15"/>
  <c r="E160" i="2"/>
  <c r="S173" i="2"/>
  <c r="B150" i="15"/>
  <c r="D161" i="2"/>
  <c r="AK161" i="2"/>
  <c r="T172" i="2"/>
  <c r="C149" i="15"/>
  <c r="E147" i="15"/>
  <c r="H147" i="15"/>
  <c r="U171" i="2"/>
  <c r="D148" i="15"/>
  <c r="W151" i="2"/>
  <c r="F128" i="15"/>
  <c r="G159" i="2"/>
  <c r="F127" i="14"/>
  <c r="O157" i="2"/>
  <c r="E138" i="14"/>
  <c r="B141" i="14"/>
  <c r="H141" i="14"/>
  <c r="K171" i="2"/>
  <c r="C140" i="14"/>
  <c r="I140" i="14"/>
  <c r="L170" i="2"/>
  <c r="D139" i="14"/>
  <c r="J139" i="14"/>
  <c r="K139" i="14"/>
  <c r="M169" i="2"/>
  <c r="B163" i="2"/>
  <c r="AU172" i="2"/>
  <c r="AF138" i="14"/>
  <c r="AG138" i="14"/>
  <c r="AH138" i="14"/>
  <c r="N139" i="14"/>
  <c r="O139" i="14"/>
  <c r="P139" i="14"/>
  <c r="Y139" i="14"/>
  <c r="Z139" i="14"/>
  <c r="AE139" i="14"/>
  <c r="L139" i="14"/>
  <c r="S174" i="2"/>
  <c r="B151" i="15"/>
  <c r="G160" i="2"/>
  <c r="D162" i="2"/>
  <c r="AK162" i="2"/>
  <c r="U172" i="2"/>
  <c r="D149" i="15"/>
  <c r="T173" i="2"/>
  <c r="C150" i="15"/>
  <c r="W152" i="2"/>
  <c r="F129" i="15"/>
  <c r="E148" i="15"/>
  <c r="H148" i="15"/>
  <c r="J147" i="15"/>
  <c r="I147" i="15"/>
  <c r="S147" i="15"/>
  <c r="E161" i="2"/>
  <c r="F128" i="14"/>
  <c r="O158" i="2"/>
  <c r="C141" i="14"/>
  <c r="I141" i="14"/>
  <c r="L171" i="2"/>
  <c r="B142" i="14"/>
  <c r="H142" i="14"/>
  <c r="K172" i="2"/>
  <c r="E139" i="14"/>
  <c r="D140" i="14"/>
  <c r="J140" i="14"/>
  <c r="K140" i="14"/>
  <c r="M170" i="2"/>
  <c r="B164" i="2"/>
  <c r="AU173" i="2"/>
  <c r="AF139" i="14"/>
  <c r="AG139" i="14"/>
  <c r="AH139" i="14"/>
  <c r="N140" i="14"/>
  <c r="O140" i="14"/>
  <c r="P140" i="14"/>
  <c r="Y140" i="14"/>
  <c r="Z140" i="14"/>
  <c r="AE140" i="14"/>
  <c r="L140" i="14"/>
  <c r="S175" i="2"/>
  <c r="B152" i="15"/>
  <c r="G161" i="2"/>
  <c r="E149" i="15"/>
  <c r="H149" i="15"/>
  <c r="D163" i="2"/>
  <c r="AK163" i="2"/>
  <c r="E162" i="2"/>
  <c r="T174" i="2"/>
  <c r="C151" i="15"/>
  <c r="U173" i="2"/>
  <c r="D150" i="15"/>
  <c r="W153" i="2"/>
  <c r="F130" i="15"/>
  <c r="I148" i="15"/>
  <c r="S148" i="15"/>
  <c r="J148" i="15"/>
  <c r="F129" i="14"/>
  <c r="O159" i="2"/>
  <c r="C142" i="14"/>
  <c r="I142" i="14"/>
  <c r="L172" i="2"/>
  <c r="B143" i="14"/>
  <c r="H143" i="14"/>
  <c r="K173" i="2"/>
  <c r="E140" i="14"/>
  <c r="D141" i="14"/>
  <c r="J141" i="14"/>
  <c r="K141" i="14"/>
  <c r="M171" i="2"/>
  <c r="B165" i="2"/>
  <c r="AU174" i="2"/>
  <c r="AF140" i="14"/>
  <c r="AG140" i="14"/>
  <c r="AH140" i="14"/>
  <c r="N141" i="14"/>
  <c r="O141" i="14"/>
  <c r="P141" i="14"/>
  <c r="Y141" i="14"/>
  <c r="Z141" i="14"/>
  <c r="AE141" i="14"/>
  <c r="L141" i="14"/>
  <c r="C166" i="2"/>
  <c r="AL166" i="2"/>
  <c r="AL176" i="2"/>
  <c r="AL169" i="2"/>
  <c r="AL167" i="2"/>
  <c r="AL174" i="2"/>
  <c r="AL175" i="2"/>
  <c r="AL171" i="2"/>
  <c r="AL168" i="2"/>
  <c r="AL172" i="2"/>
  <c r="AL173" i="2"/>
  <c r="AL165" i="2"/>
  <c r="AL170" i="2"/>
  <c r="S176" i="2"/>
  <c r="B153" i="15"/>
  <c r="W154" i="2"/>
  <c r="F131" i="15"/>
  <c r="T175" i="2"/>
  <c r="C152" i="15"/>
  <c r="G162" i="2"/>
  <c r="D164" i="2"/>
  <c r="AK164" i="2"/>
  <c r="E163" i="2"/>
  <c r="U174" i="2"/>
  <c r="D151" i="15"/>
  <c r="E150" i="15"/>
  <c r="H150" i="15"/>
  <c r="J149" i="15"/>
  <c r="I149" i="15"/>
  <c r="S149" i="15"/>
  <c r="O160" i="2"/>
  <c r="F130" i="14"/>
  <c r="C143" i="14"/>
  <c r="I143" i="14"/>
  <c r="L173" i="2"/>
  <c r="E141" i="14"/>
  <c r="B144" i="14"/>
  <c r="H144" i="14"/>
  <c r="K174" i="2"/>
  <c r="D142" i="14"/>
  <c r="J142" i="14"/>
  <c r="K142" i="14"/>
  <c r="M172" i="2"/>
  <c r="B166" i="2"/>
  <c r="X166" i="2"/>
  <c r="P166" i="2"/>
  <c r="AU175" i="2"/>
  <c r="AF141" i="14"/>
  <c r="AG141" i="14"/>
  <c r="AH141" i="14"/>
  <c r="N142" i="14"/>
  <c r="O142" i="14"/>
  <c r="P142" i="14"/>
  <c r="Y142" i="14"/>
  <c r="Z142" i="14"/>
  <c r="AE142" i="14"/>
  <c r="L142" i="14"/>
  <c r="S177" i="2"/>
  <c r="B154" i="15"/>
  <c r="E151" i="15"/>
  <c r="H151" i="15"/>
  <c r="AP170" i="2"/>
  <c r="AQ170" i="2"/>
  <c r="AP169" i="2"/>
  <c r="AQ169" i="2"/>
  <c r="W155" i="2"/>
  <c r="F132" i="15"/>
  <c r="J150" i="15"/>
  <c r="I150" i="15"/>
  <c r="S150" i="15"/>
  <c r="E164" i="2"/>
  <c r="AP168" i="2"/>
  <c r="AQ168" i="2"/>
  <c r="AP165" i="2"/>
  <c r="AQ165" i="2"/>
  <c r="G163" i="2"/>
  <c r="AP173" i="2"/>
  <c r="AQ173" i="2"/>
  <c r="AP172" i="2"/>
  <c r="AQ172" i="2"/>
  <c r="AP171" i="2"/>
  <c r="AQ171" i="2"/>
  <c r="AP174" i="2"/>
  <c r="AQ174" i="2"/>
  <c r="AP167" i="2"/>
  <c r="AQ167" i="2"/>
  <c r="U175" i="2"/>
  <c r="D152" i="15"/>
  <c r="AP176" i="2"/>
  <c r="AQ176" i="2"/>
  <c r="AP166" i="2"/>
  <c r="AQ166" i="2"/>
  <c r="D165" i="2"/>
  <c r="AK165" i="2"/>
  <c r="T176" i="2"/>
  <c r="C153" i="15"/>
  <c r="AP175" i="2"/>
  <c r="AQ175" i="2"/>
  <c r="F131" i="14"/>
  <c r="O161" i="2"/>
  <c r="B145" i="14"/>
  <c r="H145" i="14"/>
  <c r="K175" i="2"/>
  <c r="E142" i="14"/>
  <c r="D143" i="14"/>
  <c r="J143" i="14"/>
  <c r="K143" i="14"/>
  <c r="M173" i="2"/>
  <c r="C144" i="14"/>
  <c r="I144" i="14"/>
  <c r="L174" i="2"/>
  <c r="B167" i="2"/>
  <c r="AU176" i="2"/>
  <c r="AF142" i="14"/>
  <c r="AG142" i="14"/>
  <c r="AH142" i="14"/>
  <c r="N143" i="14"/>
  <c r="O143" i="14"/>
  <c r="P143" i="14"/>
  <c r="Y143" i="14"/>
  <c r="Z143" i="14"/>
  <c r="AE143" i="14"/>
  <c r="L143" i="14"/>
  <c r="G164" i="2"/>
  <c r="E152" i="15"/>
  <c r="H152" i="15"/>
  <c r="T177" i="2"/>
  <c r="C154" i="15"/>
  <c r="J151" i="15"/>
  <c r="I151" i="15"/>
  <c r="S151" i="15"/>
  <c r="S178" i="2"/>
  <c r="B155" i="15"/>
  <c r="U176" i="2"/>
  <c r="D153" i="15"/>
  <c r="D166" i="2"/>
  <c r="AK166" i="2"/>
  <c r="E165" i="2"/>
  <c r="W156" i="2"/>
  <c r="F133" i="15"/>
  <c r="F132" i="14"/>
  <c r="O162" i="2"/>
  <c r="B146" i="14"/>
  <c r="H146" i="14"/>
  <c r="K176" i="2"/>
  <c r="D144" i="14"/>
  <c r="J144" i="14"/>
  <c r="K144" i="14"/>
  <c r="M174" i="2"/>
  <c r="E143" i="14"/>
  <c r="C145" i="14"/>
  <c r="I145" i="14"/>
  <c r="L175" i="2"/>
  <c r="B168" i="2"/>
  <c r="AU177" i="2"/>
  <c r="AF143" i="14"/>
  <c r="AG143" i="14"/>
  <c r="AH143" i="14"/>
  <c r="N144" i="14"/>
  <c r="O144" i="14"/>
  <c r="P144" i="14"/>
  <c r="Y144" i="14"/>
  <c r="Z144" i="14"/>
  <c r="AE144" i="14"/>
  <c r="L144" i="14"/>
  <c r="J152" i="15"/>
  <c r="I152" i="15"/>
  <c r="S152" i="15"/>
  <c r="S179" i="2"/>
  <c r="B156" i="15"/>
  <c r="D167" i="2"/>
  <c r="AK167" i="2"/>
  <c r="E166" i="2"/>
  <c r="H166" i="2"/>
  <c r="E153" i="15"/>
  <c r="H153" i="15"/>
  <c r="T178" i="2"/>
  <c r="C155" i="15"/>
  <c r="W157" i="2"/>
  <c r="F134" i="15"/>
  <c r="U177" i="2"/>
  <c r="D154" i="15"/>
  <c r="F133" i="14"/>
  <c r="O163" i="2"/>
  <c r="B147" i="14"/>
  <c r="H147" i="14"/>
  <c r="K177" i="2"/>
  <c r="D145" i="14"/>
  <c r="J145" i="14"/>
  <c r="K145" i="14"/>
  <c r="M175" i="2"/>
  <c r="E144" i="14"/>
  <c r="C146" i="14"/>
  <c r="I146" i="14"/>
  <c r="L176" i="2"/>
  <c r="B169" i="2"/>
  <c r="AU178" i="2"/>
  <c r="AF144" i="14"/>
  <c r="AG144" i="14"/>
  <c r="AH144" i="14"/>
  <c r="N145" i="14"/>
  <c r="O145" i="14"/>
  <c r="P145" i="14"/>
  <c r="Y145" i="14"/>
  <c r="Z145" i="14"/>
  <c r="AE145" i="14"/>
  <c r="L145" i="14"/>
  <c r="E154" i="15"/>
  <c r="H154" i="15"/>
  <c r="J153" i="15"/>
  <c r="I153" i="15"/>
  <c r="S153" i="15"/>
  <c r="T179" i="2"/>
  <c r="C156" i="15"/>
  <c r="D168" i="2"/>
  <c r="AK168" i="2"/>
  <c r="E167" i="2"/>
  <c r="G165" i="2"/>
  <c r="G166" i="2"/>
  <c r="S180" i="2"/>
  <c r="B157" i="15"/>
  <c r="W158" i="2"/>
  <c r="F135" i="15"/>
  <c r="U178" i="2"/>
  <c r="D155" i="15"/>
  <c r="F134" i="14"/>
  <c r="O164" i="2"/>
  <c r="B148" i="14"/>
  <c r="H148" i="14"/>
  <c r="K178" i="2"/>
  <c r="D146" i="14"/>
  <c r="J146" i="14"/>
  <c r="K146" i="14"/>
  <c r="M176" i="2"/>
  <c r="C147" i="14"/>
  <c r="I147" i="14"/>
  <c r="L177" i="2"/>
  <c r="E145" i="14"/>
  <c r="B170" i="2"/>
  <c r="AU179" i="2"/>
  <c r="AF145" i="14"/>
  <c r="AG145" i="14"/>
  <c r="AH145" i="14"/>
  <c r="N146" i="14"/>
  <c r="O146" i="14"/>
  <c r="P146" i="14"/>
  <c r="Y146" i="14"/>
  <c r="Z146" i="14"/>
  <c r="AE146" i="14"/>
  <c r="L146" i="14"/>
  <c r="U179" i="2"/>
  <c r="D156" i="15"/>
  <c r="W159" i="2"/>
  <c r="F136" i="15"/>
  <c r="T180" i="2"/>
  <c r="C157" i="15"/>
  <c r="G167" i="2"/>
  <c r="I154" i="15"/>
  <c r="S154" i="15"/>
  <c r="J154" i="15"/>
  <c r="S181" i="2"/>
  <c r="B158" i="15"/>
  <c r="E168" i="2"/>
  <c r="D169" i="2"/>
  <c r="AK169" i="2"/>
  <c r="E155" i="15"/>
  <c r="H155" i="15"/>
  <c r="F135" i="14"/>
  <c r="O165" i="2"/>
  <c r="B149" i="14"/>
  <c r="H149" i="14"/>
  <c r="K179" i="2"/>
  <c r="E146" i="14"/>
  <c r="D147" i="14"/>
  <c r="J147" i="14"/>
  <c r="K147" i="14"/>
  <c r="M177" i="2"/>
  <c r="C148" i="14"/>
  <c r="I148" i="14"/>
  <c r="L178" i="2"/>
  <c r="B171" i="2"/>
  <c r="AU180" i="2"/>
  <c r="AF146" i="14"/>
  <c r="AG146" i="14"/>
  <c r="AH146" i="14"/>
  <c r="N147" i="14"/>
  <c r="O147" i="14"/>
  <c r="P147" i="14"/>
  <c r="Y147" i="14"/>
  <c r="Z147" i="14"/>
  <c r="AF147" i="14"/>
  <c r="AE147" i="14"/>
  <c r="L147" i="14"/>
  <c r="S182" i="2"/>
  <c r="B159" i="15"/>
  <c r="T181" i="2"/>
  <c r="C158" i="15"/>
  <c r="W160" i="2"/>
  <c r="F137" i="15"/>
  <c r="E169" i="2"/>
  <c r="U180" i="2"/>
  <c r="D157" i="15"/>
  <c r="J155" i="15"/>
  <c r="I155" i="15"/>
  <c r="S155" i="15"/>
  <c r="D170" i="2"/>
  <c r="AK170" i="2"/>
  <c r="G168" i="2"/>
  <c r="E156" i="15"/>
  <c r="H156" i="15"/>
  <c r="O166" i="2"/>
  <c r="F136" i="14"/>
  <c r="E147" i="14"/>
  <c r="B150" i="14"/>
  <c r="H150" i="14"/>
  <c r="K180" i="2"/>
  <c r="D148" i="14"/>
  <c r="J148" i="14"/>
  <c r="K148" i="14"/>
  <c r="M178" i="2"/>
  <c r="C149" i="14"/>
  <c r="I149" i="14"/>
  <c r="L179" i="2"/>
  <c r="B172" i="2"/>
  <c r="AU181" i="2"/>
  <c r="AG147" i="14"/>
  <c r="AH147" i="14"/>
  <c r="N148" i="14"/>
  <c r="O148" i="14"/>
  <c r="P148" i="14"/>
  <c r="Y148" i="14"/>
  <c r="Z148" i="14"/>
  <c r="AF148" i="14"/>
  <c r="AE148" i="14"/>
  <c r="L148" i="14"/>
  <c r="D171" i="2"/>
  <c r="AK171" i="2"/>
  <c r="E157" i="15"/>
  <c r="H157" i="15"/>
  <c r="E170" i="2"/>
  <c r="U181" i="2"/>
  <c r="D158" i="15"/>
  <c r="W161" i="2"/>
  <c r="F138" i="15"/>
  <c r="S183" i="2"/>
  <c r="B160" i="15"/>
  <c r="T182" i="2"/>
  <c r="C159" i="15"/>
  <c r="J156" i="15"/>
  <c r="I156" i="15"/>
  <c r="S156" i="15"/>
  <c r="G169" i="2"/>
  <c r="F137" i="14"/>
  <c r="O167" i="2"/>
  <c r="C150" i="14"/>
  <c r="I150" i="14"/>
  <c r="L180" i="2"/>
  <c r="B151" i="14"/>
  <c r="H151" i="14"/>
  <c r="K181" i="2"/>
  <c r="E148" i="14"/>
  <c r="D149" i="14"/>
  <c r="J149" i="14"/>
  <c r="K149" i="14"/>
  <c r="M179" i="2"/>
  <c r="B173" i="2"/>
  <c r="AU182" i="2"/>
  <c r="AG148" i="14"/>
  <c r="AH148" i="14"/>
  <c r="N149" i="14"/>
  <c r="O149" i="14"/>
  <c r="P149" i="14"/>
  <c r="Y149" i="14"/>
  <c r="Z149" i="14"/>
  <c r="AF149" i="14"/>
  <c r="AE149" i="14"/>
  <c r="L149" i="14"/>
  <c r="G170" i="2"/>
  <c r="W162" i="2"/>
  <c r="F139" i="15"/>
  <c r="D172" i="2"/>
  <c r="AK172" i="2"/>
  <c r="S184" i="2"/>
  <c r="B161" i="15"/>
  <c r="T183" i="2"/>
  <c r="C160" i="15"/>
  <c r="J157" i="15"/>
  <c r="I157" i="15"/>
  <c r="S157" i="15"/>
  <c r="U182" i="2"/>
  <c r="D159" i="15"/>
  <c r="E158" i="15"/>
  <c r="H158" i="15"/>
  <c r="E171" i="2"/>
  <c r="F138" i="14"/>
  <c r="O168" i="2"/>
  <c r="B152" i="14"/>
  <c r="H152" i="14"/>
  <c r="K182" i="2"/>
  <c r="C151" i="14"/>
  <c r="I151" i="14"/>
  <c r="L181" i="2"/>
  <c r="E149" i="14"/>
  <c r="D150" i="14"/>
  <c r="J150" i="14"/>
  <c r="K150" i="14"/>
  <c r="M180" i="2"/>
  <c r="B174" i="2"/>
  <c r="AU183" i="2"/>
  <c r="AG149" i="14"/>
  <c r="AH149" i="14"/>
  <c r="N150" i="14"/>
  <c r="O150" i="14"/>
  <c r="P150" i="14"/>
  <c r="Y150" i="14"/>
  <c r="Z150" i="14"/>
  <c r="AF150" i="14"/>
  <c r="AE150" i="14"/>
  <c r="L150" i="14"/>
  <c r="G171" i="2"/>
  <c r="D173" i="2"/>
  <c r="AK173" i="2"/>
  <c r="W163" i="2"/>
  <c r="F140" i="15"/>
  <c r="T184" i="2"/>
  <c r="C161" i="15"/>
  <c r="U183" i="2"/>
  <c r="D160" i="15"/>
  <c r="J158" i="15"/>
  <c r="I158" i="15"/>
  <c r="S158" i="15"/>
  <c r="S185" i="2"/>
  <c r="B162" i="15"/>
  <c r="E159" i="15"/>
  <c r="H159" i="15"/>
  <c r="E172" i="2"/>
  <c r="F139" i="14"/>
  <c r="O169" i="2"/>
  <c r="E150" i="14"/>
  <c r="D151" i="14"/>
  <c r="J151" i="14"/>
  <c r="K151" i="14"/>
  <c r="M181" i="2"/>
  <c r="B153" i="14"/>
  <c r="H153" i="14"/>
  <c r="K183" i="2"/>
  <c r="C152" i="14"/>
  <c r="I152" i="14"/>
  <c r="L182" i="2"/>
  <c r="B175" i="2"/>
  <c r="AU184" i="2"/>
  <c r="AG150" i="14"/>
  <c r="AH150" i="14"/>
  <c r="N151" i="14"/>
  <c r="O151" i="14"/>
  <c r="P151" i="14"/>
  <c r="Y151" i="14"/>
  <c r="Z151" i="14"/>
  <c r="AF151" i="14"/>
  <c r="AE151" i="14"/>
  <c r="L151" i="14"/>
  <c r="G172" i="2"/>
  <c r="S186" i="2"/>
  <c r="B163" i="15"/>
  <c r="J159" i="15"/>
  <c r="I159" i="15"/>
  <c r="S159" i="15"/>
  <c r="E173" i="2"/>
  <c r="D174" i="2"/>
  <c r="AK174" i="2"/>
  <c r="W164" i="2"/>
  <c r="F141" i="15"/>
  <c r="E160" i="15"/>
  <c r="H160" i="15"/>
  <c r="T185" i="2"/>
  <c r="C162" i="15"/>
  <c r="U184" i="2"/>
  <c r="D161" i="15"/>
  <c r="O170" i="2"/>
  <c r="F140" i="14"/>
  <c r="E151" i="14"/>
  <c r="C153" i="14"/>
  <c r="I153" i="14"/>
  <c r="L183" i="2"/>
  <c r="D152" i="14"/>
  <c r="J152" i="14"/>
  <c r="K152" i="14"/>
  <c r="M182" i="2"/>
  <c r="B154" i="14"/>
  <c r="H154" i="14"/>
  <c r="K184" i="2"/>
  <c r="B176" i="2"/>
  <c r="AU185" i="2"/>
  <c r="AG151" i="14"/>
  <c r="AH151" i="14"/>
  <c r="N152" i="14"/>
  <c r="O152" i="14"/>
  <c r="P152" i="14"/>
  <c r="Y152" i="14"/>
  <c r="Z152" i="14"/>
  <c r="AF152" i="14"/>
  <c r="AE152" i="14"/>
  <c r="L152" i="14"/>
  <c r="I160" i="15"/>
  <c r="S160" i="15"/>
  <c r="J160" i="15"/>
  <c r="E161" i="15"/>
  <c r="H161" i="15"/>
  <c r="G173" i="2"/>
  <c r="D175" i="2"/>
  <c r="AK175" i="2"/>
  <c r="U185" i="2"/>
  <c r="D162" i="15"/>
  <c r="S187" i="2"/>
  <c r="B164" i="15"/>
  <c r="T186" i="2"/>
  <c r="C163" i="15"/>
  <c r="W165" i="2"/>
  <c r="F142" i="15"/>
  <c r="E174" i="2"/>
  <c r="F141" i="14"/>
  <c r="O171" i="2"/>
  <c r="B155" i="14"/>
  <c r="H155" i="14"/>
  <c r="K185" i="2"/>
  <c r="D153" i="14"/>
  <c r="J153" i="14"/>
  <c r="K153" i="14"/>
  <c r="M183" i="2"/>
  <c r="C154" i="14"/>
  <c r="I154" i="14"/>
  <c r="L184" i="2"/>
  <c r="E152" i="14"/>
  <c r="B177" i="2"/>
  <c r="AU186" i="2"/>
  <c r="AG152" i="14"/>
  <c r="AH152" i="14"/>
  <c r="N153" i="14"/>
  <c r="O153" i="14"/>
  <c r="P153" i="14"/>
  <c r="Y153" i="14"/>
  <c r="Z153" i="14"/>
  <c r="AF153" i="14"/>
  <c r="AE153" i="14"/>
  <c r="L153" i="14"/>
  <c r="U186" i="2"/>
  <c r="D163" i="15"/>
  <c r="AL185" i="2"/>
  <c r="C178" i="2"/>
  <c r="AL183" i="2"/>
  <c r="AL177" i="2"/>
  <c r="AL182" i="2"/>
  <c r="AL184" i="2"/>
  <c r="AL178" i="2"/>
  <c r="AL186" i="2"/>
  <c r="AL179" i="2"/>
  <c r="AL187" i="2"/>
  <c r="AL180" i="2"/>
  <c r="AL181" i="2"/>
  <c r="AL188" i="2"/>
  <c r="T187" i="2"/>
  <c r="C164" i="15"/>
  <c r="J161" i="15"/>
  <c r="I161" i="15"/>
  <c r="S161" i="15"/>
  <c r="W166" i="2"/>
  <c r="F143" i="15"/>
  <c r="D176" i="2"/>
  <c r="AK176" i="2"/>
  <c r="E162" i="15"/>
  <c r="H162" i="15"/>
  <c r="E175" i="2"/>
  <c r="S188" i="2"/>
  <c r="B165" i="15"/>
  <c r="G174" i="2"/>
  <c r="F142" i="14"/>
  <c r="O172" i="2"/>
  <c r="C155" i="14"/>
  <c r="I155" i="14"/>
  <c r="L185" i="2"/>
  <c r="E153" i="14"/>
  <c r="B156" i="14"/>
  <c r="H156" i="14"/>
  <c r="K186" i="2"/>
  <c r="D154" i="14"/>
  <c r="J154" i="14"/>
  <c r="K154" i="14"/>
  <c r="M184" i="2"/>
  <c r="B178" i="2"/>
  <c r="P178" i="2"/>
  <c r="X178" i="2"/>
  <c r="AU187" i="2"/>
  <c r="AG153" i="14"/>
  <c r="AH153" i="14"/>
  <c r="N154" i="14"/>
  <c r="O154" i="14"/>
  <c r="P154" i="14"/>
  <c r="Y154" i="14"/>
  <c r="Z154" i="14"/>
  <c r="AF154" i="14"/>
  <c r="AE154" i="14"/>
  <c r="L154" i="14"/>
  <c r="AP188" i="2"/>
  <c r="AQ188" i="2"/>
  <c r="G175" i="2"/>
  <c r="AP177" i="2"/>
  <c r="AQ177" i="2"/>
  <c r="J162" i="15"/>
  <c r="I162" i="15"/>
  <c r="S162" i="15"/>
  <c r="AP180" i="2"/>
  <c r="AQ180" i="2"/>
  <c r="AP187" i="2"/>
  <c r="AQ187" i="2"/>
  <c r="AP179" i="2"/>
  <c r="AQ179" i="2"/>
  <c r="AP185" i="2"/>
  <c r="AQ185" i="2"/>
  <c r="T188" i="2"/>
  <c r="C165" i="15"/>
  <c r="AP186" i="2"/>
  <c r="AQ186" i="2"/>
  <c r="D177" i="2"/>
  <c r="AK177" i="2"/>
  <c r="W167" i="2"/>
  <c r="F144" i="15"/>
  <c r="AP181" i="2"/>
  <c r="AQ181" i="2"/>
  <c r="AP183" i="2"/>
  <c r="AQ183" i="2"/>
  <c r="S189" i="2"/>
  <c r="B166" i="15"/>
  <c r="AP178" i="2"/>
  <c r="AQ178" i="2"/>
  <c r="AP182" i="2"/>
  <c r="AQ182" i="2"/>
  <c r="E176" i="2"/>
  <c r="U187" i="2"/>
  <c r="D164" i="15"/>
  <c r="AP184" i="2"/>
  <c r="AQ184" i="2"/>
  <c r="E163" i="15"/>
  <c r="H163" i="15"/>
  <c r="O173" i="2"/>
  <c r="F143" i="14"/>
  <c r="B157" i="14"/>
  <c r="H157" i="14"/>
  <c r="K187" i="2"/>
  <c r="C156" i="14"/>
  <c r="I156" i="14"/>
  <c r="L186" i="2"/>
  <c r="E154" i="14"/>
  <c r="D155" i="14"/>
  <c r="J155" i="14"/>
  <c r="K155" i="14"/>
  <c r="M185" i="2"/>
  <c r="B179" i="2"/>
  <c r="AU188" i="2"/>
  <c r="AG154" i="14"/>
  <c r="AH154" i="14"/>
  <c r="N155" i="14"/>
  <c r="O155" i="14"/>
  <c r="P155" i="14"/>
  <c r="Y155" i="14"/>
  <c r="Z155" i="14"/>
  <c r="AF155" i="14"/>
  <c r="AE155" i="14"/>
  <c r="L155" i="14"/>
  <c r="D178" i="2"/>
  <c r="AK178" i="2"/>
  <c r="E164" i="15"/>
  <c r="H164" i="15"/>
  <c r="W168" i="2"/>
  <c r="F145" i="15"/>
  <c r="E177" i="2"/>
  <c r="T189" i="2"/>
  <c r="C166" i="15"/>
  <c r="S190" i="2"/>
  <c r="B167" i="15"/>
  <c r="J163" i="15"/>
  <c r="I163" i="15"/>
  <c r="S163" i="15"/>
  <c r="U188" i="2"/>
  <c r="D165" i="15"/>
  <c r="G176" i="2"/>
  <c r="F144" i="14"/>
  <c r="O174" i="2"/>
  <c r="C157" i="14"/>
  <c r="I157" i="14"/>
  <c r="L187" i="2"/>
  <c r="E155" i="14"/>
  <c r="B158" i="14"/>
  <c r="H158" i="14"/>
  <c r="K188" i="2"/>
  <c r="D156" i="14"/>
  <c r="J156" i="14"/>
  <c r="K156" i="14"/>
  <c r="M186" i="2"/>
  <c r="B180" i="2"/>
  <c r="AU189" i="2"/>
  <c r="AG155" i="14"/>
  <c r="AH155" i="14"/>
  <c r="N156" i="14"/>
  <c r="O156" i="14"/>
  <c r="P156" i="14"/>
  <c r="Y156" i="14"/>
  <c r="Z156" i="14"/>
  <c r="AF156" i="14"/>
  <c r="AE156" i="14"/>
  <c r="L156" i="14"/>
  <c r="J164" i="15"/>
  <c r="I164" i="15"/>
  <c r="S164" i="15"/>
  <c r="U189" i="2"/>
  <c r="D166" i="15"/>
  <c r="E165" i="15"/>
  <c r="H165" i="15"/>
  <c r="G177" i="2"/>
  <c r="D179" i="2"/>
  <c r="AK179" i="2"/>
  <c r="W169" i="2"/>
  <c r="F146" i="15"/>
  <c r="E178" i="2"/>
  <c r="H178" i="2"/>
  <c r="T190" i="2"/>
  <c r="C167" i="15"/>
  <c r="S191" i="2"/>
  <c r="B168" i="15"/>
  <c r="O175" i="2"/>
  <c r="F145" i="14"/>
  <c r="C158" i="14"/>
  <c r="I158" i="14"/>
  <c r="L188" i="2"/>
  <c r="E156" i="14"/>
  <c r="B159" i="14"/>
  <c r="H159" i="14"/>
  <c r="K189" i="2"/>
  <c r="D157" i="14"/>
  <c r="J157" i="14"/>
  <c r="K157" i="14"/>
  <c r="M187" i="2"/>
  <c r="B181" i="2"/>
  <c r="AU190" i="2"/>
  <c r="AG156" i="14"/>
  <c r="AH156" i="14"/>
  <c r="N157" i="14"/>
  <c r="O157" i="14"/>
  <c r="P157" i="14"/>
  <c r="Y157" i="14"/>
  <c r="Z157" i="14"/>
  <c r="AF157" i="14"/>
  <c r="AE157" i="14"/>
  <c r="L157" i="14"/>
  <c r="S192" i="2"/>
  <c r="B169" i="15"/>
  <c r="T191" i="2"/>
  <c r="C168" i="15"/>
  <c r="U190" i="2"/>
  <c r="D167" i="15"/>
  <c r="E166" i="15"/>
  <c r="H166" i="15"/>
  <c r="W170" i="2"/>
  <c r="F147" i="15"/>
  <c r="D180" i="2"/>
  <c r="AK180" i="2"/>
  <c r="E179" i="2"/>
  <c r="G178" i="2"/>
  <c r="J165" i="15"/>
  <c r="I165" i="15"/>
  <c r="S165" i="15"/>
  <c r="F146" i="14"/>
  <c r="O176" i="2"/>
  <c r="C159" i="14"/>
  <c r="I159" i="14"/>
  <c r="L189" i="2"/>
  <c r="E157" i="14"/>
  <c r="D158" i="14"/>
  <c r="J158" i="14"/>
  <c r="K158" i="14"/>
  <c r="M188" i="2"/>
  <c r="B160" i="14"/>
  <c r="H160" i="14"/>
  <c r="K190" i="2"/>
  <c r="B182" i="2"/>
  <c r="AU191" i="2"/>
  <c r="AG157" i="14"/>
  <c r="AH157" i="14"/>
  <c r="N158" i="14"/>
  <c r="O158" i="14"/>
  <c r="P158" i="14"/>
  <c r="Y158" i="14"/>
  <c r="Z158" i="14"/>
  <c r="AF158" i="14"/>
  <c r="AE158" i="14"/>
  <c r="L158" i="14"/>
  <c r="I166" i="15"/>
  <c r="S166" i="15"/>
  <c r="J166" i="15"/>
  <c r="T192" i="2"/>
  <c r="C169" i="15"/>
  <c r="G179" i="2"/>
  <c r="U191" i="2"/>
  <c r="D168" i="15"/>
  <c r="S193" i="2"/>
  <c r="B170" i="15"/>
  <c r="W171" i="2"/>
  <c r="F148" i="15"/>
  <c r="E180" i="2"/>
  <c r="E167" i="15"/>
  <c r="H167" i="15"/>
  <c r="D181" i="2"/>
  <c r="AK181" i="2"/>
  <c r="F147" i="14"/>
  <c r="O177" i="2"/>
  <c r="B161" i="14"/>
  <c r="H161" i="14"/>
  <c r="K191" i="2"/>
  <c r="E158" i="14"/>
  <c r="C160" i="14"/>
  <c r="I160" i="14"/>
  <c r="L190" i="2"/>
  <c r="D159" i="14"/>
  <c r="J159" i="14"/>
  <c r="K159" i="14"/>
  <c r="M189" i="2"/>
  <c r="B183" i="2"/>
  <c r="AU192" i="2"/>
  <c r="AG158" i="14"/>
  <c r="AH158" i="14"/>
  <c r="N159" i="14"/>
  <c r="O159" i="14"/>
  <c r="P159" i="14"/>
  <c r="Y159" i="14"/>
  <c r="Z159" i="14"/>
  <c r="AF159" i="14"/>
  <c r="AE159" i="14"/>
  <c r="L159" i="14"/>
  <c r="W172" i="2"/>
  <c r="F149" i="15"/>
  <c r="J167" i="15"/>
  <c r="I167" i="15"/>
  <c r="S167" i="15"/>
  <c r="S194" i="2"/>
  <c r="B171" i="15"/>
  <c r="E181" i="2"/>
  <c r="U192" i="2"/>
  <c r="D169" i="15"/>
  <c r="T193" i="2"/>
  <c r="C170" i="15"/>
  <c r="D182" i="2"/>
  <c r="AK182" i="2"/>
  <c r="G180" i="2"/>
  <c r="E168" i="15"/>
  <c r="H168" i="15"/>
  <c r="F148" i="14"/>
  <c r="O178" i="2"/>
  <c r="B162" i="14"/>
  <c r="H162" i="14"/>
  <c r="K192" i="2"/>
  <c r="E159" i="14"/>
  <c r="D160" i="14"/>
  <c r="J160" i="14"/>
  <c r="K160" i="14"/>
  <c r="M190" i="2"/>
  <c r="C161" i="14"/>
  <c r="I161" i="14"/>
  <c r="L191" i="2"/>
  <c r="B184" i="2"/>
  <c r="AU193" i="2"/>
  <c r="AG159" i="14"/>
  <c r="AH159" i="14"/>
  <c r="N160" i="14"/>
  <c r="O160" i="14"/>
  <c r="P160" i="14"/>
  <c r="Y160" i="14"/>
  <c r="Z160" i="14"/>
  <c r="AF160" i="14"/>
  <c r="AE160" i="14"/>
  <c r="L160" i="14"/>
  <c r="D183" i="2"/>
  <c r="AK183" i="2"/>
  <c r="S195" i="2"/>
  <c r="B172" i="15"/>
  <c r="E182" i="2"/>
  <c r="E169" i="15"/>
  <c r="H169" i="15"/>
  <c r="W173" i="2"/>
  <c r="F150" i="15"/>
  <c r="U193" i="2"/>
  <c r="D170" i="15"/>
  <c r="T194" i="2"/>
  <c r="C171" i="15"/>
  <c r="J168" i="15"/>
  <c r="I168" i="15"/>
  <c r="S168" i="15"/>
  <c r="G181" i="2"/>
  <c r="F149" i="14"/>
  <c r="O179" i="2"/>
  <c r="B163" i="14"/>
  <c r="H163" i="14"/>
  <c r="K193" i="2"/>
  <c r="C162" i="14"/>
  <c r="I162" i="14"/>
  <c r="L192" i="2"/>
  <c r="E160" i="14"/>
  <c r="D161" i="14"/>
  <c r="J161" i="14"/>
  <c r="K161" i="14"/>
  <c r="M191" i="2"/>
  <c r="B185" i="2"/>
  <c r="AU194" i="2"/>
  <c r="AG160" i="14"/>
  <c r="AH160" i="14"/>
  <c r="N161" i="14"/>
  <c r="O161" i="14"/>
  <c r="P161" i="14"/>
  <c r="Y161" i="14"/>
  <c r="Z161" i="14"/>
  <c r="AF161" i="14"/>
  <c r="AE161" i="14"/>
  <c r="L161" i="14"/>
  <c r="E170" i="15"/>
  <c r="H170" i="15"/>
  <c r="D184" i="2"/>
  <c r="AK184" i="2"/>
  <c r="W174" i="2"/>
  <c r="F151" i="15"/>
  <c r="S196" i="2"/>
  <c r="B173" i="15"/>
  <c r="J169" i="15"/>
  <c r="I169" i="15"/>
  <c r="S169" i="15"/>
  <c r="U194" i="2"/>
  <c r="D171" i="15"/>
  <c r="E183" i="2"/>
  <c r="G182" i="2"/>
  <c r="T195" i="2"/>
  <c r="C172" i="15"/>
  <c r="F150" i="14"/>
  <c r="O180" i="2"/>
  <c r="B164" i="14"/>
  <c r="H164" i="14"/>
  <c r="K194" i="2"/>
  <c r="E161" i="14"/>
  <c r="C163" i="14"/>
  <c r="I163" i="14"/>
  <c r="L193" i="2"/>
  <c r="D162" i="14"/>
  <c r="J162" i="14"/>
  <c r="K162" i="14"/>
  <c r="M192" i="2"/>
  <c r="B186" i="2"/>
  <c r="AU195" i="2"/>
  <c r="AG161" i="14"/>
  <c r="AH161" i="14"/>
  <c r="N162" i="14"/>
  <c r="O162" i="14"/>
  <c r="P162" i="14"/>
  <c r="Y162" i="14"/>
  <c r="Z162" i="14"/>
  <c r="AF162" i="14"/>
  <c r="AE162" i="14"/>
  <c r="L162" i="14"/>
  <c r="U195" i="2"/>
  <c r="D172" i="15"/>
  <c r="D185" i="2"/>
  <c r="AK185" i="2"/>
  <c r="J170" i="15"/>
  <c r="I170" i="15"/>
  <c r="S170" i="15"/>
  <c r="S197" i="2"/>
  <c r="B174" i="15"/>
  <c r="T196" i="2"/>
  <c r="C173" i="15"/>
  <c r="W175" i="2"/>
  <c r="F152" i="15"/>
  <c r="E171" i="15"/>
  <c r="H171" i="15"/>
  <c r="E184" i="2"/>
  <c r="G183" i="2"/>
  <c r="F151" i="14"/>
  <c r="O181" i="2"/>
  <c r="D163" i="14"/>
  <c r="J163" i="14"/>
  <c r="K163" i="14"/>
  <c r="M193" i="2"/>
  <c r="B165" i="14"/>
  <c r="H165" i="14"/>
  <c r="K195" i="2"/>
  <c r="E162" i="14"/>
  <c r="C164" i="14"/>
  <c r="I164" i="14"/>
  <c r="L194" i="2"/>
  <c r="B187" i="2"/>
  <c r="AU196" i="2"/>
  <c r="AG162" i="14"/>
  <c r="AH162" i="14"/>
  <c r="N163" i="14"/>
  <c r="O163" i="14"/>
  <c r="P163" i="14"/>
  <c r="Y163" i="14"/>
  <c r="Z163" i="14"/>
  <c r="AF163" i="14"/>
  <c r="AE163" i="14"/>
  <c r="L163" i="14"/>
  <c r="D186" i="2"/>
  <c r="AK186" i="2"/>
  <c r="U196" i="2"/>
  <c r="D173" i="15"/>
  <c r="T197" i="2"/>
  <c r="C174" i="15"/>
  <c r="G184" i="2"/>
  <c r="J171" i="15"/>
  <c r="I171" i="15"/>
  <c r="S171" i="15"/>
  <c r="S198" i="2"/>
  <c r="B175" i="15"/>
  <c r="W176" i="2"/>
  <c r="F153" i="15"/>
  <c r="E185" i="2"/>
  <c r="E172" i="15"/>
  <c r="H172" i="15"/>
  <c r="F152" i="14"/>
  <c r="O182" i="2"/>
  <c r="C165" i="14"/>
  <c r="I165" i="14"/>
  <c r="L195" i="2"/>
  <c r="B166" i="14"/>
  <c r="H166" i="14"/>
  <c r="K196" i="2"/>
  <c r="D164" i="14"/>
  <c r="J164" i="14"/>
  <c r="K164" i="14"/>
  <c r="M194" i="2"/>
  <c r="E163" i="14"/>
  <c r="B188" i="2"/>
  <c r="AU197" i="2"/>
  <c r="AG163" i="14"/>
  <c r="AH163" i="14"/>
  <c r="N164" i="14"/>
  <c r="O164" i="14"/>
  <c r="P164" i="14"/>
  <c r="Y164" i="14"/>
  <c r="Z164" i="14"/>
  <c r="AF164" i="14"/>
  <c r="AE164" i="14"/>
  <c r="L164" i="14"/>
  <c r="U197" i="2"/>
  <c r="D174" i="15"/>
  <c r="S199" i="2"/>
  <c r="B176" i="15"/>
  <c r="E173" i="15"/>
  <c r="H173" i="15"/>
  <c r="G185" i="2"/>
  <c r="W177" i="2"/>
  <c r="F154" i="15"/>
  <c r="E186" i="2"/>
  <c r="T198" i="2"/>
  <c r="C175" i="15"/>
  <c r="D187" i="2"/>
  <c r="AK187" i="2"/>
  <c r="I172" i="15"/>
  <c r="S172" i="15"/>
  <c r="J172" i="15"/>
  <c r="O183" i="2"/>
  <c r="F153" i="14"/>
  <c r="B167" i="14"/>
  <c r="H167" i="14"/>
  <c r="K197" i="2"/>
  <c r="E164" i="14"/>
  <c r="C166" i="14"/>
  <c r="I166" i="14"/>
  <c r="L196" i="2"/>
  <c r="D165" i="14"/>
  <c r="J165" i="14"/>
  <c r="K165" i="14"/>
  <c r="M195" i="2"/>
  <c r="B189" i="2"/>
  <c r="AU198" i="2"/>
  <c r="AG164" i="14"/>
  <c r="AH164" i="14"/>
  <c r="N165" i="14"/>
  <c r="O165" i="14"/>
  <c r="P165" i="14"/>
  <c r="Y165" i="14"/>
  <c r="Z165" i="14"/>
  <c r="AF165" i="14"/>
  <c r="AE165" i="14"/>
  <c r="L165" i="14"/>
  <c r="W178" i="2"/>
  <c r="F155" i="15"/>
  <c r="D188" i="2"/>
  <c r="AK188" i="2"/>
  <c r="T199" i="2"/>
  <c r="C176" i="15"/>
  <c r="AL195" i="2"/>
  <c r="AL192" i="2"/>
  <c r="AL189" i="2"/>
  <c r="AL199" i="2"/>
  <c r="AL200" i="2"/>
  <c r="AL193" i="2"/>
  <c r="AL196" i="2"/>
  <c r="AL197" i="2"/>
  <c r="C190" i="2"/>
  <c r="AL190" i="2"/>
  <c r="AL191" i="2"/>
  <c r="AL198" i="2"/>
  <c r="AL194" i="2"/>
  <c r="S200" i="2"/>
  <c r="B177" i="15"/>
  <c r="U198" i="2"/>
  <c r="D175" i="15"/>
  <c r="J173" i="15"/>
  <c r="I173" i="15"/>
  <c r="S173" i="15"/>
  <c r="G186" i="2"/>
  <c r="E187" i="2"/>
  <c r="E174" i="15"/>
  <c r="H174" i="15"/>
  <c r="F154" i="14"/>
  <c r="O184" i="2"/>
  <c r="D166" i="14"/>
  <c r="J166" i="14"/>
  <c r="K166" i="14"/>
  <c r="M196" i="2"/>
  <c r="B168" i="14"/>
  <c r="H168" i="14"/>
  <c r="K198" i="2"/>
  <c r="E165" i="14"/>
  <c r="C167" i="14"/>
  <c r="I167" i="14"/>
  <c r="L197" i="2"/>
  <c r="B190" i="2"/>
  <c r="X190" i="2"/>
  <c r="P190" i="2"/>
  <c r="AU199" i="2"/>
  <c r="AG165" i="14"/>
  <c r="AH165" i="14"/>
  <c r="N166" i="14"/>
  <c r="O166" i="14"/>
  <c r="P166" i="14"/>
  <c r="Y166" i="14"/>
  <c r="Z166" i="14"/>
  <c r="AF166" i="14"/>
  <c r="AE166" i="14"/>
  <c r="L166" i="14"/>
  <c r="D189" i="2"/>
  <c r="AK189" i="2"/>
  <c r="AP198" i="2"/>
  <c r="AQ198" i="2"/>
  <c r="AP191" i="2"/>
  <c r="AQ191" i="2"/>
  <c r="AP189" i="2"/>
  <c r="AQ189" i="2"/>
  <c r="AP190" i="2"/>
  <c r="AQ190" i="2"/>
  <c r="AP192" i="2"/>
  <c r="AQ192" i="2"/>
  <c r="AP195" i="2"/>
  <c r="AQ195" i="2"/>
  <c r="W179" i="2"/>
  <c r="F156" i="15"/>
  <c r="S201" i="2"/>
  <c r="B178" i="15"/>
  <c r="E175" i="15"/>
  <c r="H175" i="15"/>
  <c r="AP197" i="2"/>
  <c r="AQ197" i="2"/>
  <c r="J174" i="15"/>
  <c r="I174" i="15"/>
  <c r="S174" i="15"/>
  <c r="T200" i="2"/>
  <c r="C177" i="15"/>
  <c r="G187" i="2"/>
  <c r="AP196" i="2"/>
  <c r="AQ196" i="2"/>
  <c r="AP194" i="2"/>
  <c r="AQ194" i="2"/>
  <c r="AP200" i="2"/>
  <c r="AQ200" i="2"/>
  <c r="AP199" i="2"/>
  <c r="AQ199" i="2"/>
  <c r="E188" i="2"/>
  <c r="AP193" i="2"/>
  <c r="AQ193" i="2"/>
  <c r="U199" i="2"/>
  <c r="D176" i="15"/>
  <c r="O185" i="2"/>
  <c r="F155" i="14"/>
  <c r="B169" i="14"/>
  <c r="H169" i="14"/>
  <c r="K199" i="2"/>
  <c r="C168" i="14"/>
  <c r="I168" i="14"/>
  <c r="L198" i="2"/>
  <c r="D167" i="14"/>
  <c r="J167" i="14"/>
  <c r="K167" i="14"/>
  <c r="M197" i="2"/>
  <c r="E166" i="14"/>
  <c r="B191" i="2"/>
  <c r="AU200" i="2"/>
  <c r="AG166" i="14"/>
  <c r="AH166" i="14"/>
  <c r="N167" i="14"/>
  <c r="O167" i="14"/>
  <c r="P167" i="14"/>
  <c r="Y167" i="14"/>
  <c r="Z167" i="14"/>
  <c r="AF167" i="14"/>
  <c r="AE167" i="14"/>
  <c r="L167" i="14"/>
  <c r="S202" i="2"/>
  <c r="B179" i="15"/>
  <c r="J175" i="15"/>
  <c r="I175" i="15"/>
  <c r="S175" i="15"/>
  <c r="T201" i="2"/>
  <c r="C178" i="15"/>
  <c r="G188" i="2"/>
  <c r="W180" i="2"/>
  <c r="F157" i="15"/>
  <c r="E176" i="15"/>
  <c r="H176" i="15"/>
  <c r="D190" i="2"/>
  <c r="AK190" i="2"/>
  <c r="U200" i="2"/>
  <c r="D177" i="15"/>
  <c r="E189" i="2"/>
  <c r="F156" i="14"/>
  <c r="O186" i="2"/>
  <c r="E167" i="14"/>
  <c r="B170" i="14"/>
  <c r="H170" i="14"/>
  <c r="K200" i="2"/>
  <c r="D168" i="14"/>
  <c r="J168" i="14"/>
  <c r="K168" i="14"/>
  <c r="M198" i="2"/>
  <c r="C169" i="14"/>
  <c r="I169" i="14"/>
  <c r="L199" i="2"/>
  <c r="B192" i="2"/>
  <c r="AU201" i="2"/>
  <c r="AG167" i="14"/>
  <c r="AH167" i="14"/>
  <c r="N168" i="14"/>
  <c r="O168" i="14"/>
  <c r="P168" i="14"/>
  <c r="Y168" i="14"/>
  <c r="Z168" i="14"/>
  <c r="AF168" i="14"/>
  <c r="AE168" i="14"/>
  <c r="L168" i="14"/>
  <c r="S203" i="2"/>
  <c r="B180" i="15"/>
  <c r="W181" i="2"/>
  <c r="F158" i="15"/>
  <c r="T202" i="2"/>
  <c r="C179" i="15"/>
  <c r="U201" i="2"/>
  <c r="D178" i="15"/>
  <c r="E177" i="15"/>
  <c r="H177" i="15"/>
  <c r="E190" i="2"/>
  <c r="H190" i="2"/>
  <c r="G189" i="2"/>
  <c r="D191" i="2"/>
  <c r="AK191" i="2"/>
  <c r="J176" i="15"/>
  <c r="I176" i="15"/>
  <c r="S176" i="15"/>
  <c r="O187" i="2"/>
  <c r="F157" i="14"/>
  <c r="B171" i="14"/>
  <c r="H171" i="14"/>
  <c r="K201" i="2"/>
  <c r="D169" i="14"/>
  <c r="J169" i="14"/>
  <c r="K169" i="14"/>
  <c r="M199" i="2"/>
  <c r="E168" i="14"/>
  <c r="C170" i="14"/>
  <c r="I170" i="14"/>
  <c r="L200" i="2"/>
  <c r="B193" i="2"/>
  <c r="AU202" i="2"/>
  <c r="AG168" i="14"/>
  <c r="AH168" i="14"/>
  <c r="N169" i="14"/>
  <c r="O169" i="14"/>
  <c r="P169" i="14"/>
  <c r="Y169" i="14"/>
  <c r="Z169" i="14"/>
  <c r="AF169" i="14"/>
  <c r="AE169" i="14"/>
  <c r="L169" i="14"/>
  <c r="G190" i="2"/>
  <c r="U202" i="2"/>
  <c r="D179" i="15"/>
  <c r="D192" i="2"/>
  <c r="AK192" i="2"/>
  <c r="S204" i="2"/>
  <c r="B181" i="15"/>
  <c r="J177" i="15"/>
  <c r="I177" i="15"/>
  <c r="S177" i="15"/>
  <c r="E191" i="2"/>
  <c r="W182" i="2"/>
  <c r="F159" i="15"/>
  <c r="T203" i="2"/>
  <c r="C180" i="15"/>
  <c r="E178" i="15"/>
  <c r="H178" i="15"/>
  <c r="F158" i="14"/>
  <c r="O188" i="2"/>
  <c r="C171" i="14"/>
  <c r="I171" i="14"/>
  <c r="L201" i="2"/>
  <c r="E169" i="14"/>
  <c r="B172" i="14"/>
  <c r="H172" i="14"/>
  <c r="K202" i="2"/>
  <c r="D170" i="14"/>
  <c r="J170" i="14"/>
  <c r="K170" i="14"/>
  <c r="M200" i="2"/>
  <c r="B194" i="2"/>
  <c r="AU203" i="2"/>
  <c r="AG169" i="14"/>
  <c r="AH169" i="14"/>
  <c r="N170" i="14"/>
  <c r="O170" i="14"/>
  <c r="P170" i="14"/>
  <c r="Y170" i="14"/>
  <c r="Z170" i="14"/>
  <c r="AF170" i="14"/>
  <c r="AE170" i="14"/>
  <c r="L170" i="14"/>
  <c r="G191" i="2"/>
  <c r="D193" i="2"/>
  <c r="AK193" i="2"/>
  <c r="T204" i="2"/>
  <c r="C181" i="15"/>
  <c r="S205" i="2"/>
  <c r="B182" i="15"/>
  <c r="E192" i="2"/>
  <c r="E179" i="15"/>
  <c r="H179" i="15"/>
  <c r="U203" i="2"/>
  <c r="D180" i="15"/>
  <c r="W183" i="2"/>
  <c r="F160" i="15"/>
  <c r="I178" i="15"/>
  <c r="S178" i="15"/>
  <c r="J178" i="15"/>
  <c r="F159" i="14"/>
  <c r="O189" i="2"/>
  <c r="B173" i="14"/>
  <c r="H173" i="14"/>
  <c r="K203" i="2"/>
  <c r="E170" i="14"/>
  <c r="C172" i="14"/>
  <c r="I172" i="14"/>
  <c r="L202" i="2"/>
  <c r="D171" i="14"/>
  <c r="J171" i="14"/>
  <c r="K171" i="14"/>
  <c r="M201" i="2"/>
  <c r="B195" i="2"/>
  <c r="AU204" i="2"/>
  <c r="AG170" i="14"/>
  <c r="AH170" i="14"/>
  <c r="N171" i="14"/>
  <c r="O171" i="14"/>
  <c r="P171" i="14"/>
  <c r="Y171" i="14"/>
  <c r="Z171" i="14"/>
  <c r="AF171" i="14"/>
  <c r="AE171" i="14"/>
  <c r="L171" i="14"/>
  <c r="U204" i="2"/>
  <c r="D181" i="15"/>
  <c r="W184" i="2"/>
  <c r="F161" i="15"/>
  <c r="D194" i="2"/>
  <c r="AK194" i="2"/>
  <c r="T205" i="2"/>
  <c r="C182" i="15"/>
  <c r="E180" i="15"/>
  <c r="H180" i="15"/>
  <c r="G192" i="2"/>
  <c r="S206" i="2"/>
  <c r="B183" i="15"/>
  <c r="E193" i="2"/>
  <c r="J179" i="15"/>
  <c r="I179" i="15"/>
  <c r="S179" i="15"/>
  <c r="O190" i="2"/>
  <c r="F160" i="14"/>
  <c r="C173" i="14"/>
  <c r="I173" i="14"/>
  <c r="L203" i="2"/>
  <c r="E171" i="14"/>
  <c r="D172" i="14"/>
  <c r="J172" i="14"/>
  <c r="K172" i="14"/>
  <c r="M202" i="2"/>
  <c r="B174" i="14"/>
  <c r="H174" i="14"/>
  <c r="K204" i="2"/>
  <c r="B196" i="2"/>
  <c r="AU205" i="2"/>
  <c r="AG171" i="14"/>
  <c r="AH171" i="14"/>
  <c r="N172" i="14"/>
  <c r="O172" i="14"/>
  <c r="P172" i="14"/>
  <c r="Y172" i="14"/>
  <c r="Z172" i="14"/>
  <c r="AF172" i="14"/>
  <c r="AE172" i="14"/>
  <c r="L172" i="14"/>
  <c r="E194" i="2"/>
  <c r="W185" i="2"/>
  <c r="F162" i="15"/>
  <c r="G193" i="2"/>
  <c r="S207" i="2"/>
  <c r="B184" i="15"/>
  <c r="D195" i="2"/>
  <c r="AK195" i="2"/>
  <c r="E181" i="15"/>
  <c r="H181" i="15"/>
  <c r="J180" i="15"/>
  <c r="I180" i="15"/>
  <c r="S180" i="15"/>
  <c r="T206" i="2"/>
  <c r="C183" i="15"/>
  <c r="U205" i="2"/>
  <c r="D182" i="15"/>
  <c r="F161" i="14"/>
  <c r="O191" i="2"/>
  <c r="C174" i="14"/>
  <c r="I174" i="14"/>
  <c r="L204" i="2"/>
  <c r="E172" i="14"/>
  <c r="B175" i="14"/>
  <c r="H175" i="14"/>
  <c r="K205" i="2"/>
  <c r="D173" i="14"/>
  <c r="J173" i="14"/>
  <c r="K173" i="14"/>
  <c r="M203" i="2"/>
  <c r="B197" i="2"/>
  <c r="AU206" i="2"/>
  <c r="AG172" i="14"/>
  <c r="AH172" i="14"/>
  <c r="N173" i="14"/>
  <c r="O173" i="14"/>
  <c r="P173" i="14"/>
  <c r="Y173" i="14"/>
  <c r="Z173" i="14"/>
  <c r="AF173" i="14"/>
  <c r="AE173" i="14"/>
  <c r="L173" i="14"/>
  <c r="D196" i="2"/>
  <c r="AK196" i="2"/>
  <c r="E182" i="15"/>
  <c r="H182" i="15"/>
  <c r="S208" i="2"/>
  <c r="B185" i="15"/>
  <c r="W186" i="2"/>
  <c r="F163" i="15"/>
  <c r="U206" i="2"/>
  <c r="D183" i="15"/>
  <c r="I181" i="15"/>
  <c r="S181" i="15"/>
  <c r="J181" i="15"/>
  <c r="T207" i="2"/>
  <c r="C184" i="15"/>
  <c r="E195" i="2"/>
  <c r="G194" i="2"/>
  <c r="F162" i="14"/>
  <c r="O192" i="2"/>
  <c r="C175" i="14"/>
  <c r="I175" i="14"/>
  <c r="L205" i="2"/>
  <c r="E173" i="14"/>
  <c r="B176" i="14"/>
  <c r="H176" i="14"/>
  <c r="K206" i="2"/>
  <c r="D174" i="14"/>
  <c r="J174" i="14"/>
  <c r="K174" i="14"/>
  <c r="M204" i="2"/>
  <c r="B198" i="2"/>
  <c r="AU207" i="2"/>
  <c r="AG173" i="14"/>
  <c r="AH173" i="14"/>
  <c r="N174" i="14"/>
  <c r="O174" i="14"/>
  <c r="P174" i="14"/>
  <c r="Y174" i="14"/>
  <c r="Z174" i="14"/>
  <c r="AF174" i="14"/>
  <c r="AE174" i="14"/>
  <c r="L174" i="14"/>
  <c r="G195" i="2"/>
  <c r="S209" i="2"/>
  <c r="B186" i="15"/>
  <c r="W187" i="2"/>
  <c r="F164" i="15"/>
  <c r="T208" i="2"/>
  <c r="C185" i="15"/>
  <c r="D197" i="2"/>
  <c r="AK197" i="2"/>
  <c r="E183" i="15"/>
  <c r="H183" i="15"/>
  <c r="U207" i="2"/>
  <c r="D184" i="15"/>
  <c r="E196" i="2"/>
  <c r="J182" i="15"/>
  <c r="I182" i="15"/>
  <c r="S182" i="15"/>
  <c r="F163" i="14"/>
  <c r="O193" i="2"/>
  <c r="C176" i="14"/>
  <c r="I176" i="14"/>
  <c r="L206" i="2"/>
  <c r="E174" i="14"/>
  <c r="D175" i="14"/>
  <c r="J175" i="14"/>
  <c r="K175" i="14"/>
  <c r="M205" i="2"/>
  <c r="B177" i="14"/>
  <c r="H177" i="14"/>
  <c r="K207" i="2"/>
  <c r="B199" i="2"/>
  <c r="AU208" i="2"/>
  <c r="AG174" i="14"/>
  <c r="AH174" i="14"/>
  <c r="N175" i="14"/>
  <c r="O175" i="14"/>
  <c r="P175" i="14"/>
  <c r="Y175" i="14"/>
  <c r="Z175" i="14"/>
  <c r="AF175" i="14"/>
  <c r="AE175" i="14"/>
  <c r="L175" i="14"/>
  <c r="T209" i="2"/>
  <c r="C186" i="15"/>
  <c r="G196" i="2"/>
  <c r="D198" i="2"/>
  <c r="AK198" i="2"/>
  <c r="S210" i="2"/>
  <c r="B187" i="15"/>
  <c r="E197" i="2"/>
  <c r="E184" i="15"/>
  <c r="H184" i="15"/>
  <c r="U208" i="2"/>
  <c r="D185" i="15"/>
  <c r="J183" i="15"/>
  <c r="I183" i="15"/>
  <c r="S183" i="15"/>
  <c r="W188" i="2"/>
  <c r="F165" i="15"/>
  <c r="F164" i="14"/>
  <c r="O194" i="2"/>
  <c r="B178" i="14"/>
  <c r="H178" i="14"/>
  <c r="K208" i="2"/>
  <c r="E175" i="14"/>
  <c r="C177" i="14"/>
  <c r="I177" i="14"/>
  <c r="L207" i="2"/>
  <c r="D176" i="14"/>
  <c r="J176" i="14"/>
  <c r="K176" i="14"/>
  <c r="M206" i="2"/>
  <c r="B200" i="2"/>
  <c r="AU209" i="2"/>
  <c r="AG175" i="14"/>
  <c r="AH175" i="14"/>
  <c r="N176" i="14"/>
  <c r="O176" i="14"/>
  <c r="P176" i="14"/>
  <c r="Y176" i="14"/>
  <c r="Z176" i="14"/>
  <c r="AF176" i="14"/>
  <c r="AE176" i="14"/>
  <c r="L176" i="14"/>
  <c r="E198" i="2"/>
  <c r="G197" i="2"/>
  <c r="I184" i="15"/>
  <c r="S184" i="15"/>
  <c r="J184" i="15"/>
  <c r="D199" i="2"/>
  <c r="AK199" i="2"/>
  <c r="T210" i="2"/>
  <c r="C187" i="15"/>
  <c r="S211" i="2"/>
  <c r="B188" i="15"/>
  <c r="W189" i="2"/>
  <c r="F166" i="15"/>
  <c r="E185" i="15"/>
  <c r="H185" i="15"/>
  <c r="U209" i="2"/>
  <c r="D186" i="15"/>
  <c r="F165" i="14"/>
  <c r="O195" i="2"/>
  <c r="D177" i="14"/>
  <c r="J177" i="14"/>
  <c r="K177" i="14"/>
  <c r="M207" i="2"/>
  <c r="B179" i="14"/>
  <c r="H179" i="14"/>
  <c r="K209" i="2"/>
  <c r="E176" i="14"/>
  <c r="C178" i="14"/>
  <c r="I178" i="14"/>
  <c r="L208" i="2"/>
  <c r="B201" i="2"/>
  <c r="AU210" i="2"/>
  <c r="AG176" i="14"/>
  <c r="AH176" i="14"/>
  <c r="N177" i="14"/>
  <c r="O177" i="14"/>
  <c r="P177" i="14"/>
  <c r="Y177" i="14"/>
  <c r="Z177" i="14"/>
  <c r="AF177" i="14"/>
  <c r="AE177" i="14"/>
  <c r="L177" i="14"/>
  <c r="E186" i="15"/>
  <c r="H186" i="15"/>
  <c r="AL202" i="2"/>
  <c r="AL208" i="2"/>
  <c r="AL205" i="2"/>
  <c r="C202" i="2"/>
  <c r="AL210" i="2"/>
  <c r="AL207" i="2"/>
  <c r="AL204" i="2"/>
  <c r="AL203" i="2"/>
  <c r="AL206" i="2"/>
  <c r="AL211" i="2"/>
  <c r="AL212" i="2"/>
  <c r="AL209" i="2"/>
  <c r="AL201" i="2"/>
  <c r="T211" i="2"/>
  <c r="C188" i="15"/>
  <c r="S212" i="2"/>
  <c r="B189" i="15"/>
  <c r="W190" i="2"/>
  <c r="F167" i="15"/>
  <c r="U210" i="2"/>
  <c r="D187" i="15"/>
  <c r="I185" i="15"/>
  <c r="S185" i="15"/>
  <c r="J185" i="15"/>
  <c r="E199" i="2"/>
  <c r="D200" i="2"/>
  <c r="AK200" i="2"/>
  <c r="G198" i="2"/>
  <c r="F166" i="14"/>
  <c r="O196" i="2"/>
  <c r="B180" i="14"/>
  <c r="H180" i="14"/>
  <c r="K210" i="2"/>
  <c r="C179" i="14"/>
  <c r="I179" i="14"/>
  <c r="L209" i="2"/>
  <c r="D178" i="14"/>
  <c r="J178" i="14"/>
  <c r="K178" i="14"/>
  <c r="M208" i="2"/>
  <c r="E177" i="14"/>
  <c r="B202" i="2"/>
  <c r="X202" i="2"/>
  <c r="P202" i="2"/>
  <c r="AU211" i="2"/>
  <c r="AG177" i="14"/>
  <c r="AH177" i="14"/>
  <c r="N178" i="14"/>
  <c r="O178" i="14"/>
  <c r="P178" i="14"/>
  <c r="Y178" i="14"/>
  <c r="Z178" i="14"/>
  <c r="AF178" i="14"/>
  <c r="AE178" i="14"/>
  <c r="L178" i="14"/>
  <c r="G199" i="2"/>
  <c r="AP209" i="2"/>
  <c r="AQ209" i="2"/>
  <c r="AP212" i="2"/>
  <c r="AQ212" i="2"/>
  <c r="AP211" i="2"/>
  <c r="AQ211" i="2"/>
  <c r="AP202" i="2"/>
  <c r="AQ202" i="2"/>
  <c r="I186" i="15"/>
  <c r="S186" i="15"/>
  <c r="J186" i="15"/>
  <c r="S213" i="2"/>
  <c r="B190" i="15"/>
  <c r="AP204" i="2"/>
  <c r="AQ204" i="2"/>
  <c r="AP208" i="2"/>
  <c r="AQ208" i="2"/>
  <c r="E200" i="2"/>
  <c r="E187" i="15"/>
  <c r="H187" i="15"/>
  <c r="U211" i="2"/>
  <c r="D188" i="15"/>
  <c r="AP207" i="2"/>
  <c r="AQ207" i="2"/>
  <c r="AP205" i="2"/>
  <c r="AQ205" i="2"/>
  <c r="AP206" i="2"/>
  <c r="AQ206" i="2"/>
  <c r="AP203" i="2"/>
  <c r="AQ203" i="2"/>
  <c r="T212" i="2"/>
  <c r="C189" i="15"/>
  <c r="D201" i="2"/>
  <c r="AK201" i="2"/>
  <c r="W191" i="2"/>
  <c r="F168" i="15"/>
  <c r="AP201" i="2"/>
  <c r="AQ201" i="2"/>
  <c r="AP210" i="2"/>
  <c r="AQ210" i="2"/>
  <c r="O197" i="2"/>
  <c r="F167" i="14"/>
  <c r="D179" i="14"/>
  <c r="J179" i="14"/>
  <c r="K179" i="14"/>
  <c r="M209" i="2"/>
  <c r="E178" i="14"/>
  <c r="B181" i="14"/>
  <c r="H181" i="14"/>
  <c r="K211" i="2"/>
  <c r="C180" i="14"/>
  <c r="I180" i="14"/>
  <c r="L210" i="2"/>
  <c r="B203" i="2"/>
  <c r="AU212" i="2"/>
  <c r="AG178" i="14"/>
  <c r="AH178" i="14"/>
  <c r="N179" i="14"/>
  <c r="O179" i="14"/>
  <c r="P179" i="14"/>
  <c r="Y179" i="14"/>
  <c r="Z179" i="14"/>
  <c r="AF179" i="14"/>
  <c r="AE179" i="14"/>
  <c r="L179" i="14"/>
  <c r="D202" i="2"/>
  <c r="AK202" i="2"/>
  <c r="U212" i="2"/>
  <c r="D189" i="15"/>
  <c r="G200" i="2"/>
  <c r="W192" i="2"/>
  <c r="F169" i="15"/>
  <c r="S214" i="2"/>
  <c r="B191" i="15"/>
  <c r="E188" i="15"/>
  <c r="H188" i="15"/>
  <c r="J187" i="15"/>
  <c r="I187" i="15"/>
  <c r="S187" i="15"/>
  <c r="T213" i="2"/>
  <c r="C190" i="15"/>
  <c r="E201" i="2"/>
  <c r="O198" i="2"/>
  <c r="F168" i="14"/>
  <c r="C181" i="14"/>
  <c r="I181" i="14"/>
  <c r="L211" i="2"/>
  <c r="D180" i="14"/>
  <c r="J180" i="14"/>
  <c r="K180" i="14"/>
  <c r="M210" i="2"/>
  <c r="E179" i="14"/>
  <c r="B182" i="14"/>
  <c r="H182" i="14"/>
  <c r="K212" i="2"/>
  <c r="B204" i="2"/>
  <c r="AU213" i="2"/>
  <c r="AG179" i="14"/>
  <c r="AH179" i="14"/>
  <c r="N180" i="14"/>
  <c r="O180" i="14"/>
  <c r="P180" i="14"/>
  <c r="Y180" i="14"/>
  <c r="Z180" i="14"/>
  <c r="AF180" i="14"/>
  <c r="AE180" i="14"/>
  <c r="L180" i="14"/>
  <c r="J188" i="15"/>
  <c r="I188" i="15"/>
  <c r="S188" i="15"/>
  <c r="D203" i="2"/>
  <c r="AK203" i="2"/>
  <c r="T214" i="2"/>
  <c r="C191" i="15"/>
  <c r="U213" i="2"/>
  <c r="D190" i="15"/>
  <c r="W193" i="2"/>
  <c r="F170" i="15"/>
  <c r="E189" i="15"/>
  <c r="H189" i="15"/>
  <c r="G201" i="2"/>
  <c r="S215" i="2"/>
  <c r="B192" i="15"/>
  <c r="E202" i="2"/>
  <c r="O199" i="2"/>
  <c r="F169" i="14"/>
  <c r="C182" i="14"/>
  <c r="I182" i="14"/>
  <c r="L212" i="2"/>
  <c r="E180" i="14"/>
  <c r="B183" i="14"/>
  <c r="H183" i="14"/>
  <c r="K213" i="2"/>
  <c r="D181" i="14"/>
  <c r="J181" i="14"/>
  <c r="K181" i="14"/>
  <c r="M211" i="2"/>
  <c r="B205" i="2"/>
  <c r="AU214" i="2"/>
  <c r="AG180" i="14"/>
  <c r="AH180" i="14"/>
  <c r="N181" i="14"/>
  <c r="O181" i="14"/>
  <c r="P181" i="14"/>
  <c r="Y181" i="14"/>
  <c r="Z181" i="14"/>
  <c r="AF181" i="14"/>
  <c r="AE181" i="14"/>
  <c r="L181" i="14"/>
  <c r="I189" i="15"/>
  <c r="S189" i="15"/>
  <c r="J189" i="15"/>
  <c r="S216" i="2"/>
  <c r="B193" i="15"/>
  <c r="W194" i="2"/>
  <c r="F171" i="15"/>
  <c r="T215" i="2"/>
  <c r="C192" i="15"/>
  <c r="E203" i="2"/>
  <c r="G202" i="2"/>
  <c r="E190" i="15"/>
  <c r="H190" i="15"/>
  <c r="U214" i="2"/>
  <c r="D191" i="15"/>
  <c r="D204" i="2"/>
  <c r="AK204" i="2"/>
  <c r="F170" i="14"/>
  <c r="O200" i="2"/>
  <c r="B184" i="14"/>
  <c r="H184" i="14"/>
  <c r="K214" i="2"/>
  <c r="E181" i="14"/>
  <c r="D182" i="14"/>
  <c r="J182" i="14"/>
  <c r="K182" i="14"/>
  <c r="M212" i="2"/>
  <c r="C183" i="14"/>
  <c r="I183" i="14"/>
  <c r="L213" i="2"/>
  <c r="B206" i="2"/>
  <c r="AU215" i="2"/>
  <c r="AG181" i="14"/>
  <c r="AH181" i="14"/>
  <c r="N182" i="14"/>
  <c r="O182" i="14"/>
  <c r="P182" i="14"/>
  <c r="Y182" i="14"/>
  <c r="Z182" i="14"/>
  <c r="AF182" i="14"/>
  <c r="AE182" i="14"/>
  <c r="L182" i="14"/>
  <c r="U215" i="2"/>
  <c r="D192" i="15"/>
  <c r="W195" i="2"/>
  <c r="F172" i="15"/>
  <c r="E204" i="2"/>
  <c r="S217" i="2"/>
  <c r="B194" i="15"/>
  <c r="G203" i="2"/>
  <c r="T216" i="2"/>
  <c r="C193" i="15"/>
  <c r="E191" i="15"/>
  <c r="H191" i="15"/>
  <c r="J190" i="15"/>
  <c r="I190" i="15"/>
  <c r="S190" i="15"/>
  <c r="D205" i="2"/>
  <c r="AK205" i="2"/>
  <c r="F171" i="14"/>
  <c r="O201" i="2"/>
  <c r="B185" i="14"/>
  <c r="H185" i="14"/>
  <c r="K215" i="2"/>
  <c r="C184" i="14"/>
  <c r="I184" i="14"/>
  <c r="L214" i="2"/>
  <c r="E182" i="14"/>
  <c r="D183" i="14"/>
  <c r="J183" i="14"/>
  <c r="K183" i="14"/>
  <c r="M213" i="2"/>
  <c r="B207" i="2"/>
  <c r="AU216" i="2"/>
  <c r="AG182" i="14"/>
  <c r="AH182" i="14"/>
  <c r="N183" i="14"/>
  <c r="O183" i="14"/>
  <c r="P183" i="14"/>
  <c r="Y183" i="14"/>
  <c r="Z183" i="14"/>
  <c r="AF183" i="14"/>
  <c r="AE183" i="14"/>
  <c r="L183" i="14"/>
  <c r="E205" i="2"/>
  <c r="S218" i="2"/>
  <c r="B195" i="15"/>
  <c r="U216" i="2"/>
  <c r="D193" i="15"/>
  <c r="T217" i="2"/>
  <c r="C194" i="15"/>
  <c r="G204" i="2"/>
  <c r="W196" i="2"/>
  <c r="F173" i="15"/>
  <c r="J191" i="15"/>
  <c r="I191" i="15"/>
  <c r="S191" i="15"/>
  <c r="D206" i="2"/>
  <c r="AK206" i="2"/>
  <c r="E192" i="15"/>
  <c r="H192" i="15"/>
  <c r="O202" i="2"/>
  <c r="F172" i="14"/>
  <c r="B186" i="14"/>
  <c r="H186" i="14"/>
  <c r="K216" i="2"/>
  <c r="E183" i="14"/>
  <c r="C185" i="14"/>
  <c r="I185" i="14"/>
  <c r="L215" i="2"/>
  <c r="D184" i="14"/>
  <c r="J184" i="14"/>
  <c r="K184" i="14"/>
  <c r="M214" i="2"/>
  <c r="B208" i="2"/>
  <c r="AU217" i="2"/>
  <c r="AG183" i="14"/>
  <c r="AH183" i="14"/>
  <c r="N184" i="14"/>
  <c r="O184" i="14"/>
  <c r="P184" i="14"/>
  <c r="Y184" i="14"/>
  <c r="Z184" i="14"/>
  <c r="AF184" i="14"/>
  <c r="AE184" i="14"/>
  <c r="L184" i="14"/>
  <c r="E193" i="15"/>
  <c r="H193" i="15"/>
  <c r="T218" i="2"/>
  <c r="C195" i="15"/>
  <c r="U217" i="2"/>
  <c r="D194" i="15"/>
  <c r="S219" i="2"/>
  <c r="B196" i="15"/>
  <c r="E206" i="2"/>
  <c r="D207" i="2"/>
  <c r="AK207" i="2"/>
  <c r="J192" i="15"/>
  <c r="I192" i="15"/>
  <c r="S192" i="15"/>
  <c r="W197" i="2"/>
  <c r="F174" i="15"/>
  <c r="G205" i="2"/>
  <c r="F173" i="14"/>
  <c r="O203" i="2"/>
  <c r="B187" i="14"/>
  <c r="H187" i="14"/>
  <c r="K217" i="2"/>
  <c r="C186" i="14"/>
  <c r="I186" i="14"/>
  <c r="L216" i="2"/>
  <c r="E184" i="14"/>
  <c r="D185" i="14"/>
  <c r="J185" i="14"/>
  <c r="K185" i="14"/>
  <c r="M215" i="2"/>
  <c r="B209" i="2"/>
  <c r="AU218" i="2"/>
  <c r="AG184" i="14"/>
  <c r="AH184" i="14"/>
  <c r="N185" i="14"/>
  <c r="O185" i="14"/>
  <c r="P185" i="14"/>
  <c r="Y185" i="14"/>
  <c r="Z185" i="14"/>
  <c r="AF185" i="14"/>
  <c r="AE185" i="14"/>
  <c r="L185" i="14"/>
  <c r="T219" i="2"/>
  <c r="C196" i="15"/>
  <c r="W198" i="2"/>
  <c r="F175" i="15"/>
  <c r="G206" i="2"/>
  <c r="I193" i="15"/>
  <c r="S193" i="15"/>
  <c r="J193" i="15"/>
  <c r="E194" i="15"/>
  <c r="H194" i="15"/>
  <c r="S220" i="2"/>
  <c r="B197" i="15"/>
  <c r="D208" i="2"/>
  <c r="AK208" i="2"/>
  <c r="U218" i="2"/>
  <c r="D195" i="15"/>
  <c r="E207" i="2"/>
  <c r="O204" i="2"/>
  <c r="F174" i="14"/>
  <c r="C187" i="14"/>
  <c r="I187" i="14"/>
  <c r="L217" i="2"/>
  <c r="B188" i="14"/>
  <c r="H188" i="14"/>
  <c r="K218" i="2"/>
  <c r="D186" i="14"/>
  <c r="J186" i="14"/>
  <c r="K186" i="14"/>
  <c r="M216" i="2"/>
  <c r="E185" i="14"/>
  <c r="B210" i="2"/>
  <c r="AU219" i="2"/>
  <c r="AG185" i="14"/>
  <c r="AH185" i="14"/>
  <c r="N186" i="14"/>
  <c r="O186" i="14"/>
  <c r="P186" i="14"/>
  <c r="Y186" i="14"/>
  <c r="Z186" i="14"/>
  <c r="AF186" i="14"/>
  <c r="AE186" i="14"/>
  <c r="L186" i="14"/>
  <c r="J194" i="15"/>
  <c r="I194" i="15"/>
  <c r="S194" i="15"/>
  <c r="W199" i="2"/>
  <c r="F176" i="15"/>
  <c r="E195" i="15"/>
  <c r="H195" i="15"/>
  <c r="G207" i="2"/>
  <c r="S221" i="2"/>
  <c r="B198" i="15"/>
  <c r="T220" i="2"/>
  <c r="C197" i="15"/>
  <c r="D209" i="2"/>
  <c r="AK209" i="2"/>
  <c r="E208" i="2"/>
  <c r="U219" i="2"/>
  <c r="D196" i="15"/>
  <c r="O205" i="2"/>
  <c r="F175" i="14"/>
  <c r="E186" i="14"/>
  <c r="B189" i="14"/>
  <c r="H189" i="14"/>
  <c r="K219" i="2"/>
  <c r="C188" i="14"/>
  <c r="I188" i="14"/>
  <c r="L218" i="2"/>
  <c r="D187" i="14"/>
  <c r="J187" i="14"/>
  <c r="K187" i="14"/>
  <c r="M217" i="2"/>
  <c r="B211" i="2"/>
  <c r="AU220" i="2"/>
  <c r="AG186" i="14"/>
  <c r="AH186" i="14"/>
  <c r="N187" i="14"/>
  <c r="O187" i="14"/>
  <c r="P187" i="14"/>
  <c r="Y187" i="14"/>
  <c r="Z187" i="14"/>
  <c r="AF187" i="14"/>
  <c r="AE187" i="14"/>
  <c r="L187" i="14"/>
  <c r="E209" i="2"/>
  <c r="E196" i="15"/>
  <c r="H196" i="15"/>
  <c r="D210" i="2"/>
  <c r="AK210" i="2"/>
  <c r="W200" i="2"/>
  <c r="F177" i="15"/>
  <c r="G208" i="2"/>
  <c r="J195" i="15"/>
  <c r="I195" i="15"/>
  <c r="S195" i="15"/>
  <c r="U220" i="2"/>
  <c r="D197" i="15"/>
  <c r="S222" i="2"/>
  <c r="B199" i="15"/>
  <c r="T221" i="2"/>
  <c r="C198" i="15"/>
  <c r="F176" i="14"/>
  <c r="O206" i="2"/>
  <c r="E187" i="14"/>
  <c r="D188" i="14"/>
  <c r="J188" i="14"/>
  <c r="K188" i="14"/>
  <c r="M218" i="2"/>
  <c r="C189" i="14"/>
  <c r="I189" i="14"/>
  <c r="L219" i="2"/>
  <c r="B190" i="14"/>
  <c r="H190" i="14"/>
  <c r="K220" i="2"/>
  <c r="B212" i="2"/>
  <c r="AU221" i="2"/>
  <c r="AG187" i="14"/>
  <c r="AH187" i="14"/>
  <c r="N188" i="14"/>
  <c r="O188" i="14"/>
  <c r="P188" i="14"/>
  <c r="Y188" i="14"/>
  <c r="Z188" i="14"/>
  <c r="AF188" i="14"/>
  <c r="AE188" i="14"/>
  <c r="L188" i="14"/>
  <c r="E210" i="2"/>
  <c r="E197" i="15"/>
  <c r="H197" i="15"/>
  <c r="D211" i="2"/>
  <c r="AK211" i="2"/>
  <c r="U221" i="2"/>
  <c r="D198" i="15"/>
  <c r="W201" i="2"/>
  <c r="F178" i="15"/>
  <c r="I196" i="15"/>
  <c r="S196" i="15"/>
  <c r="J196" i="15"/>
  <c r="S223" i="2"/>
  <c r="B200" i="15"/>
  <c r="T222" i="2"/>
  <c r="C199" i="15"/>
  <c r="G209" i="2"/>
  <c r="O207" i="2"/>
  <c r="F177" i="14"/>
  <c r="C190" i="14"/>
  <c r="I190" i="14"/>
  <c r="L220" i="2"/>
  <c r="B191" i="14"/>
  <c r="H191" i="14"/>
  <c r="K221" i="2"/>
  <c r="E188" i="14"/>
  <c r="D189" i="14"/>
  <c r="J189" i="14"/>
  <c r="K189" i="14"/>
  <c r="M219" i="2"/>
  <c r="B213" i="2"/>
  <c r="AU222" i="2"/>
  <c r="AG188" i="14"/>
  <c r="AH188" i="14"/>
  <c r="N189" i="14"/>
  <c r="O189" i="14"/>
  <c r="P189" i="14"/>
  <c r="Y189" i="14"/>
  <c r="Z189" i="14"/>
  <c r="AF189" i="14"/>
  <c r="AE189" i="14"/>
  <c r="L189" i="14"/>
  <c r="W202" i="2"/>
  <c r="F179" i="15"/>
  <c r="AL217" i="2"/>
  <c r="AL220" i="2"/>
  <c r="AL214" i="2"/>
  <c r="AL221" i="2"/>
  <c r="AL222" i="2"/>
  <c r="AL213" i="2"/>
  <c r="AL218" i="2"/>
  <c r="C214" i="2"/>
  <c r="AL215" i="2"/>
  <c r="AL219" i="2"/>
  <c r="AL216" i="2"/>
  <c r="AL223" i="2"/>
  <c r="AL224" i="2"/>
  <c r="U222" i="2"/>
  <c r="D199" i="15"/>
  <c r="S224" i="2"/>
  <c r="B201" i="15"/>
  <c r="E211" i="2"/>
  <c r="D212" i="2"/>
  <c r="AK212" i="2"/>
  <c r="G210" i="2"/>
  <c r="T223" i="2"/>
  <c r="C200" i="15"/>
  <c r="I197" i="15"/>
  <c r="S197" i="15"/>
  <c r="J197" i="15"/>
  <c r="E198" i="15"/>
  <c r="H198" i="15"/>
  <c r="F178" i="14"/>
  <c r="O208" i="2"/>
  <c r="C191" i="14"/>
  <c r="I191" i="14"/>
  <c r="L221" i="2"/>
  <c r="B192" i="14"/>
  <c r="H192" i="14"/>
  <c r="K222" i="2"/>
  <c r="E189" i="14"/>
  <c r="D190" i="14"/>
  <c r="J190" i="14"/>
  <c r="K190" i="14"/>
  <c r="M220" i="2"/>
  <c r="B214" i="2"/>
  <c r="X214" i="2"/>
  <c r="P214" i="2"/>
  <c r="AU223" i="2"/>
  <c r="AG189" i="14"/>
  <c r="AH189" i="14"/>
  <c r="N190" i="14"/>
  <c r="O190" i="14"/>
  <c r="P190" i="14"/>
  <c r="Y190" i="14"/>
  <c r="Z190" i="14"/>
  <c r="AF190" i="14"/>
  <c r="AE190" i="14"/>
  <c r="L190" i="14"/>
  <c r="AP221" i="2"/>
  <c r="AQ221" i="2"/>
  <c r="AP216" i="2"/>
  <c r="AQ216" i="2"/>
  <c r="AP215" i="2"/>
  <c r="AQ215" i="2"/>
  <c r="W203" i="2"/>
  <c r="F180" i="15"/>
  <c r="D213" i="2"/>
  <c r="AK213" i="2"/>
  <c r="AP218" i="2"/>
  <c r="AQ218" i="2"/>
  <c r="G211" i="2"/>
  <c r="U223" i="2"/>
  <c r="D200" i="15"/>
  <c r="AP220" i="2"/>
  <c r="AQ220" i="2"/>
  <c r="E199" i="15"/>
  <c r="H199" i="15"/>
  <c r="AP213" i="2"/>
  <c r="AQ213" i="2"/>
  <c r="AP223" i="2"/>
  <c r="AQ223" i="2"/>
  <c r="AP214" i="2"/>
  <c r="AQ214" i="2"/>
  <c r="J198" i="15"/>
  <c r="I198" i="15"/>
  <c r="S198" i="15"/>
  <c r="AP219" i="2"/>
  <c r="AQ219" i="2"/>
  <c r="AP217" i="2"/>
  <c r="AQ217" i="2"/>
  <c r="S225" i="2"/>
  <c r="B202" i="15"/>
  <c r="T224" i="2"/>
  <c r="C201" i="15"/>
  <c r="E212" i="2"/>
  <c r="AP224" i="2"/>
  <c r="AQ224" i="2"/>
  <c r="AP222" i="2"/>
  <c r="AQ222" i="2"/>
  <c r="O209" i="2"/>
  <c r="F179" i="14"/>
  <c r="C192" i="14"/>
  <c r="I192" i="14"/>
  <c r="L222" i="2"/>
  <c r="E190" i="14"/>
  <c r="B193" i="14"/>
  <c r="H193" i="14"/>
  <c r="K223" i="2"/>
  <c r="D191" i="14"/>
  <c r="J191" i="14"/>
  <c r="K191" i="14"/>
  <c r="M221" i="2"/>
  <c r="B215" i="2"/>
  <c r="AU224" i="2"/>
  <c r="AG190" i="14"/>
  <c r="AH190" i="14"/>
  <c r="N191" i="14"/>
  <c r="O191" i="14"/>
  <c r="P191" i="14"/>
  <c r="Y191" i="14"/>
  <c r="Z191" i="14"/>
  <c r="AF191" i="14"/>
  <c r="AE191" i="14"/>
  <c r="L191" i="14"/>
  <c r="T225" i="2"/>
  <c r="C202" i="15"/>
  <c r="G212" i="2"/>
  <c r="S226" i="2"/>
  <c r="B203" i="15"/>
  <c r="W204" i="2"/>
  <c r="F181" i="15"/>
  <c r="E213" i="2"/>
  <c r="D214" i="2"/>
  <c r="AK214" i="2"/>
  <c r="J199" i="15"/>
  <c r="I199" i="15"/>
  <c r="S199" i="15"/>
  <c r="E200" i="15"/>
  <c r="H200" i="15"/>
  <c r="U224" i="2"/>
  <c r="D201" i="15"/>
  <c r="F180" i="14"/>
  <c r="O210" i="2"/>
  <c r="E191" i="14"/>
  <c r="D192" i="14"/>
  <c r="J192" i="14"/>
  <c r="K192" i="14"/>
  <c r="M222" i="2"/>
  <c r="C193" i="14"/>
  <c r="I193" i="14"/>
  <c r="L223" i="2"/>
  <c r="B194" i="14"/>
  <c r="H194" i="14"/>
  <c r="K224" i="2"/>
  <c r="B216" i="2"/>
  <c r="AU225" i="2"/>
  <c r="AG191" i="14"/>
  <c r="AH191" i="14"/>
  <c r="N192" i="14"/>
  <c r="O192" i="14"/>
  <c r="P192" i="14"/>
  <c r="Y192" i="14"/>
  <c r="Z192" i="14"/>
  <c r="AF192" i="14"/>
  <c r="AE192" i="14"/>
  <c r="L192" i="14"/>
  <c r="T226" i="2"/>
  <c r="C203" i="15"/>
  <c r="S227" i="2"/>
  <c r="B204" i="15"/>
  <c r="J200" i="15"/>
  <c r="I200" i="15"/>
  <c r="S200" i="15"/>
  <c r="D215" i="2"/>
  <c r="AK215" i="2"/>
  <c r="E214" i="2"/>
  <c r="H214" i="2"/>
  <c r="E201" i="15"/>
  <c r="H201" i="15"/>
  <c r="G213" i="2"/>
  <c r="W205" i="2"/>
  <c r="F182" i="15"/>
  <c r="U225" i="2"/>
  <c r="D202" i="15"/>
  <c r="F181" i="14"/>
  <c r="O211" i="2"/>
  <c r="D193" i="14"/>
  <c r="J193" i="14"/>
  <c r="K193" i="14"/>
  <c r="M223" i="2"/>
  <c r="C194" i="14"/>
  <c r="I194" i="14"/>
  <c r="L224" i="2"/>
  <c r="E192" i="14"/>
  <c r="B195" i="14"/>
  <c r="H195" i="14"/>
  <c r="K225" i="2"/>
  <c r="B217" i="2"/>
  <c r="AU226" i="2"/>
  <c r="AG192" i="14"/>
  <c r="AH192" i="14"/>
  <c r="N193" i="14"/>
  <c r="O193" i="14"/>
  <c r="P193" i="14"/>
  <c r="Y193" i="14"/>
  <c r="Z193" i="14"/>
  <c r="AF193" i="14"/>
  <c r="AE193" i="14"/>
  <c r="L193" i="14"/>
  <c r="E202" i="15"/>
  <c r="H202" i="15"/>
  <c r="T227" i="2"/>
  <c r="C204" i="15"/>
  <c r="W206" i="2"/>
  <c r="F183" i="15"/>
  <c r="S228" i="2"/>
  <c r="B205" i="15"/>
  <c r="I201" i="15"/>
  <c r="S201" i="15"/>
  <c r="J201" i="15"/>
  <c r="D216" i="2"/>
  <c r="AK216" i="2"/>
  <c r="G214" i="2"/>
  <c r="E215" i="2"/>
  <c r="U226" i="2"/>
  <c r="D203" i="15"/>
  <c r="O212" i="2"/>
  <c r="F182" i="14"/>
  <c r="D194" i="14"/>
  <c r="J194" i="14"/>
  <c r="K194" i="14"/>
  <c r="M224" i="2"/>
  <c r="C195" i="14"/>
  <c r="I195" i="14"/>
  <c r="L225" i="2"/>
  <c r="B196" i="14"/>
  <c r="H196" i="14"/>
  <c r="K226" i="2"/>
  <c r="E193" i="14"/>
  <c r="B218" i="2"/>
  <c r="AU227" i="2"/>
  <c r="AG193" i="14"/>
  <c r="AH193" i="14"/>
  <c r="N194" i="14"/>
  <c r="O194" i="14"/>
  <c r="P194" i="14"/>
  <c r="Y194" i="14"/>
  <c r="Z194" i="14"/>
  <c r="AF194" i="14"/>
  <c r="AE194" i="14"/>
  <c r="L194" i="14"/>
  <c r="D217" i="2"/>
  <c r="AK217" i="2"/>
  <c r="E203" i="15"/>
  <c r="H203" i="15"/>
  <c r="S229" i="2"/>
  <c r="B206" i="15"/>
  <c r="T228" i="2"/>
  <c r="C205" i="15"/>
  <c r="U227" i="2"/>
  <c r="D204" i="15"/>
  <c r="I202" i="15"/>
  <c r="S202" i="15"/>
  <c r="J202" i="15"/>
  <c r="G215" i="2"/>
  <c r="E216" i="2"/>
  <c r="W207" i="2"/>
  <c r="F184" i="15"/>
  <c r="F183" i="14"/>
  <c r="O213" i="2"/>
  <c r="D195" i="14"/>
  <c r="J195" i="14"/>
  <c r="K195" i="14"/>
  <c r="M225" i="2"/>
  <c r="C196" i="14"/>
  <c r="I196" i="14"/>
  <c r="L226" i="2"/>
  <c r="B197" i="14"/>
  <c r="H197" i="14"/>
  <c r="K227" i="2"/>
  <c r="E194" i="14"/>
  <c r="B219" i="2"/>
  <c r="AU228" i="2"/>
  <c r="AG194" i="14"/>
  <c r="AH194" i="14"/>
  <c r="N195" i="14"/>
  <c r="O195" i="14"/>
  <c r="P195" i="14"/>
  <c r="Y195" i="14"/>
  <c r="Z195" i="14"/>
  <c r="AF195" i="14"/>
  <c r="AE195" i="14"/>
  <c r="L195" i="14"/>
  <c r="U228" i="2"/>
  <c r="D205" i="15"/>
  <c r="S230" i="2"/>
  <c r="B207" i="15"/>
  <c r="G216" i="2"/>
  <c r="E204" i="15"/>
  <c r="H204" i="15"/>
  <c r="D218" i="2"/>
  <c r="AK218" i="2"/>
  <c r="T229" i="2"/>
  <c r="C206" i="15"/>
  <c r="J203" i="15"/>
  <c r="I203" i="15"/>
  <c r="S203" i="15"/>
  <c r="W208" i="2"/>
  <c r="F185" i="15"/>
  <c r="E217" i="2"/>
  <c r="O214" i="2"/>
  <c r="F184" i="14"/>
  <c r="D196" i="14"/>
  <c r="J196" i="14"/>
  <c r="K196" i="14"/>
  <c r="M226" i="2"/>
  <c r="C197" i="14"/>
  <c r="I197" i="14"/>
  <c r="L227" i="2"/>
  <c r="B198" i="14"/>
  <c r="H198" i="14"/>
  <c r="K228" i="2"/>
  <c r="E195" i="14"/>
  <c r="B220" i="2"/>
  <c r="AU229" i="2"/>
  <c r="AG195" i="14"/>
  <c r="AH195" i="14"/>
  <c r="N196" i="14"/>
  <c r="O196" i="14"/>
  <c r="P196" i="14"/>
  <c r="Y196" i="14"/>
  <c r="Z196" i="14"/>
  <c r="AF196" i="14"/>
  <c r="AE196" i="14"/>
  <c r="L196" i="14"/>
  <c r="G217" i="2"/>
  <c r="D219" i="2"/>
  <c r="AK219" i="2"/>
  <c r="S231" i="2"/>
  <c r="B208" i="15"/>
  <c r="T230" i="2"/>
  <c r="C207" i="15"/>
  <c r="J204" i="15"/>
  <c r="I204" i="15"/>
  <c r="S204" i="15"/>
  <c r="U229" i="2"/>
  <c r="D206" i="15"/>
  <c r="E218" i="2"/>
  <c r="W209" i="2"/>
  <c r="F186" i="15"/>
  <c r="E205" i="15"/>
  <c r="H205" i="15"/>
  <c r="O215" i="2"/>
  <c r="F185" i="14"/>
  <c r="C198" i="14"/>
  <c r="I198" i="14"/>
  <c r="L228" i="2"/>
  <c r="D197" i="14"/>
  <c r="J197" i="14"/>
  <c r="K197" i="14"/>
  <c r="M227" i="2"/>
  <c r="B199" i="14"/>
  <c r="H199" i="14"/>
  <c r="K229" i="2"/>
  <c r="E196" i="14"/>
  <c r="B221" i="2"/>
  <c r="AU230" i="2"/>
  <c r="AG196" i="14"/>
  <c r="AH196" i="14"/>
  <c r="N197" i="14"/>
  <c r="O197" i="14"/>
  <c r="P197" i="14"/>
  <c r="Y197" i="14"/>
  <c r="Z197" i="14"/>
  <c r="AF197" i="14"/>
  <c r="AE197" i="14"/>
  <c r="L197" i="14"/>
  <c r="S232" i="2"/>
  <c r="B209" i="15"/>
  <c r="E206" i="15"/>
  <c r="H206" i="15"/>
  <c r="T231" i="2"/>
  <c r="C208" i="15"/>
  <c r="W210" i="2"/>
  <c r="F187" i="15"/>
  <c r="E219" i="2"/>
  <c r="U230" i="2"/>
  <c r="D207" i="15"/>
  <c r="D220" i="2"/>
  <c r="AK220" i="2"/>
  <c r="I205" i="15"/>
  <c r="S205" i="15"/>
  <c r="J205" i="15"/>
  <c r="G218" i="2"/>
  <c r="F186" i="14"/>
  <c r="O216" i="2"/>
  <c r="D198" i="14"/>
  <c r="J198" i="14"/>
  <c r="K198" i="14"/>
  <c r="M228" i="2"/>
  <c r="B200" i="14"/>
  <c r="H200" i="14"/>
  <c r="K230" i="2"/>
  <c r="E197" i="14"/>
  <c r="C199" i="14"/>
  <c r="I199" i="14"/>
  <c r="L229" i="2"/>
  <c r="B222" i="2"/>
  <c r="AU231" i="2"/>
  <c r="AG197" i="14"/>
  <c r="AH197" i="14"/>
  <c r="N198" i="14"/>
  <c r="O198" i="14"/>
  <c r="P198" i="14"/>
  <c r="Y198" i="14"/>
  <c r="Z198" i="14"/>
  <c r="AF198" i="14"/>
  <c r="AE198" i="14"/>
  <c r="L198" i="14"/>
  <c r="U231" i="2"/>
  <c r="D208" i="15"/>
  <c r="D221" i="2"/>
  <c r="AK221" i="2"/>
  <c r="G219" i="2"/>
  <c r="I206" i="15"/>
  <c r="S206" i="15"/>
  <c r="J206" i="15"/>
  <c r="S233" i="2"/>
  <c r="B210" i="15"/>
  <c r="W211" i="2"/>
  <c r="F188" i="15"/>
  <c r="E207" i="15"/>
  <c r="H207" i="15"/>
  <c r="T232" i="2"/>
  <c r="C209" i="15"/>
  <c r="E220" i="2"/>
  <c r="F187" i="14"/>
  <c r="O217" i="2"/>
  <c r="C200" i="14"/>
  <c r="I200" i="14"/>
  <c r="L230" i="2"/>
  <c r="D199" i="14"/>
  <c r="J199" i="14"/>
  <c r="K199" i="14"/>
  <c r="M229" i="2"/>
  <c r="E198" i="14"/>
  <c r="B201" i="14"/>
  <c r="H201" i="14"/>
  <c r="K231" i="2"/>
  <c r="B223" i="2"/>
  <c r="AU232" i="2"/>
  <c r="AG198" i="14"/>
  <c r="AH198" i="14"/>
  <c r="N199" i="14"/>
  <c r="O199" i="14"/>
  <c r="P199" i="14"/>
  <c r="Y199" i="14"/>
  <c r="Z199" i="14"/>
  <c r="AF199" i="14"/>
  <c r="AE199" i="14"/>
  <c r="L199" i="14"/>
  <c r="D222" i="2"/>
  <c r="AK222" i="2"/>
  <c r="W212" i="2"/>
  <c r="F189" i="15"/>
  <c r="U232" i="2"/>
  <c r="D209" i="15"/>
  <c r="S234" i="2"/>
  <c r="B211" i="15"/>
  <c r="J207" i="15"/>
  <c r="I207" i="15"/>
  <c r="S207" i="15"/>
  <c r="T233" i="2"/>
  <c r="C210" i="15"/>
  <c r="E208" i="15"/>
  <c r="H208" i="15"/>
  <c r="G220" i="2"/>
  <c r="E221" i="2"/>
  <c r="F188" i="14"/>
  <c r="O218" i="2"/>
  <c r="E199" i="14"/>
  <c r="C201" i="14"/>
  <c r="I201" i="14"/>
  <c r="L231" i="2"/>
  <c r="B202" i="14"/>
  <c r="H202" i="14"/>
  <c r="K232" i="2"/>
  <c r="D200" i="14"/>
  <c r="J200" i="14"/>
  <c r="K200" i="14"/>
  <c r="M230" i="2"/>
  <c r="B224" i="2"/>
  <c r="AU233" i="2"/>
  <c r="AG199" i="14"/>
  <c r="AH199" i="14"/>
  <c r="N200" i="14"/>
  <c r="O200" i="14"/>
  <c r="P200" i="14"/>
  <c r="Y200" i="14"/>
  <c r="Z200" i="14"/>
  <c r="AF200" i="14"/>
  <c r="AE200" i="14"/>
  <c r="L200" i="14"/>
  <c r="S235" i="2"/>
  <c r="B212" i="15"/>
  <c r="G221" i="2"/>
  <c r="U233" i="2"/>
  <c r="D210" i="15"/>
  <c r="W213" i="2"/>
  <c r="F190" i="15"/>
  <c r="I208" i="15"/>
  <c r="S208" i="15"/>
  <c r="J208" i="15"/>
  <c r="E209" i="15"/>
  <c r="H209" i="15"/>
  <c r="D223" i="2"/>
  <c r="AK223" i="2"/>
  <c r="T234" i="2"/>
  <c r="C211" i="15"/>
  <c r="E222" i="2"/>
  <c r="F189" i="14"/>
  <c r="O219" i="2"/>
  <c r="D201" i="14"/>
  <c r="J201" i="14"/>
  <c r="K201" i="14"/>
  <c r="M231" i="2"/>
  <c r="B203" i="14"/>
  <c r="H203" i="14"/>
  <c r="K233" i="2"/>
  <c r="E200" i="14"/>
  <c r="C202" i="14"/>
  <c r="I202" i="14"/>
  <c r="L232" i="2"/>
  <c r="B225" i="2"/>
  <c r="AU234" i="2"/>
  <c r="AG200" i="14"/>
  <c r="AH200" i="14"/>
  <c r="N201" i="14"/>
  <c r="O201" i="14"/>
  <c r="P201" i="14"/>
  <c r="Y201" i="14"/>
  <c r="Z201" i="14"/>
  <c r="AF201" i="14"/>
  <c r="AE201" i="14"/>
  <c r="L201" i="14"/>
  <c r="G222" i="2"/>
  <c r="T235" i="2"/>
  <c r="C212" i="15"/>
  <c r="S236" i="2"/>
  <c r="B213" i="15"/>
  <c r="W214" i="2"/>
  <c r="F191" i="15"/>
  <c r="D224" i="2"/>
  <c r="AK224" i="2"/>
  <c r="I209" i="15"/>
  <c r="S209" i="15"/>
  <c r="J209" i="15"/>
  <c r="U234" i="2"/>
  <c r="D211" i="15"/>
  <c r="E210" i="15"/>
  <c r="H210" i="15"/>
  <c r="E223" i="2"/>
  <c r="AL225" i="2"/>
  <c r="C226" i="2"/>
  <c r="F190" i="14"/>
  <c r="O220" i="2"/>
  <c r="B204" i="14"/>
  <c r="H204" i="14"/>
  <c r="K234" i="2"/>
  <c r="C203" i="14"/>
  <c r="I203" i="14"/>
  <c r="L233" i="2"/>
  <c r="D202" i="14"/>
  <c r="J202" i="14"/>
  <c r="K202" i="14"/>
  <c r="M232" i="2"/>
  <c r="E201" i="14"/>
  <c r="B226" i="2"/>
  <c r="P226" i="2"/>
  <c r="X226" i="2"/>
  <c r="AU235" i="2"/>
  <c r="AG201" i="14"/>
  <c r="AH201" i="14"/>
  <c r="N202" i="14"/>
  <c r="O202" i="14"/>
  <c r="P202" i="14"/>
  <c r="Y202" i="14"/>
  <c r="Z202" i="14"/>
  <c r="AF202" i="14"/>
  <c r="AE202" i="14"/>
  <c r="L202" i="14"/>
  <c r="D225" i="2"/>
  <c r="AK225" i="2"/>
  <c r="E224" i="2"/>
  <c r="W215" i="2"/>
  <c r="F192" i="15"/>
  <c r="T236" i="2"/>
  <c r="C213" i="15"/>
  <c r="S237" i="2"/>
  <c r="B214" i="15"/>
  <c r="AP225" i="2"/>
  <c r="AQ225" i="2"/>
  <c r="G223" i="2"/>
  <c r="J210" i="15"/>
  <c r="I210" i="15"/>
  <c r="S210" i="15"/>
  <c r="U235" i="2"/>
  <c r="D212" i="15"/>
  <c r="E211" i="15"/>
  <c r="H211" i="15"/>
  <c r="F191" i="14"/>
  <c r="O221" i="2"/>
  <c r="B205" i="14"/>
  <c r="H205" i="14"/>
  <c r="K235" i="2"/>
  <c r="D203" i="14"/>
  <c r="J203" i="14"/>
  <c r="K203" i="14"/>
  <c r="M233" i="2"/>
  <c r="E202" i="14"/>
  <c r="C204" i="14"/>
  <c r="I204" i="14"/>
  <c r="L234" i="2"/>
  <c r="B227" i="2"/>
  <c r="AU236" i="2"/>
  <c r="AG202" i="14"/>
  <c r="AH202" i="14"/>
  <c r="N203" i="14"/>
  <c r="O203" i="14"/>
  <c r="P203" i="14"/>
  <c r="Y203" i="14"/>
  <c r="Z203" i="14"/>
  <c r="AF203" i="14"/>
  <c r="AE203" i="14"/>
  <c r="L203" i="14"/>
  <c r="U236" i="2"/>
  <c r="D213" i="15"/>
  <c r="W216" i="2"/>
  <c r="F193" i="15"/>
  <c r="E212" i="15"/>
  <c r="H212" i="15"/>
  <c r="D226" i="2"/>
  <c r="AK226" i="2"/>
  <c r="G224" i="2"/>
  <c r="T237" i="2"/>
  <c r="C214" i="15"/>
  <c r="S238" i="2"/>
  <c r="B215" i="15"/>
  <c r="J211" i="15"/>
  <c r="I211" i="15"/>
  <c r="S211" i="15"/>
  <c r="E225" i="2"/>
  <c r="O222" i="2"/>
  <c r="F192" i="14"/>
  <c r="B206" i="14"/>
  <c r="H206" i="14"/>
  <c r="K236" i="2"/>
  <c r="D204" i="14"/>
  <c r="J204" i="14"/>
  <c r="K204" i="14"/>
  <c r="M234" i="2"/>
  <c r="C205" i="14"/>
  <c r="I205" i="14"/>
  <c r="L235" i="2"/>
  <c r="E203" i="14"/>
  <c r="B228" i="2"/>
  <c r="AU237" i="2"/>
  <c r="AG203" i="14"/>
  <c r="AH203" i="14"/>
  <c r="N204" i="14"/>
  <c r="O204" i="14"/>
  <c r="P204" i="14"/>
  <c r="Y204" i="14"/>
  <c r="Z204" i="14"/>
  <c r="AF204" i="14"/>
  <c r="AE204" i="14"/>
  <c r="L204" i="14"/>
  <c r="S239" i="2"/>
  <c r="B216" i="15"/>
  <c r="E226" i="2"/>
  <c r="H226" i="2"/>
  <c r="T238" i="2"/>
  <c r="C215" i="15"/>
  <c r="W217" i="2"/>
  <c r="F194" i="15"/>
  <c r="D227" i="2"/>
  <c r="AK227" i="2"/>
  <c r="U237" i="2"/>
  <c r="D214" i="15"/>
  <c r="J212" i="15"/>
  <c r="I212" i="15"/>
  <c r="S212" i="15"/>
  <c r="E213" i="15"/>
  <c r="H213" i="15"/>
  <c r="O223" i="2"/>
  <c r="F193" i="14"/>
  <c r="B207" i="14"/>
  <c r="H207" i="14"/>
  <c r="K237" i="2"/>
  <c r="E204" i="14"/>
  <c r="D205" i="14"/>
  <c r="J205" i="14"/>
  <c r="K205" i="14"/>
  <c r="M235" i="2"/>
  <c r="C206" i="14"/>
  <c r="I206" i="14"/>
  <c r="L236" i="2"/>
  <c r="B229" i="2"/>
  <c r="AU238" i="2"/>
  <c r="AG204" i="14"/>
  <c r="AH204" i="14"/>
  <c r="N205" i="14"/>
  <c r="O205" i="14"/>
  <c r="P205" i="14"/>
  <c r="Y205" i="14"/>
  <c r="Z205" i="14"/>
  <c r="AF205" i="14"/>
  <c r="AE205" i="14"/>
  <c r="L205" i="14"/>
  <c r="E227" i="2"/>
  <c r="G226" i="2"/>
  <c r="S240" i="2"/>
  <c r="B217" i="15"/>
  <c r="T239" i="2"/>
  <c r="C216" i="15"/>
  <c r="E214" i="15"/>
  <c r="H214" i="15"/>
  <c r="G225" i="2"/>
  <c r="D228" i="2"/>
  <c r="AK228" i="2"/>
  <c r="W218" i="2"/>
  <c r="F195" i="15"/>
  <c r="U238" i="2"/>
  <c r="D215" i="15"/>
  <c r="I213" i="15"/>
  <c r="S213" i="15"/>
  <c r="J213" i="15"/>
  <c r="O224" i="2"/>
  <c r="F194" i="14"/>
  <c r="C207" i="14"/>
  <c r="I207" i="14"/>
  <c r="L237" i="2"/>
  <c r="D206" i="14"/>
  <c r="J206" i="14"/>
  <c r="K206" i="14"/>
  <c r="M236" i="2"/>
  <c r="E205" i="14"/>
  <c r="B208" i="14"/>
  <c r="H208" i="14"/>
  <c r="K238" i="2"/>
  <c r="B230" i="2"/>
  <c r="AU239" i="2"/>
  <c r="AG205" i="14"/>
  <c r="AH205" i="14"/>
  <c r="N206" i="14"/>
  <c r="O206" i="14"/>
  <c r="P206" i="14"/>
  <c r="Y206" i="14"/>
  <c r="Z206" i="14"/>
  <c r="AF206" i="14"/>
  <c r="AE206" i="14"/>
  <c r="L206" i="14"/>
  <c r="E215" i="15"/>
  <c r="H215" i="15"/>
  <c r="I214" i="15"/>
  <c r="S214" i="15"/>
  <c r="J214" i="15"/>
  <c r="S241" i="2"/>
  <c r="B218" i="15"/>
  <c r="W219" i="2"/>
  <c r="F196" i="15"/>
  <c r="D229" i="2"/>
  <c r="AK229" i="2"/>
  <c r="T240" i="2"/>
  <c r="C217" i="15"/>
  <c r="E228" i="2"/>
  <c r="U239" i="2"/>
  <c r="D216" i="15"/>
  <c r="G227" i="2"/>
  <c r="F195" i="14"/>
  <c r="O225" i="2"/>
  <c r="E206" i="14"/>
  <c r="C208" i="14"/>
  <c r="I208" i="14"/>
  <c r="L238" i="2"/>
  <c r="B209" i="14"/>
  <c r="H209" i="14"/>
  <c r="K239" i="2"/>
  <c r="D207" i="14"/>
  <c r="J207" i="14"/>
  <c r="K207" i="14"/>
  <c r="M237" i="2"/>
  <c r="B231" i="2"/>
  <c r="AU240" i="2"/>
  <c r="AG206" i="14"/>
  <c r="AH206" i="14"/>
  <c r="N207" i="14"/>
  <c r="O207" i="14"/>
  <c r="P207" i="14"/>
  <c r="Y207" i="14"/>
  <c r="Z207" i="14"/>
  <c r="AF207" i="14"/>
  <c r="AE207" i="14"/>
  <c r="L207" i="14"/>
  <c r="U240" i="2"/>
  <c r="D217" i="15"/>
  <c r="E216" i="15"/>
  <c r="H216" i="15"/>
  <c r="E229" i="2"/>
  <c r="G228" i="2"/>
  <c r="J215" i="15"/>
  <c r="I215" i="15"/>
  <c r="S215" i="15"/>
  <c r="S242" i="2"/>
  <c r="B219" i="15"/>
  <c r="T241" i="2"/>
  <c r="C218" i="15"/>
  <c r="D230" i="2"/>
  <c r="AK230" i="2"/>
  <c r="W220" i="2"/>
  <c r="F197" i="15"/>
  <c r="O226" i="2"/>
  <c r="F196" i="14"/>
  <c r="C209" i="14"/>
  <c r="I209" i="14"/>
  <c r="L239" i="2"/>
  <c r="E207" i="14"/>
  <c r="D208" i="14"/>
  <c r="J208" i="14"/>
  <c r="K208" i="14"/>
  <c r="M238" i="2"/>
  <c r="B210" i="14"/>
  <c r="H210" i="14"/>
  <c r="K240" i="2"/>
  <c r="B232" i="2"/>
  <c r="AU241" i="2"/>
  <c r="AG207" i="14"/>
  <c r="AH207" i="14"/>
  <c r="N208" i="14"/>
  <c r="O208" i="14"/>
  <c r="P208" i="14"/>
  <c r="Y208" i="14"/>
  <c r="Z208" i="14"/>
  <c r="AF208" i="14"/>
  <c r="AE208" i="14"/>
  <c r="L208" i="14"/>
  <c r="E230" i="2"/>
  <c r="S243" i="2"/>
  <c r="B220" i="15"/>
  <c r="G229" i="2"/>
  <c r="J216" i="15"/>
  <c r="I216" i="15"/>
  <c r="S216" i="15"/>
  <c r="T242" i="2"/>
  <c r="C219" i="15"/>
  <c r="U241" i="2"/>
  <c r="D218" i="15"/>
  <c r="E217" i="15"/>
  <c r="H217" i="15"/>
  <c r="D231" i="2"/>
  <c r="AK231" i="2"/>
  <c r="W221" i="2"/>
  <c r="F198" i="15"/>
  <c r="F197" i="14"/>
  <c r="O227" i="2"/>
  <c r="B211" i="14"/>
  <c r="H211" i="14"/>
  <c r="K241" i="2"/>
  <c r="C210" i="14"/>
  <c r="I210" i="14"/>
  <c r="L240" i="2"/>
  <c r="E208" i="14"/>
  <c r="D209" i="14"/>
  <c r="J209" i="14"/>
  <c r="K209" i="14"/>
  <c r="M239" i="2"/>
  <c r="B233" i="2"/>
  <c r="AU242" i="2"/>
  <c r="AG208" i="14"/>
  <c r="AH208" i="14"/>
  <c r="N209" i="14"/>
  <c r="O209" i="14"/>
  <c r="P209" i="14"/>
  <c r="Y209" i="14"/>
  <c r="Z209" i="14"/>
  <c r="AF209" i="14"/>
  <c r="AE209" i="14"/>
  <c r="L209" i="14"/>
  <c r="E218" i="15"/>
  <c r="H218" i="15"/>
  <c r="E231" i="2"/>
  <c r="S244" i="2"/>
  <c r="B221" i="15"/>
  <c r="I217" i="15"/>
  <c r="S217" i="15"/>
  <c r="J217" i="15"/>
  <c r="U242" i="2"/>
  <c r="D219" i="15"/>
  <c r="D232" i="2"/>
  <c r="AK232" i="2"/>
  <c r="G230" i="2"/>
  <c r="T243" i="2"/>
  <c r="C220" i="15"/>
  <c r="W222" i="2"/>
  <c r="F199" i="15"/>
  <c r="F198" i="14"/>
  <c r="O228" i="2"/>
  <c r="E209" i="14"/>
  <c r="B212" i="14"/>
  <c r="H212" i="14"/>
  <c r="K242" i="2"/>
  <c r="C211" i="14"/>
  <c r="I211" i="14"/>
  <c r="L241" i="2"/>
  <c r="D210" i="14"/>
  <c r="J210" i="14"/>
  <c r="K210" i="14"/>
  <c r="M240" i="2"/>
  <c r="B234" i="2"/>
  <c r="AU243" i="2"/>
  <c r="AG209" i="14"/>
  <c r="AH209" i="14"/>
  <c r="N210" i="14"/>
  <c r="O210" i="14"/>
  <c r="P210" i="14"/>
  <c r="Y210" i="14"/>
  <c r="Z210" i="14"/>
  <c r="AF210" i="14"/>
  <c r="AE210" i="14"/>
  <c r="L210" i="14"/>
  <c r="T244" i="2"/>
  <c r="C221" i="15"/>
  <c r="W223" i="2"/>
  <c r="F200" i="15"/>
  <c r="S245" i="2"/>
  <c r="B222" i="15"/>
  <c r="U243" i="2"/>
  <c r="D220" i="15"/>
  <c r="G231" i="2"/>
  <c r="D233" i="2"/>
  <c r="AK233" i="2"/>
  <c r="I218" i="15"/>
  <c r="S218" i="15"/>
  <c r="J218" i="15"/>
  <c r="E232" i="2"/>
  <c r="E219" i="15"/>
  <c r="H219" i="15"/>
  <c r="F199" i="14"/>
  <c r="O229" i="2"/>
  <c r="C212" i="14"/>
  <c r="I212" i="14"/>
  <c r="L242" i="2"/>
  <c r="B213" i="14"/>
  <c r="H213" i="14"/>
  <c r="K243" i="2"/>
  <c r="D211" i="14"/>
  <c r="J211" i="14"/>
  <c r="K211" i="14"/>
  <c r="M241" i="2"/>
  <c r="E210" i="14"/>
  <c r="B235" i="2"/>
  <c r="AU244" i="2"/>
  <c r="AG210" i="14"/>
  <c r="AH210" i="14"/>
  <c r="N211" i="14"/>
  <c r="O211" i="14"/>
  <c r="P211" i="14"/>
  <c r="Y211" i="14"/>
  <c r="Z211" i="14"/>
  <c r="AF211" i="14"/>
  <c r="AE211" i="14"/>
  <c r="L211" i="14"/>
  <c r="T245" i="2"/>
  <c r="C222" i="15"/>
  <c r="E233" i="2"/>
  <c r="G232" i="2"/>
  <c r="U244" i="2"/>
  <c r="D221" i="15"/>
  <c r="J219" i="15"/>
  <c r="I219" i="15"/>
  <c r="S219" i="15"/>
  <c r="D234" i="2"/>
  <c r="AK234" i="2"/>
  <c r="W224" i="2"/>
  <c r="F201" i="15"/>
  <c r="S246" i="2"/>
  <c r="B223" i="15"/>
  <c r="E220" i="15"/>
  <c r="H220" i="15"/>
  <c r="F200" i="14"/>
  <c r="O230" i="2"/>
  <c r="C213" i="14"/>
  <c r="I213" i="14"/>
  <c r="L243" i="2"/>
  <c r="B214" i="14"/>
  <c r="H214" i="14"/>
  <c r="K244" i="2"/>
  <c r="E211" i="14"/>
  <c r="D212" i="14"/>
  <c r="J212" i="14"/>
  <c r="K212" i="14"/>
  <c r="M242" i="2"/>
  <c r="B236" i="2"/>
  <c r="AU245" i="2"/>
  <c r="AG211" i="14"/>
  <c r="AH211" i="14"/>
  <c r="N212" i="14"/>
  <c r="O212" i="14"/>
  <c r="P212" i="14"/>
  <c r="Y212" i="14"/>
  <c r="Z212" i="14"/>
  <c r="AF212" i="14"/>
  <c r="AE212" i="14"/>
  <c r="L212" i="14"/>
  <c r="U245" i="2"/>
  <c r="D222" i="15"/>
  <c r="D235" i="2"/>
  <c r="AK235" i="2"/>
  <c r="G233" i="2"/>
  <c r="S247" i="2"/>
  <c r="B224" i="15"/>
  <c r="W225" i="2"/>
  <c r="F202" i="15"/>
  <c r="E210" i="9"/>
  <c r="I220" i="15"/>
  <c r="S220" i="15"/>
  <c r="J220" i="15"/>
  <c r="E221" i="15"/>
  <c r="H221" i="15"/>
  <c r="E234" i="2"/>
  <c r="T246" i="2"/>
  <c r="C223" i="15"/>
  <c r="F201" i="14"/>
  <c r="O231" i="2"/>
  <c r="E212" i="14"/>
  <c r="B215" i="14"/>
  <c r="H215" i="14"/>
  <c r="K245" i="2"/>
  <c r="C214" i="14"/>
  <c r="I214" i="14"/>
  <c r="L244" i="2"/>
  <c r="D213" i="14"/>
  <c r="J213" i="14"/>
  <c r="K213" i="14"/>
  <c r="M243" i="2"/>
  <c r="B237" i="2"/>
  <c r="AU246" i="2"/>
  <c r="AG212" i="14"/>
  <c r="AH212" i="14"/>
  <c r="N213" i="14"/>
  <c r="O213" i="14"/>
  <c r="P213" i="14"/>
  <c r="Y213" i="14"/>
  <c r="Z213" i="14"/>
  <c r="AF213" i="14"/>
  <c r="AE213" i="14"/>
  <c r="L213" i="14"/>
  <c r="W226" i="2"/>
  <c r="F203" i="15"/>
  <c r="E211" i="9"/>
  <c r="S248" i="2"/>
  <c r="B225" i="15"/>
  <c r="E235" i="2"/>
  <c r="T247" i="2"/>
  <c r="C224" i="15"/>
  <c r="I221" i="15"/>
  <c r="S221" i="15"/>
  <c r="J221" i="15"/>
  <c r="U246" i="2"/>
  <c r="D223" i="15"/>
  <c r="G234" i="2"/>
  <c r="D236" i="2"/>
  <c r="AK236" i="2"/>
  <c r="C238" i="2"/>
  <c r="AL237" i="2"/>
  <c r="E222" i="15"/>
  <c r="H222" i="15"/>
  <c r="F202" i="14"/>
  <c r="O232" i="2"/>
  <c r="C215" i="14"/>
  <c r="I215" i="14"/>
  <c r="L245" i="2"/>
  <c r="E213" i="14"/>
  <c r="D214" i="14"/>
  <c r="J214" i="14"/>
  <c r="K214" i="14"/>
  <c r="M244" i="2"/>
  <c r="B216" i="14"/>
  <c r="H216" i="14"/>
  <c r="K246" i="2"/>
  <c r="B238" i="2"/>
  <c r="AU247" i="2"/>
  <c r="AQ237" i="2"/>
  <c r="AP237" i="2"/>
  <c r="AG213" i="14"/>
  <c r="AH213" i="14"/>
  <c r="N214" i="14"/>
  <c r="O214" i="14"/>
  <c r="P214" i="14"/>
  <c r="Y214" i="14"/>
  <c r="Z214" i="14"/>
  <c r="AF214" i="14"/>
  <c r="AE214" i="14"/>
  <c r="L214" i="14"/>
  <c r="S249" i="2"/>
  <c r="B226" i="15"/>
  <c r="T248" i="2"/>
  <c r="C225" i="15"/>
  <c r="E236" i="2"/>
  <c r="W227" i="2"/>
  <c r="F204" i="15"/>
  <c r="E212" i="9"/>
  <c r="G235" i="2"/>
  <c r="J222" i="15"/>
  <c r="I222" i="15"/>
  <c r="S222" i="15"/>
  <c r="E223" i="15"/>
  <c r="H223" i="15"/>
  <c r="D237" i="2"/>
  <c r="AK237" i="2"/>
  <c r="U247" i="2"/>
  <c r="D224" i="15"/>
  <c r="F203" i="14"/>
  <c r="O233" i="2"/>
  <c r="E214" i="14"/>
  <c r="D215" i="14"/>
  <c r="J215" i="14"/>
  <c r="K215" i="14"/>
  <c r="M245" i="2"/>
  <c r="C216" i="14"/>
  <c r="I216" i="14"/>
  <c r="L246" i="2"/>
  <c r="B217" i="14"/>
  <c r="H217" i="14"/>
  <c r="K247" i="2"/>
  <c r="B239" i="2"/>
  <c r="AU248" i="2"/>
  <c r="AG214" i="14"/>
  <c r="AH214" i="14"/>
  <c r="N215" i="14"/>
  <c r="O215" i="14"/>
  <c r="P215" i="14"/>
  <c r="Y215" i="14"/>
  <c r="Z215" i="14"/>
  <c r="AF215" i="14"/>
  <c r="AE215" i="14"/>
  <c r="L215" i="14"/>
  <c r="G236" i="2"/>
  <c r="E237" i="2"/>
  <c r="J223" i="15"/>
  <c r="I223" i="15"/>
  <c r="S223" i="15"/>
  <c r="E224" i="15"/>
  <c r="H224" i="15"/>
  <c r="W228" i="2"/>
  <c r="F205" i="15"/>
  <c r="E213" i="9"/>
  <c r="D238" i="2"/>
  <c r="AK238" i="2"/>
  <c r="S250" i="2"/>
  <c r="B227" i="15"/>
  <c r="U248" i="2"/>
  <c r="D225" i="15"/>
  <c r="T249" i="2"/>
  <c r="C226" i="15"/>
  <c r="F204" i="14"/>
  <c r="O234" i="2"/>
  <c r="E215" i="14"/>
  <c r="D216" i="14"/>
  <c r="J216" i="14"/>
  <c r="K216" i="14"/>
  <c r="M246" i="2"/>
  <c r="C217" i="14"/>
  <c r="I217" i="14"/>
  <c r="L247" i="2"/>
  <c r="B218" i="14"/>
  <c r="H218" i="14"/>
  <c r="K248" i="2"/>
  <c r="B240" i="2"/>
  <c r="AU249" i="2"/>
  <c r="AG215" i="14"/>
  <c r="AH215" i="14"/>
  <c r="N216" i="14"/>
  <c r="O216" i="14"/>
  <c r="P216" i="14"/>
  <c r="Y216" i="14"/>
  <c r="Z216" i="14"/>
  <c r="AF216" i="14"/>
  <c r="AE216" i="14"/>
  <c r="L216" i="14"/>
  <c r="E238" i="2"/>
  <c r="H238" i="2"/>
  <c r="U249" i="2"/>
  <c r="D226" i="15"/>
  <c r="W229" i="2"/>
  <c r="F206" i="15"/>
  <c r="E214" i="9"/>
  <c r="S251" i="2"/>
  <c r="B228" i="15"/>
  <c r="E225" i="15"/>
  <c r="H225" i="15"/>
  <c r="J224" i="15"/>
  <c r="I224" i="15"/>
  <c r="S224" i="15"/>
  <c r="D239" i="2"/>
  <c r="AK239" i="2"/>
  <c r="G237" i="2"/>
  <c r="T250" i="2"/>
  <c r="C227" i="15"/>
  <c r="F205" i="14"/>
  <c r="O235" i="2"/>
  <c r="D217" i="14"/>
  <c r="J217" i="14"/>
  <c r="K217" i="14"/>
  <c r="M247" i="2"/>
  <c r="B219" i="14"/>
  <c r="H219" i="14"/>
  <c r="K249" i="2"/>
  <c r="E216" i="14"/>
  <c r="C218" i="14"/>
  <c r="I218" i="14"/>
  <c r="L248" i="2"/>
  <c r="B241" i="2"/>
  <c r="AU250" i="2"/>
  <c r="AG216" i="14"/>
  <c r="AH216" i="14"/>
  <c r="N217" i="14"/>
  <c r="O217" i="14"/>
  <c r="P217" i="14"/>
  <c r="Y217" i="14"/>
  <c r="Z217" i="14"/>
  <c r="AF217" i="14"/>
  <c r="AE217" i="14"/>
  <c r="L217" i="14"/>
  <c r="W230" i="2"/>
  <c r="F207" i="15"/>
  <c r="E215" i="9"/>
  <c r="I225" i="15"/>
  <c r="S225" i="15"/>
  <c r="J225" i="15"/>
  <c r="U250" i="2"/>
  <c r="D227" i="15"/>
  <c r="E239" i="2"/>
  <c r="S252" i="2"/>
  <c r="B229" i="15"/>
  <c r="T251" i="2"/>
  <c r="C228" i="15"/>
  <c r="E226" i="15"/>
  <c r="H226" i="15"/>
  <c r="D240" i="2"/>
  <c r="AK240" i="2"/>
  <c r="G238" i="2"/>
  <c r="F206" i="14"/>
  <c r="O236" i="2"/>
  <c r="B220" i="14"/>
  <c r="H220" i="14"/>
  <c r="K250" i="2"/>
  <c r="C219" i="14"/>
  <c r="I219" i="14"/>
  <c r="L249" i="2"/>
  <c r="D218" i="14"/>
  <c r="J218" i="14"/>
  <c r="K218" i="14"/>
  <c r="M248" i="2"/>
  <c r="E217" i="14"/>
  <c r="B242" i="2"/>
  <c r="AU251" i="2"/>
  <c r="AG217" i="14"/>
  <c r="AH217" i="14"/>
  <c r="N218" i="14"/>
  <c r="O218" i="14"/>
  <c r="P218" i="14"/>
  <c r="Y218" i="14"/>
  <c r="Z218" i="14"/>
  <c r="AF218" i="14"/>
  <c r="AE218" i="14"/>
  <c r="L218" i="14"/>
  <c r="T252" i="2"/>
  <c r="C229" i="15"/>
  <c r="E240" i="2"/>
  <c r="E227" i="15"/>
  <c r="H227" i="15"/>
  <c r="U251" i="2"/>
  <c r="D228" i="15"/>
  <c r="J226" i="15"/>
  <c r="I226" i="15"/>
  <c r="S226" i="15"/>
  <c r="D241" i="2"/>
  <c r="AK241" i="2"/>
  <c r="W231" i="2"/>
  <c r="F208" i="15"/>
  <c r="E216" i="9"/>
  <c r="G239" i="2"/>
  <c r="S253" i="2"/>
  <c r="B230" i="15"/>
  <c r="O237" i="2"/>
  <c r="F207" i="14"/>
  <c r="D219" i="14"/>
  <c r="J219" i="14"/>
  <c r="K219" i="14"/>
  <c r="M249" i="2"/>
  <c r="E218" i="14"/>
  <c r="B221" i="14"/>
  <c r="H221" i="14"/>
  <c r="K251" i="2"/>
  <c r="C220" i="14"/>
  <c r="I220" i="14"/>
  <c r="L250" i="2"/>
  <c r="B243" i="2"/>
  <c r="AU252" i="2"/>
  <c r="AG218" i="14"/>
  <c r="AH218" i="14"/>
  <c r="N219" i="14"/>
  <c r="O219" i="14"/>
  <c r="P219" i="14"/>
  <c r="Y219" i="14"/>
  <c r="Z219" i="14"/>
  <c r="AF219" i="14"/>
  <c r="AE219" i="14"/>
  <c r="L219" i="14"/>
  <c r="T253" i="2"/>
  <c r="C230" i="15"/>
  <c r="G240" i="2"/>
  <c r="D242" i="2"/>
  <c r="AK242" i="2"/>
  <c r="E228" i="15"/>
  <c r="H228" i="15"/>
  <c r="W232" i="2"/>
  <c r="F209" i="15"/>
  <c r="E217" i="9"/>
  <c r="S254" i="2"/>
  <c r="B231" i="15"/>
  <c r="E241" i="2"/>
  <c r="J227" i="15"/>
  <c r="I227" i="15"/>
  <c r="S227" i="15"/>
  <c r="U252" i="2"/>
  <c r="D229" i="15"/>
  <c r="F208" i="14"/>
  <c r="O238" i="2"/>
  <c r="B222" i="14"/>
  <c r="H222" i="14"/>
  <c r="K252" i="2"/>
  <c r="D220" i="14"/>
  <c r="J220" i="14"/>
  <c r="K220" i="14"/>
  <c r="M250" i="2"/>
  <c r="C221" i="14"/>
  <c r="I221" i="14"/>
  <c r="L251" i="2"/>
  <c r="E219" i="14"/>
  <c r="B244" i="2"/>
  <c r="AU253" i="2"/>
  <c r="AG219" i="14"/>
  <c r="AH219" i="14"/>
  <c r="N220" i="14"/>
  <c r="O220" i="14"/>
  <c r="P220" i="14"/>
  <c r="Y220" i="14"/>
  <c r="Z220" i="14"/>
  <c r="AF220" i="14"/>
  <c r="AE220" i="14"/>
  <c r="L220" i="14"/>
  <c r="E229" i="15"/>
  <c r="H229" i="15"/>
  <c r="E242" i="2"/>
  <c r="W233" i="2"/>
  <c r="F210" i="15"/>
  <c r="E218" i="9"/>
  <c r="T254" i="2"/>
  <c r="C231" i="15"/>
  <c r="J228" i="15"/>
  <c r="I228" i="15"/>
  <c r="S228" i="15"/>
  <c r="D243" i="2"/>
  <c r="AK243" i="2"/>
  <c r="G241" i="2"/>
  <c r="S255" i="2"/>
  <c r="B232" i="15"/>
  <c r="U253" i="2"/>
  <c r="D230" i="15"/>
  <c r="F209" i="14"/>
  <c r="O239" i="2"/>
  <c r="C222" i="14"/>
  <c r="I222" i="14"/>
  <c r="L252" i="2"/>
  <c r="D221" i="14"/>
  <c r="J221" i="14"/>
  <c r="K221" i="14"/>
  <c r="M251" i="2"/>
  <c r="B223" i="14"/>
  <c r="H223" i="14"/>
  <c r="K253" i="2"/>
  <c r="E220" i="14"/>
  <c r="B245" i="2"/>
  <c r="AU254" i="2"/>
  <c r="AG220" i="14"/>
  <c r="AH220" i="14"/>
  <c r="N221" i="14"/>
  <c r="O221" i="14"/>
  <c r="P221" i="14"/>
  <c r="Y221" i="14"/>
  <c r="Z221" i="14"/>
  <c r="AF221" i="14"/>
  <c r="AE221" i="14"/>
  <c r="L221" i="14"/>
  <c r="E230" i="15"/>
  <c r="H230" i="15"/>
  <c r="I229" i="15"/>
  <c r="S229" i="15"/>
  <c r="J229" i="15"/>
  <c r="S256" i="2"/>
  <c r="B233" i="15"/>
  <c r="G242" i="2"/>
  <c r="U254" i="2"/>
  <c r="D231" i="15"/>
  <c r="D244" i="2"/>
  <c r="AK244" i="2"/>
  <c r="T255" i="2"/>
  <c r="C232" i="15"/>
  <c r="E243" i="2"/>
  <c r="W234" i="2"/>
  <c r="F211" i="15"/>
  <c r="E219" i="9"/>
  <c r="F210" i="14"/>
  <c r="O240" i="2"/>
  <c r="D222" i="14"/>
  <c r="J222" i="14"/>
  <c r="K222" i="14"/>
  <c r="M252" i="2"/>
  <c r="E221" i="14"/>
  <c r="C223" i="14"/>
  <c r="I223" i="14"/>
  <c r="L253" i="2"/>
  <c r="B224" i="14"/>
  <c r="H224" i="14"/>
  <c r="K254" i="2"/>
  <c r="B246" i="2"/>
  <c r="AU255" i="2"/>
  <c r="AG221" i="14"/>
  <c r="AH221" i="14"/>
  <c r="N222" i="14"/>
  <c r="O222" i="14"/>
  <c r="P222" i="14"/>
  <c r="Y222" i="14"/>
  <c r="Z222" i="14"/>
  <c r="AF222" i="14"/>
  <c r="AE222" i="14"/>
  <c r="L222" i="14"/>
  <c r="E231" i="15"/>
  <c r="H231" i="15"/>
  <c r="S257" i="2"/>
  <c r="B234" i="15"/>
  <c r="E244" i="2"/>
  <c r="U255" i="2"/>
  <c r="D232" i="15"/>
  <c r="G243" i="2"/>
  <c r="J230" i="15"/>
  <c r="I230" i="15"/>
  <c r="S230" i="15"/>
  <c r="D245" i="2"/>
  <c r="AK245" i="2"/>
  <c r="T256" i="2"/>
  <c r="C233" i="15"/>
  <c r="W235" i="2"/>
  <c r="F212" i="15"/>
  <c r="E220" i="9"/>
  <c r="O241" i="2"/>
  <c r="F211" i="14"/>
  <c r="E222" i="14"/>
  <c r="C224" i="14"/>
  <c r="I224" i="14"/>
  <c r="L254" i="2"/>
  <c r="D223" i="14"/>
  <c r="J223" i="14"/>
  <c r="K223" i="14"/>
  <c r="M253" i="2"/>
  <c r="B225" i="14"/>
  <c r="H225" i="14"/>
  <c r="K255" i="2"/>
  <c r="B247" i="2"/>
  <c r="AU256" i="2"/>
  <c r="AG222" i="14"/>
  <c r="AH222" i="14"/>
  <c r="N223" i="14"/>
  <c r="O223" i="14"/>
  <c r="P223" i="14"/>
  <c r="Y223" i="14"/>
  <c r="Z223" i="14"/>
  <c r="AF223" i="14"/>
  <c r="AE223" i="14"/>
  <c r="L223" i="14"/>
  <c r="S258" i="2"/>
  <c r="B235" i="15"/>
  <c r="U256" i="2"/>
  <c r="D233" i="15"/>
  <c r="J231" i="15"/>
  <c r="I231" i="15"/>
  <c r="S231" i="15"/>
  <c r="D246" i="2"/>
  <c r="AK246" i="2"/>
  <c r="E232" i="15"/>
  <c r="H232" i="15"/>
  <c r="G244" i="2"/>
  <c r="E245" i="2"/>
  <c r="T257" i="2"/>
  <c r="C234" i="15"/>
  <c r="W236" i="2"/>
  <c r="F213" i="15"/>
  <c r="E221" i="9"/>
  <c r="F212" i="14"/>
  <c r="O242" i="2"/>
  <c r="E223" i="14"/>
  <c r="C225" i="14"/>
  <c r="I225" i="14"/>
  <c r="L255" i="2"/>
  <c r="B226" i="14"/>
  <c r="H226" i="14"/>
  <c r="K256" i="2"/>
  <c r="D224" i="14"/>
  <c r="J224" i="14"/>
  <c r="K224" i="14"/>
  <c r="M254" i="2"/>
  <c r="B248" i="2"/>
  <c r="AU257" i="2"/>
  <c r="AG223" i="14"/>
  <c r="AH223" i="14"/>
  <c r="N224" i="14"/>
  <c r="O224" i="14"/>
  <c r="P224" i="14"/>
  <c r="Y224" i="14"/>
  <c r="Z224" i="14"/>
  <c r="AF224" i="14"/>
  <c r="AE224" i="14"/>
  <c r="L224" i="14"/>
  <c r="G245" i="2"/>
  <c r="J232" i="15"/>
  <c r="I232" i="15"/>
  <c r="S232" i="15"/>
  <c r="T258" i="2"/>
  <c r="C235" i="15"/>
  <c r="U257" i="2"/>
  <c r="D234" i="15"/>
  <c r="W237" i="2"/>
  <c r="F214" i="15"/>
  <c r="E222" i="9"/>
  <c r="S259" i="2"/>
  <c r="B236" i="15"/>
  <c r="E233" i="15"/>
  <c r="H233" i="15"/>
  <c r="D247" i="2"/>
  <c r="AK247" i="2"/>
  <c r="E246" i="2"/>
  <c r="F213" i="14"/>
  <c r="O243" i="2"/>
  <c r="B227" i="14"/>
  <c r="H227" i="14"/>
  <c r="K257" i="2"/>
  <c r="E224" i="14"/>
  <c r="C226" i="14"/>
  <c r="I226" i="14"/>
  <c r="L256" i="2"/>
  <c r="D225" i="14"/>
  <c r="J225" i="14"/>
  <c r="K225" i="14"/>
  <c r="M255" i="2"/>
  <c r="B249" i="2"/>
  <c r="AU258" i="2"/>
  <c r="AG224" i="14"/>
  <c r="AH224" i="14"/>
  <c r="N225" i="14"/>
  <c r="O225" i="14"/>
  <c r="P225" i="14"/>
  <c r="Y225" i="14"/>
  <c r="Z225" i="14"/>
  <c r="AF225" i="14"/>
  <c r="AE225" i="14"/>
  <c r="L225" i="14"/>
  <c r="G246" i="2"/>
  <c r="D248" i="2"/>
  <c r="AK248" i="2"/>
  <c r="S260" i="2"/>
  <c r="B237" i="15"/>
  <c r="U258" i="2"/>
  <c r="D235" i="15"/>
  <c r="E247" i="2"/>
  <c r="W238" i="2"/>
  <c r="F215" i="15"/>
  <c r="E223" i="9"/>
  <c r="I233" i="15"/>
  <c r="S233" i="15"/>
  <c r="J233" i="15"/>
  <c r="C250" i="2"/>
  <c r="AL249" i="2"/>
  <c r="T259" i="2"/>
  <c r="C236" i="15"/>
  <c r="E234" i="15"/>
  <c r="H234" i="15"/>
  <c r="F214" i="14"/>
  <c r="O244" i="2"/>
  <c r="D226" i="14"/>
  <c r="J226" i="14"/>
  <c r="K226" i="14"/>
  <c r="M256" i="2"/>
  <c r="C227" i="14"/>
  <c r="I227" i="14"/>
  <c r="L257" i="2"/>
  <c r="E225" i="14"/>
  <c r="B228" i="14"/>
  <c r="H228" i="14"/>
  <c r="K258" i="2"/>
  <c r="B250" i="2"/>
  <c r="AU259" i="2"/>
  <c r="AG225" i="14"/>
  <c r="AH225" i="14"/>
  <c r="AP249" i="2"/>
  <c r="AQ249" i="2"/>
  <c r="N226" i="14"/>
  <c r="O226" i="14"/>
  <c r="P226" i="14"/>
  <c r="Y226" i="14"/>
  <c r="Z226" i="14"/>
  <c r="AE226" i="14"/>
  <c r="L226" i="14"/>
  <c r="T260" i="2"/>
  <c r="C237" i="15"/>
  <c r="U259" i="2"/>
  <c r="D236" i="15"/>
  <c r="W239" i="2"/>
  <c r="F216" i="15"/>
  <c r="E224" i="9"/>
  <c r="G247" i="2"/>
  <c r="I234" i="15"/>
  <c r="S234" i="15"/>
  <c r="J234" i="15"/>
  <c r="E235" i="15"/>
  <c r="H235" i="15"/>
  <c r="S261" i="2"/>
  <c r="B238" i="15"/>
  <c r="E248" i="2"/>
  <c r="D249" i="2"/>
  <c r="AK249" i="2"/>
  <c r="F215" i="14"/>
  <c r="O245" i="2"/>
  <c r="C228" i="14"/>
  <c r="I228" i="14"/>
  <c r="L258" i="2"/>
  <c r="E226" i="14"/>
  <c r="B229" i="14"/>
  <c r="H229" i="14"/>
  <c r="K259" i="2"/>
  <c r="D227" i="14"/>
  <c r="J227" i="14"/>
  <c r="K227" i="14"/>
  <c r="M257" i="2"/>
  <c r="B251" i="2"/>
  <c r="AF226" i="14"/>
  <c r="AG226" i="14"/>
  <c r="AH226" i="14"/>
  <c r="AU260" i="2"/>
  <c r="N227" i="14"/>
  <c r="O227" i="14"/>
  <c r="P227" i="14"/>
  <c r="Y227" i="14"/>
  <c r="Z227" i="14"/>
  <c r="AE227" i="14"/>
  <c r="L227" i="14"/>
  <c r="J235" i="15"/>
  <c r="I235" i="15"/>
  <c r="S235" i="15"/>
  <c r="E249" i="2"/>
  <c r="G248" i="2"/>
  <c r="E236" i="15"/>
  <c r="H236" i="15"/>
  <c r="U260" i="2"/>
  <c r="D237" i="15"/>
  <c r="T261" i="2"/>
  <c r="C238" i="15"/>
  <c r="S262" i="2"/>
  <c r="B239" i="15"/>
  <c r="D250" i="2"/>
  <c r="AK250" i="2"/>
  <c r="W240" i="2"/>
  <c r="F217" i="15"/>
  <c r="E225" i="9"/>
  <c r="F216" i="14"/>
  <c r="O246" i="2"/>
  <c r="C229" i="14"/>
  <c r="I229" i="14"/>
  <c r="L259" i="2"/>
  <c r="E227" i="14"/>
  <c r="D228" i="14"/>
  <c r="J228" i="14"/>
  <c r="K228" i="14"/>
  <c r="M258" i="2"/>
  <c r="B230" i="14"/>
  <c r="H230" i="14"/>
  <c r="K260" i="2"/>
  <c r="B252" i="2"/>
  <c r="AU261" i="2"/>
  <c r="AF227" i="14"/>
  <c r="AG227" i="14"/>
  <c r="AH227" i="14"/>
  <c r="N228" i="14"/>
  <c r="O228" i="14"/>
  <c r="P228" i="14"/>
  <c r="Y228" i="14"/>
  <c r="Z228" i="14"/>
  <c r="AF228" i="14"/>
  <c r="AE228" i="14"/>
  <c r="L228" i="14"/>
  <c r="U261" i="2"/>
  <c r="D238" i="15"/>
  <c r="E250" i="2"/>
  <c r="H250" i="2"/>
  <c r="G249" i="2"/>
  <c r="E237" i="15"/>
  <c r="H237" i="15"/>
  <c r="I236" i="15"/>
  <c r="S236" i="15"/>
  <c r="J236" i="15"/>
  <c r="S263" i="2"/>
  <c r="B240" i="15"/>
  <c r="D251" i="2"/>
  <c r="AK251" i="2"/>
  <c r="T262" i="2"/>
  <c r="C239" i="15"/>
  <c r="W241" i="2"/>
  <c r="F218" i="15"/>
  <c r="E226" i="9"/>
  <c r="O247" i="2"/>
  <c r="F217" i="14"/>
  <c r="D229" i="14"/>
  <c r="J229" i="14"/>
  <c r="K229" i="14"/>
  <c r="M259" i="2"/>
  <c r="B231" i="14"/>
  <c r="H231" i="14"/>
  <c r="K261" i="2"/>
  <c r="E228" i="14"/>
  <c r="C230" i="14"/>
  <c r="I230" i="14"/>
  <c r="L260" i="2"/>
  <c r="B253" i="2"/>
  <c r="AU262" i="2"/>
  <c r="AG228" i="14"/>
  <c r="AH228" i="14"/>
  <c r="N229" i="14"/>
  <c r="O229" i="14"/>
  <c r="P229" i="14"/>
  <c r="Y229" i="14"/>
  <c r="Z229" i="14"/>
  <c r="AF229" i="14"/>
  <c r="AE229" i="14"/>
  <c r="L229" i="14"/>
  <c r="U262" i="2"/>
  <c r="D239" i="15"/>
  <c r="T263" i="2"/>
  <c r="C240" i="15"/>
  <c r="E251" i="2"/>
  <c r="I237" i="15"/>
  <c r="S237" i="15"/>
  <c r="J237" i="15"/>
  <c r="G250" i="2"/>
  <c r="D252" i="2"/>
  <c r="AK252" i="2"/>
  <c r="S264" i="2"/>
  <c r="B241" i="15"/>
  <c r="W242" i="2"/>
  <c r="F219" i="15"/>
  <c r="E227" i="9"/>
  <c r="E238" i="15"/>
  <c r="H238" i="15"/>
  <c r="O248" i="2"/>
  <c r="F218" i="14"/>
  <c r="E229" i="14"/>
  <c r="C231" i="14"/>
  <c r="I231" i="14"/>
  <c r="L261" i="2"/>
  <c r="B232" i="14"/>
  <c r="H232" i="14"/>
  <c r="K262" i="2"/>
  <c r="D230" i="14"/>
  <c r="J230" i="14"/>
  <c r="K230" i="14"/>
  <c r="M260" i="2"/>
  <c r="B254" i="2"/>
  <c r="AU263" i="2"/>
  <c r="AG229" i="14"/>
  <c r="AH229" i="14"/>
  <c r="N230" i="14"/>
  <c r="O230" i="14"/>
  <c r="P230" i="14"/>
  <c r="Y230" i="14"/>
  <c r="Z230" i="14"/>
  <c r="AF230" i="14"/>
  <c r="AE230" i="14"/>
  <c r="L230" i="14"/>
  <c r="T264" i="2"/>
  <c r="C241" i="15"/>
  <c r="U263" i="2"/>
  <c r="D240" i="15"/>
  <c r="D253" i="2"/>
  <c r="AK253" i="2"/>
  <c r="G251" i="2"/>
  <c r="E252" i="2"/>
  <c r="W243" i="2"/>
  <c r="F220" i="15"/>
  <c r="E228" i="9"/>
  <c r="E239" i="15"/>
  <c r="H239" i="15"/>
  <c r="S265" i="2"/>
  <c r="B242" i="15"/>
  <c r="I238" i="15"/>
  <c r="S238" i="15"/>
  <c r="J238" i="15"/>
  <c r="O249" i="2"/>
  <c r="F219" i="14"/>
  <c r="C232" i="14"/>
  <c r="I232" i="14"/>
  <c r="L262" i="2"/>
  <c r="D231" i="14"/>
  <c r="J231" i="14"/>
  <c r="K231" i="14"/>
  <c r="M261" i="2"/>
  <c r="B233" i="14"/>
  <c r="H233" i="14"/>
  <c r="K263" i="2"/>
  <c r="E230" i="14"/>
  <c r="B255" i="2"/>
  <c r="AU264" i="2"/>
  <c r="AG230" i="14"/>
  <c r="AH230" i="14"/>
  <c r="N231" i="14"/>
  <c r="O231" i="14"/>
  <c r="P231" i="14"/>
  <c r="Y231" i="14"/>
  <c r="Z231" i="14"/>
  <c r="AF231" i="14"/>
  <c r="AE231" i="14"/>
  <c r="L231" i="14"/>
  <c r="S266" i="2"/>
  <c r="B243" i="15"/>
  <c r="J239" i="15"/>
  <c r="I239" i="15"/>
  <c r="S239" i="15"/>
  <c r="E240" i="15"/>
  <c r="H240" i="15"/>
  <c r="D254" i="2"/>
  <c r="AK254" i="2"/>
  <c r="W244" i="2"/>
  <c r="F221" i="15"/>
  <c r="E229" i="9"/>
  <c r="G252" i="2"/>
  <c r="T265" i="2"/>
  <c r="C242" i="15"/>
  <c r="E253" i="2"/>
  <c r="U264" i="2"/>
  <c r="D241" i="15"/>
  <c r="F220" i="14"/>
  <c r="O250" i="2"/>
  <c r="C233" i="14"/>
  <c r="I233" i="14"/>
  <c r="L263" i="2"/>
  <c r="D232" i="14"/>
  <c r="J232" i="14"/>
  <c r="K232" i="14"/>
  <c r="M262" i="2"/>
  <c r="B234" i="14"/>
  <c r="H234" i="14"/>
  <c r="K264" i="2"/>
  <c r="E231" i="14"/>
  <c r="B256" i="2"/>
  <c r="AU265" i="2"/>
  <c r="AG231" i="14"/>
  <c r="AH231" i="14"/>
  <c r="N232" i="14"/>
  <c r="O232" i="14"/>
  <c r="P232" i="14"/>
  <c r="Y232" i="14"/>
  <c r="Z232" i="14"/>
  <c r="AF232" i="14"/>
  <c r="AE232" i="14"/>
  <c r="L232" i="14"/>
  <c r="W245" i="2"/>
  <c r="F222" i="15"/>
  <c r="E230" i="9"/>
  <c r="G253" i="2"/>
  <c r="T266" i="2"/>
  <c r="C243" i="15"/>
  <c r="S267" i="2"/>
  <c r="B244" i="15"/>
  <c r="J240" i="15"/>
  <c r="I240" i="15"/>
  <c r="S240" i="15"/>
  <c r="E241" i="15"/>
  <c r="H241" i="15"/>
  <c r="U265" i="2"/>
  <c r="D242" i="15"/>
  <c r="D255" i="2"/>
  <c r="AK255" i="2"/>
  <c r="E254" i="2"/>
  <c r="F221" i="14"/>
  <c r="O251" i="2"/>
  <c r="D233" i="14"/>
  <c r="J233" i="14"/>
  <c r="K233" i="14"/>
  <c r="M263" i="2"/>
  <c r="B235" i="14"/>
  <c r="H235" i="14"/>
  <c r="K265" i="2"/>
  <c r="C234" i="14"/>
  <c r="I234" i="14"/>
  <c r="L264" i="2"/>
  <c r="E232" i="14"/>
  <c r="B257" i="2"/>
  <c r="AU266" i="2"/>
  <c r="AG232" i="14"/>
  <c r="AH232" i="14"/>
  <c r="N233" i="14"/>
  <c r="O233" i="14"/>
  <c r="P233" i="14"/>
  <c r="Y233" i="14"/>
  <c r="Z233" i="14"/>
  <c r="AF233" i="14"/>
  <c r="AE233" i="14"/>
  <c r="L233" i="14"/>
  <c r="G254" i="2"/>
  <c r="E255" i="2"/>
  <c r="T267" i="2"/>
  <c r="C244" i="15"/>
  <c r="E242" i="15"/>
  <c r="H242" i="15"/>
  <c r="U266" i="2"/>
  <c r="D243" i="15"/>
  <c r="W246" i="2"/>
  <c r="F223" i="15"/>
  <c r="E231" i="9"/>
  <c r="S268" i="2"/>
  <c r="B245" i="15"/>
  <c r="D256" i="2"/>
  <c r="AK256" i="2"/>
  <c r="I241" i="15"/>
  <c r="S241" i="15"/>
  <c r="J241" i="15"/>
  <c r="F222" i="14"/>
  <c r="O252" i="2"/>
  <c r="E233" i="14"/>
  <c r="B236" i="14"/>
  <c r="H236" i="14"/>
  <c r="K266" i="2"/>
  <c r="C235" i="14"/>
  <c r="I235" i="14"/>
  <c r="L265" i="2"/>
  <c r="D234" i="14"/>
  <c r="J234" i="14"/>
  <c r="K234" i="14"/>
  <c r="M264" i="2"/>
  <c r="B258" i="2"/>
  <c r="AU267" i="2"/>
  <c r="AG233" i="14"/>
  <c r="AH233" i="14"/>
  <c r="N234" i="14"/>
  <c r="O234" i="14"/>
  <c r="P234" i="14"/>
  <c r="Y234" i="14"/>
  <c r="Z234" i="14"/>
  <c r="AF234" i="14"/>
  <c r="AE234" i="14"/>
  <c r="L234" i="14"/>
  <c r="U267" i="2"/>
  <c r="D244" i="15"/>
  <c r="E243" i="15"/>
  <c r="H243" i="15"/>
  <c r="G255" i="2"/>
  <c r="I242" i="15"/>
  <c r="S242" i="15"/>
  <c r="J242" i="15"/>
  <c r="D257" i="2"/>
  <c r="AK257" i="2"/>
  <c r="E256" i="2"/>
  <c r="W247" i="2"/>
  <c r="F224" i="15"/>
  <c r="E232" i="9"/>
  <c r="S269" i="2"/>
  <c r="B246" i="15"/>
  <c r="T268" i="2"/>
  <c r="C245" i="15"/>
  <c r="O253" i="2"/>
  <c r="F223" i="14"/>
  <c r="D235" i="14"/>
  <c r="J235" i="14"/>
  <c r="K235" i="14"/>
  <c r="M265" i="2"/>
  <c r="B237" i="14"/>
  <c r="H237" i="14"/>
  <c r="K267" i="2"/>
  <c r="E234" i="14"/>
  <c r="C236" i="14"/>
  <c r="I236" i="14"/>
  <c r="L266" i="2"/>
  <c r="B259" i="2"/>
  <c r="AU268" i="2"/>
  <c r="AG234" i="14"/>
  <c r="AH234" i="14"/>
  <c r="N235" i="14"/>
  <c r="O235" i="14"/>
  <c r="P235" i="14"/>
  <c r="Y235" i="14"/>
  <c r="Z235" i="14"/>
  <c r="AF235" i="14"/>
  <c r="AE235" i="14"/>
  <c r="L235" i="14"/>
  <c r="G256" i="2"/>
  <c r="S270" i="2"/>
  <c r="B247" i="15"/>
  <c r="D258" i="2"/>
  <c r="AK258" i="2"/>
  <c r="E257" i="2"/>
  <c r="U268" i="2"/>
  <c r="D245" i="15"/>
  <c r="J243" i="15"/>
  <c r="I243" i="15"/>
  <c r="S243" i="15"/>
  <c r="T269" i="2"/>
  <c r="C246" i="15"/>
  <c r="W248" i="2"/>
  <c r="F225" i="15"/>
  <c r="E233" i="9"/>
  <c r="E244" i="15"/>
  <c r="H244" i="15"/>
  <c r="O254" i="2"/>
  <c r="F224" i="14"/>
  <c r="C237" i="14"/>
  <c r="I237" i="14"/>
  <c r="L267" i="2"/>
  <c r="B238" i="14"/>
  <c r="H238" i="14"/>
  <c r="K268" i="2"/>
  <c r="D236" i="14"/>
  <c r="J236" i="14"/>
  <c r="K236" i="14"/>
  <c r="M266" i="2"/>
  <c r="E235" i="14"/>
  <c r="B260" i="2"/>
  <c r="AU269" i="2"/>
  <c r="AG235" i="14"/>
  <c r="AH235" i="14"/>
  <c r="N236" i="14"/>
  <c r="O236" i="14"/>
  <c r="P236" i="14"/>
  <c r="Y236" i="14"/>
  <c r="Z236" i="14"/>
  <c r="AF236" i="14"/>
  <c r="AE236" i="14"/>
  <c r="L236" i="14"/>
  <c r="W249" i="2"/>
  <c r="F226" i="15"/>
  <c r="E234" i="9"/>
  <c r="E245" i="15"/>
  <c r="H245" i="15"/>
  <c r="S271" i="2"/>
  <c r="B248" i="15"/>
  <c r="T270" i="2"/>
  <c r="C247" i="15"/>
  <c r="E258" i="2"/>
  <c r="D259" i="2"/>
  <c r="AK259" i="2"/>
  <c r="J244" i="15"/>
  <c r="I244" i="15"/>
  <c r="S244" i="15"/>
  <c r="U269" i="2"/>
  <c r="D246" i="15"/>
  <c r="G257" i="2"/>
  <c r="O255" i="2"/>
  <c r="F225" i="14"/>
  <c r="B239" i="14"/>
  <c r="H239" i="14"/>
  <c r="K269" i="2"/>
  <c r="E236" i="14"/>
  <c r="C238" i="14"/>
  <c r="I238" i="14"/>
  <c r="L268" i="2"/>
  <c r="D237" i="14"/>
  <c r="J237" i="14"/>
  <c r="K237" i="14"/>
  <c r="M267" i="2"/>
  <c r="B261" i="2"/>
  <c r="AU270" i="2"/>
  <c r="AG236" i="14"/>
  <c r="AH236" i="14"/>
  <c r="N237" i="14"/>
  <c r="O237" i="14"/>
  <c r="P237" i="14"/>
  <c r="Y237" i="14"/>
  <c r="Z237" i="14"/>
  <c r="AF237" i="14"/>
  <c r="AE237" i="14"/>
  <c r="L237" i="14"/>
  <c r="G258" i="2"/>
  <c r="E246" i="15"/>
  <c r="H246" i="15"/>
  <c r="I245" i="15"/>
  <c r="S245" i="15"/>
  <c r="J245" i="15"/>
  <c r="S272" i="2"/>
  <c r="B249" i="15"/>
  <c r="U270" i="2"/>
  <c r="D247" i="15"/>
  <c r="C262" i="2"/>
  <c r="AL261" i="2"/>
  <c r="W250" i="2"/>
  <c r="F227" i="15"/>
  <c r="E235" i="9"/>
  <c r="T271" i="2"/>
  <c r="C248" i="15"/>
  <c r="D260" i="2"/>
  <c r="AK260" i="2"/>
  <c r="E259" i="2"/>
  <c r="O256" i="2"/>
  <c r="F226" i="14"/>
  <c r="D238" i="14"/>
  <c r="J238" i="14"/>
  <c r="K238" i="14"/>
  <c r="M268" i="2"/>
  <c r="C239" i="14"/>
  <c r="I239" i="14"/>
  <c r="L269" i="2"/>
  <c r="E237" i="14"/>
  <c r="B240" i="14"/>
  <c r="H240" i="14"/>
  <c r="K270" i="2"/>
  <c r="B262" i="2"/>
  <c r="AU271" i="2"/>
  <c r="AP261" i="2"/>
  <c r="AQ261" i="2"/>
  <c r="AG237" i="14"/>
  <c r="AH237" i="14"/>
  <c r="N238" i="14"/>
  <c r="O238" i="14"/>
  <c r="P238" i="14"/>
  <c r="Y238" i="14"/>
  <c r="Z238" i="14"/>
  <c r="AE238" i="14"/>
  <c r="L238" i="14"/>
  <c r="E260" i="2"/>
  <c r="S273" i="2"/>
  <c r="B250" i="15"/>
  <c r="J246" i="15"/>
  <c r="I246" i="15"/>
  <c r="S246" i="15"/>
  <c r="D261" i="2"/>
  <c r="AK261" i="2"/>
  <c r="U271" i="2"/>
  <c r="D248" i="15"/>
  <c r="G259" i="2"/>
  <c r="W251" i="2"/>
  <c r="F228" i="15"/>
  <c r="E236" i="9"/>
  <c r="E247" i="15"/>
  <c r="H247" i="15"/>
  <c r="T272" i="2"/>
  <c r="C249" i="15"/>
  <c r="F227" i="14"/>
  <c r="O257" i="2"/>
  <c r="D239" i="14"/>
  <c r="J239" i="14"/>
  <c r="K239" i="14"/>
  <c r="M269" i="2"/>
  <c r="C240" i="14"/>
  <c r="I240" i="14"/>
  <c r="L270" i="2"/>
  <c r="B241" i="14"/>
  <c r="H241" i="14"/>
  <c r="K271" i="2"/>
  <c r="E238" i="14"/>
  <c r="B263" i="2"/>
  <c r="AF238" i="14"/>
  <c r="AG238" i="14"/>
  <c r="AH238" i="14"/>
  <c r="AU272" i="2"/>
  <c r="N239" i="14"/>
  <c r="O239" i="14"/>
  <c r="P239" i="14"/>
  <c r="Y239" i="14"/>
  <c r="Z239" i="14"/>
  <c r="AE239" i="14"/>
  <c r="L239" i="14"/>
  <c r="S274" i="2"/>
  <c r="B251" i="15"/>
  <c r="J247" i="15"/>
  <c r="I247" i="15"/>
  <c r="S247" i="15"/>
  <c r="E248" i="15"/>
  <c r="H248" i="15"/>
  <c r="E261" i="2"/>
  <c r="U272" i="2"/>
  <c r="D249" i="15"/>
  <c r="T273" i="2"/>
  <c r="C250" i="15"/>
  <c r="D262" i="2"/>
  <c r="AK262" i="2"/>
  <c r="W252" i="2"/>
  <c r="F229" i="15"/>
  <c r="E237" i="9"/>
  <c r="G260" i="2"/>
  <c r="O258" i="2"/>
  <c r="F228" i="14"/>
  <c r="D240" i="14"/>
  <c r="J240" i="14"/>
  <c r="K240" i="14"/>
  <c r="M270" i="2"/>
  <c r="C241" i="14"/>
  <c r="I241" i="14"/>
  <c r="L271" i="2"/>
  <c r="B242" i="14"/>
  <c r="H242" i="14"/>
  <c r="K272" i="2"/>
  <c r="E239" i="14"/>
  <c r="B264" i="2"/>
  <c r="AU273" i="2"/>
  <c r="AF239" i="14"/>
  <c r="AG239" i="14"/>
  <c r="AH239" i="14"/>
  <c r="N240" i="14"/>
  <c r="O240" i="14"/>
  <c r="P240" i="14"/>
  <c r="Y240" i="14"/>
  <c r="Z240" i="14"/>
  <c r="AE240" i="14"/>
  <c r="L240" i="14"/>
  <c r="S275" i="2"/>
  <c r="B252" i="15"/>
  <c r="E262" i="2"/>
  <c r="H262" i="2"/>
  <c r="G261" i="2"/>
  <c r="E249" i="15"/>
  <c r="H249" i="15"/>
  <c r="T274" i="2"/>
  <c r="C251" i="15"/>
  <c r="D263" i="2"/>
  <c r="AK263" i="2"/>
  <c r="U273" i="2"/>
  <c r="D250" i="15"/>
  <c r="W253" i="2"/>
  <c r="F230" i="15"/>
  <c r="E238" i="9"/>
  <c r="J248" i="15"/>
  <c r="I248" i="15"/>
  <c r="S248" i="15"/>
  <c r="F229" i="14"/>
  <c r="O259" i="2"/>
  <c r="D241" i="14"/>
  <c r="J241" i="14"/>
  <c r="K241" i="14"/>
  <c r="M271" i="2"/>
  <c r="B243" i="14"/>
  <c r="H243" i="14"/>
  <c r="K273" i="2"/>
  <c r="C242" i="14"/>
  <c r="I242" i="14"/>
  <c r="L272" i="2"/>
  <c r="E240" i="14"/>
  <c r="B265" i="2"/>
  <c r="AU274" i="2"/>
  <c r="AF240" i="14"/>
  <c r="AG240" i="14"/>
  <c r="AH240" i="14"/>
  <c r="N241" i="14"/>
  <c r="O241" i="14"/>
  <c r="P241" i="14"/>
  <c r="Y241" i="14"/>
  <c r="Z241" i="14"/>
  <c r="AF241" i="14"/>
  <c r="AE241" i="14"/>
  <c r="L241" i="14"/>
  <c r="U274" i="2"/>
  <c r="D251" i="15"/>
  <c r="S276" i="2"/>
  <c r="B253" i="15"/>
  <c r="I249" i="15"/>
  <c r="S249" i="15"/>
  <c r="J249" i="15"/>
  <c r="G262" i="2"/>
  <c r="T275" i="2"/>
  <c r="C252" i="15"/>
  <c r="E263" i="2"/>
  <c r="W254" i="2"/>
  <c r="F231" i="15"/>
  <c r="E239" i="9"/>
  <c r="D264" i="2"/>
  <c r="AK264" i="2"/>
  <c r="E250" i="15"/>
  <c r="H250" i="15"/>
  <c r="F230" i="14"/>
  <c r="O260" i="2"/>
  <c r="B244" i="14"/>
  <c r="H244" i="14"/>
  <c r="K274" i="2"/>
  <c r="D242" i="14"/>
  <c r="J242" i="14"/>
  <c r="K242" i="14"/>
  <c r="M272" i="2"/>
  <c r="C243" i="14"/>
  <c r="I243" i="14"/>
  <c r="L273" i="2"/>
  <c r="E241" i="14"/>
  <c r="B266" i="2"/>
  <c r="AU275" i="2"/>
  <c r="AG241" i="14"/>
  <c r="AH241" i="14"/>
  <c r="N242" i="14"/>
  <c r="O242" i="14"/>
  <c r="P242" i="14"/>
  <c r="Y242" i="14"/>
  <c r="Z242" i="14"/>
  <c r="AF242" i="14"/>
  <c r="AE242" i="14"/>
  <c r="L242" i="14"/>
  <c r="U275" i="2"/>
  <c r="D252" i="15"/>
  <c r="W255" i="2"/>
  <c r="F232" i="15"/>
  <c r="E240" i="9"/>
  <c r="G263" i="2"/>
  <c r="E264" i="2"/>
  <c r="T276" i="2"/>
  <c r="C253" i="15"/>
  <c r="E251" i="15"/>
  <c r="H251" i="15"/>
  <c r="S277" i="2"/>
  <c r="B254" i="15"/>
  <c r="D265" i="2"/>
  <c r="AK265" i="2"/>
  <c r="I250" i="15"/>
  <c r="S250" i="15"/>
  <c r="J250" i="15"/>
  <c r="F231" i="14"/>
  <c r="O261" i="2"/>
  <c r="D243" i="14"/>
  <c r="J243" i="14"/>
  <c r="K243" i="14"/>
  <c r="M273" i="2"/>
  <c r="C244" i="14"/>
  <c r="I244" i="14"/>
  <c r="L274" i="2"/>
  <c r="B245" i="14"/>
  <c r="H245" i="14"/>
  <c r="K275" i="2"/>
  <c r="E242" i="14"/>
  <c r="B267" i="2"/>
  <c r="AU276" i="2"/>
  <c r="AG242" i="14"/>
  <c r="AH242" i="14"/>
  <c r="N243" i="14"/>
  <c r="O243" i="14"/>
  <c r="P243" i="14"/>
  <c r="Y243" i="14"/>
  <c r="Z243" i="14"/>
  <c r="AF243" i="14"/>
  <c r="AE243" i="14"/>
  <c r="L243" i="14"/>
  <c r="W256" i="2"/>
  <c r="F233" i="15"/>
  <c r="E241" i="9"/>
  <c r="T277" i="2"/>
  <c r="C254" i="15"/>
  <c r="G264" i="2"/>
  <c r="S278" i="2"/>
  <c r="B255" i="15"/>
  <c r="J251" i="15"/>
  <c r="I251" i="15"/>
  <c r="S251" i="15"/>
  <c r="E252" i="15"/>
  <c r="H252" i="15"/>
  <c r="E265" i="2"/>
  <c r="U276" i="2"/>
  <c r="D253" i="15"/>
  <c r="D266" i="2"/>
  <c r="AK266" i="2"/>
  <c r="O262" i="2"/>
  <c r="F232" i="14"/>
  <c r="D244" i="14"/>
  <c r="J244" i="14"/>
  <c r="K244" i="14"/>
  <c r="M274" i="2"/>
  <c r="C245" i="14"/>
  <c r="I245" i="14"/>
  <c r="L275" i="2"/>
  <c r="B246" i="14"/>
  <c r="H246" i="14"/>
  <c r="K276" i="2"/>
  <c r="E243" i="14"/>
  <c r="B268" i="2"/>
  <c r="AU277" i="2"/>
  <c r="AG243" i="14"/>
  <c r="AH243" i="14"/>
  <c r="N244" i="14"/>
  <c r="O244" i="14"/>
  <c r="P244" i="14"/>
  <c r="Y244" i="14"/>
  <c r="Z244" i="14"/>
  <c r="AF244" i="14"/>
  <c r="AE244" i="14"/>
  <c r="L244" i="14"/>
  <c r="E253" i="15"/>
  <c r="H253" i="15"/>
  <c r="S279" i="2"/>
  <c r="B256" i="15"/>
  <c r="W257" i="2"/>
  <c r="F234" i="15"/>
  <c r="E242" i="9"/>
  <c r="E266" i="2"/>
  <c r="U277" i="2"/>
  <c r="D254" i="15"/>
  <c r="D267" i="2"/>
  <c r="AK267" i="2"/>
  <c r="G265" i="2"/>
  <c r="T278" i="2"/>
  <c r="C255" i="15"/>
  <c r="J252" i="15"/>
  <c r="I252" i="15"/>
  <c r="S252" i="15"/>
  <c r="F233" i="14"/>
  <c r="O263" i="2"/>
  <c r="C246" i="14"/>
  <c r="I246" i="14"/>
  <c r="L276" i="2"/>
  <c r="D245" i="14"/>
  <c r="J245" i="14"/>
  <c r="K245" i="14"/>
  <c r="M275" i="2"/>
  <c r="B247" i="14"/>
  <c r="H247" i="14"/>
  <c r="K277" i="2"/>
  <c r="E244" i="14"/>
  <c r="B269" i="2"/>
  <c r="AU278" i="2"/>
  <c r="AG244" i="14"/>
  <c r="AH244" i="14"/>
  <c r="N245" i="14"/>
  <c r="O245" i="14"/>
  <c r="P245" i="14"/>
  <c r="Y245" i="14"/>
  <c r="Z245" i="14"/>
  <c r="AF245" i="14"/>
  <c r="AE245" i="14"/>
  <c r="L245" i="14"/>
  <c r="D268" i="2"/>
  <c r="AK268" i="2"/>
  <c r="U278" i="2"/>
  <c r="D255" i="15"/>
  <c r="G266" i="2"/>
  <c r="S280" i="2"/>
  <c r="B257" i="15"/>
  <c r="T279" i="2"/>
  <c r="C256" i="15"/>
  <c r="W258" i="2"/>
  <c r="F235" i="15"/>
  <c r="E243" i="9"/>
  <c r="E254" i="15"/>
  <c r="H254" i="15"/>
  <c r="I253" i="15"/>
  <c r="S253" i="15"/>
  <c r="J253" i="15"/>
  <c r="E267" i="2"/>
  <c r="F234" i="14"/>
  <c r="O264" i="2"/>
  <c r="E245" i="14"/>
  <c r="C247" i="14"/>
  <c r="I247" i="14"/>
  <c r="L277" i="2"/>
  <c r="B248" i="14"/>
  <c r="H248" i="14"/>
  <c r="K278" i="2"/>
  <c r="D246" i="14"/>
  <c r="J246" i="14"/>
  <c r="K246" i="14"/>
  <c r="M276" i="2"/>
  <c r="B270" i="2"/>
  <c r="AU279" i="2"/>
  <c r="AG245" i="14"/>
  <c r="AH245" i="14"/>
  <c r="N246" i="14"/>
  <c r="O246" i="14"/>
  <c r="P246" i="14"/>
  <c r="Y246" i="14"/>
  <c r="Z246" i="14"/>
  <c r="AE246" i="14"/>
  <c r="L246" i="14"/>
  <c r="W259" i="2"/>
  <c r="F236" i="15"/>
  <c r="E244" i="9"/>
  <c r="S281" i="2"/>
  <c r="B258" i="15"/>
  <c r="U279" i="2"/>
  <c r="D256" i="15"/>
  <c r="T280" i="2"/>
  <c r="C257" i="15"/>
  <c r="G267" i="2"/>
  <c r="I254" i="15"/>
  <c r="S254" i="15"/>
  <c r="J254" i="15"/>
  <c r="E255" i="15"/>
  <c r="H255" i="15"/>
  <c r="D269" i="2"/>
  <c r="AK269" i="2"/>
  <c r="E268" i="2"/>
  <c r="F235" i="14"/>
  <c r="O265" i="2"/>
  <c r="C248" i="14"/>
  <c r="I248" i="14"/>
  <c r="L278" i="2"/>
  <c r="B249" i="14"/>
  <c r="H249" i="14"/>
  <c r="K279" i="2"/>
  <c r="D247" i="14"/>
  <c r="J247" i="14"/>
  <c r="K247" i="14"/>
  <c r="M277" i="2"/>
  <c r="E246" i="14"/>
  <c r="B271" i="2"/>
  <c r="AF246" i="14"/>
  <c r="AG246" i="14"/>
  <c r="AH246" i="14"/>
  <c r="AU280" i="2"/>
  <c r="N247" i="14"/>
  <c r="O247" i="14"/>
  <c r="P247" i="14"/>
  <c r="Y247" i="14"/>
  <c r="Z247" i="14"/>
  <c r="AF247" i="14"/>
  <c r="AE247" i="14"/>
  <c r="L247" i="14"/>
  <c r="G268" i="2"/>
  <c r="E269" i="2"/>
  <c r="E256" i="15"/>
  <c r="H256" i="15"/>
  <c r="J255" i="15"/>
  <c r="I255" i="15"/>
  <c r="S255" i="15"/>
  <c r="S282" i="2"/>
  <c r="B259" i="15"/>
  <c r="U280" i="2"/>
  <c r="D257" i="15"/>
  <c r="T281" i="2"/>
  <c r="C258" i="15"/>
  <c r="W260" i="2"/>
  <c r="F237" i="15"/>
  <c r="E245" i="9"/>
  <c r="D270" i="2"/>
  <c r="AK270" i="2"/>
  <c r="F236" i="14"/>
  <c r="O266" i="2"/>
  <c r="C249" i="14"/>
  <c r="I249" i="14"/>
  <c r="L279" i="2"/>
  <c r="B250" i="14"/>
  <c r="H250" i="14"/>
  <c r="K280" i="2"/>
  <c r="E247" i="14"/>
  <c r="D248" i="14"/>
  <c r="J248" i="14"/>
  <c r="K248" i="14"/>
  <c r="M278" i="2"/>
  <c r="B272" i="2"/>
  <c r="AU281" i="2"/>
  <c r="AG247" i="14"/>
  <c r="AH247" i="14"/>
  <c r="N248" i="14"/>
  <c r="O248" i="14"/>
  <c r="P248" i="14"/>
  <c r="Y248" i="14"/>
  <c r="Z248" i="14"/>
  <c r="AF248" i="14"/>
  <c r="AE248" i="14"/>
  <c r="L248" i="14"/>
  <c r="E270" i="2"/>
  <c r="W261" i="2"/>
  <c r="F238" i="15"/>
  <c r="E246" i="9"/>
  <c r="E257" i="15"/>
  <c r="H257" i="15"/>
  <c r="G269" i="2"/>
  <c r="J256" i="15"/>
  <c r="I256" i="15"/>
  <c r="S256" i="15"/>
  <c r="S283" i="2"/>
  <c r="B260" i="15"/>
  <c r="T282" i="2"/>
  <c r="C259" i="15"/>
  <c r="D271" i="2"/>
  <c r="AK271" i="2"/>
  <c r="U281" i="2"/>
  <c r="D258" i="15"/>
  <c r="F237" i="14"/>
  <c r="O267" i="2"/>
  <c r="B251" i="14"/>
  <c r="H251" i="14"/>
  <c r="E248" i="14"/>
  <c r="C250" i="14"/>
  <c r="I250" i="14"/>
  <c r="L280" i="2"/>
  <c r="D249" i="14"/>
  <c r="J249" i="14"/>
  <c r="K249" i="14"/>
  <c r="M279" i="2"/>
  <c r="B273" i="2"/>
  <c r="AU282" i="2"/>
  <c r="AG248" i="14"/>
  <c r="AH248" i="14"/>
  <c r="N249" i="14"/>
  <c r="O249" i="14"/>
  <c r="P249" i="14"/>
  <c r="Y249" i="14"/>
  <c r="Z249" i="14"/>
  <c r="AF249" i="14"/>
  <c r="AE249" i="14"/>
  <c r="L249" i="14"/>
  <c r="I257" i="15"/>
  <c r="S257" i="15"/>
  <c r="J257" i="15"/>
  <c r="E258" i="15"/>
  <c r="H258" i="15"/>
  <c r="E271" i="2"/>
  <c r="W262" i="2"/>
  <c r="F239" i="15"/>
  <c r="E247" i="9"/>
  <c r="C274" i="2"/>
  <c r="AL273" i="2"/>
  <c r="U282" i="2"/>
  <c r="D259" i="15"/>
  <c r="D272" i="2"/>
  <c r="AK272" i="2"/>
  <c r="S284" i="2"/>
  <c r="B261" i="15"/>
  <c r="T283" i="2"/>
  <c r="C260" i="15"/>
  <c r="G270" i="2"/>
  <c r="F238" i="14"/>
  <c r="O268" i="2"/>
  <c r="B252" i="14"/>
  <c r="H252" i="14"/>
  <c r="E249" i="14"/>
  <c r="M281" i="2"/>
  <c r="C251" i="14"/>
  <c r="I251" i="14"/>
  <c r="D250" i="14"/>
  <c r="J250" i="14"/>
  <c r="K250" i="14"/>
  <c r="M280" i="2"/>
  <c r="B274" i="2"/>
  <c r="AU283" i="2"/>
  <c r="AP273" i="2"/>
  <c r="AQ273" i="2"/>
  <c r="AG249" i="14"/>
  <c r="AH249" i="14"/>
  <c r="N250" i="14"/>
  <c r="O250" i="14"/>
  <c r="P250" i="14"/>
  <c r="Y250" i="14"/>
  <c r="Z250" i="14"/>
  <c r="AF250" i="14"/>
  <c r="AE250" i="14"/>
  <c r="L250" i="14"/>
  <c r="E272" i="2"/>
  <c r="U283" i="2"/>
  <c r="D260" i="15"/>
  <c r="E259" i="15"/>
  <c r="H259" i="15"/>
  <c r="J258" i="15"/>
  <c r="I258" i="15"/>
  <c r="S258" i="15"/>
  <c r="W263" i="2"/>
  <c r="F240" i="15"/>
  <c r="E248" i="9"/>
  <c r="D273" i="2"/>
  <c r="AK273" i="2"/>
  <c r="G271" i="2"/>
  <c r="T284" i="2"/>
  <c r="C261" i="15"/>
  <c r="S285" i="2"/>
  <c r="B262" i="15"/>
  <c r="F239" i="14"/>
  <c r="O269" i="2"/>
  <c r="D251" i="14"/>
  <c r="J251" i="14"/>
  <c r="K251" i="14"/>
  <c r="B253" i="14"/>
  <c r="H253" i="14"/>
  <c r="E250" i="14"/>
  <c r="M282" i="2"/>
  <c r="C252" i="14"/>
  <c r="I252" i="14"/>
  <c r="B275" i="2"/>
  <c r="AU284" i="2"/>
  <c r="AG250" i="14"/>
  <c r="AH250" i="14"/>
  <c r="N251" i="14"/>
  <c r="O251" i="14"/>
  <c r="P251" i="14"/>
  <c r="Y251" i="14"/>
  <c r="Z251" i="14"/>
  <c r="AF251" i="14"/>
  <c r="AE251" i="14"/>
  <c r="L251" i="14"/>
  <c r="D274" i="2"/>
  <c r="AK274" i="2"/>
  <c r="W264" i="2"/>
  <c r="F241" i="15"/>
  <c r="E249" i="9"/>
  <c r="T285" i="2"/>
  <c r="C262" i="15"/>
  <c r="U284" i="2"/>
  <c r="D261" i="15"/>
  <c r="E260" i="15"/>
  <c r="H260" i="15"/>
  <c r="E273" i="2"/>
  <c r="J259" i="15"/>
  <c r="I259" i="15"/>
  <c r="S259" i="15"/>
  <c r="G272" i="2"/>
  <c r="F240" i="14"/>
  <c r="O270" i="2"/>
  <c r="D252" i="14"/>
  <c r="J252" i="14"/>
  <c r="K252" i="14"/>
  <c r="M283" i="2"/>
  <c r="C253" i="14"/>
  <c r="I253" i="14"/>
  <c r="B254" i="14"/>
  <c r="H254" i="14"/>
  <c r="E251" i="14"/>
  <c r="B276" i="2"/>
  <c r="AU285" i="2"/>
  <c r="AG251" i="14"/>
  <c r="AH251" i="14"/>
  <c r="N252" i="14"/>
  <c r="O252" i="14"/>
  <c r="P252" i="14"/>
  <c r="Y252" i="14"/>
  <c r="Z252" i="14"/>
  <c r="AF252" i="14"/>
  <c r="AE252" i="14"/>
  <c r="L252" i="14"/>
  <c r="W265" i="2"/>
  <c r="F242" i="15"/>
  <c r="E250" i="9"/>
  <c r="U285" i="2"/>
  <c r="D262" i="15"/>
  <c r="D275" i="2"/>
  <c r="AK275" i="2"/>
  <c r="G273" i="2"/>
  <c r="J260" i="15"/>
  <c r="I260" i="15"/>
  <c r="S260" i="15"/>
  <c r="E261" i="15"/>
  <c r="H261" i="15"/>
  <c r="E274" i="2"/>
  <c r="H274" i="2"/>
  <c r="O271" i="2"/>
  <c r="F241" i="14"/>
  <c r="M284" i="2"/>
  <c r="C254" i="14"/>
  <c r="I254" i="14"/>
  <c r="D253" i="14"/>
  <c r="J253" i="14"/>
  <c r="K253" i="14"/>
  <c r="B255" i="14"/>
  <c r="H255" i="14"/>
  <c r="E252" i="14"/>
  <c r="B277" i="2"/>
  <c r="AG252" i="14"/>
  <c r="AH252" i="14"/>
  <c r="N253" i="14"/>
  <c r="O253" i="14"/>
  <c r="P253" i="14"/>
  <c r="Y253" i="14"/>
  <c r="Z253" i="14"/>
  <c r="AF253" i="14"/>
  <c r="AE253" i="14"/>
  <c r="L253" i="14"/>
  <c r="W266" i="2"/>
  <c r="F243" i="15"/>
  <c r="E251" i="9"/>
  <c r="E262" i="15"/>
  <c r="H262" i="15"/>
  <c r="G274" i="2"/>
  <c r="D276" i="2"/>
  <c r="AK276" i="2"/>
  <c r="I261" i="15"/>
  <c r="S261" i="15"/>
  <c r="J261" i="15"/>
  <c r="E275" i="2"/>
  <c r="O272" i="2"/>
  <c r="F242" i="14"/>
  <c r="M285" i="2"/>
  <c r="C255" i="14"/>
  <c r="I255" i="14"/>
  <c r="E253" i="14"/>
  <c r="D254" i="14"/>
  <c r="J254" i="14"/>
  <c r="K254" i="14"/>
  <c r="B278" i="2"/>
  <c r="U11" i="10"/>
  <c r="V9" i="10"/>
  <c r="V11" i="10"/>
  <c r="W9" i="10"/>
  <c r="W11" i="10"/>
  <c r="X9" i="10"/>
  <c r="X11" i="10"/>
  <c r="Y9" i="10"/>
  <c r="Y11" i="10"/>
  <c r="Z9" i="10"/>
  <c r="Z11" i="10"/>
  <c r="AA9" i="10"/>
  <c r="AA11" i="10"/>
  <c r="AB9" i="10"/>
  <c r="AB11" i="10"/>
  <c r="AC9" i="10"/>
  <c r="AC11" i="10"/>
  <c r="AD9" i="10"/>
  <c r="AD11" i="10"/>
  <c r="AE9" i="10"/>
  <c r="AE11" i="10"/>
  <c r="AF9" i="10"/>
  <c r="AF11" i="10"/>
  <c r="AG9" i="10"/>
  <c r="AG11" i="10"/>
  <c r="AH9" i="10"/>
  <c r="AH11" i="10"/>
  <c r="AI9" i="10"/>
  <c r="AI11" i="10"/>
  <c r="AJ9" i="10"/>
  <c r="AJ11" i="10"/>
  <c r="AK9" i="10"/>
  <c r="AK11" i="10"/>
  <c r="AL9" i="10"/>
  <c r="AL11" i="10"/>
  <c r="AM9" i="10"/>
  <c r="AM11" i="10"/>
  <c r="AN9" i="10"/>
  <c r="AN11" i="10"/>
  <c r="AO9" i="10"/>
  <c r="AO11" i="10"/>
  <c r="AP9" i="10"/>
  <c r="AP11" i="10"/>
  <c r="AQ9" i="10"/>
  <c r="AQ11" i="10"/>
  <c r="AR9" i="10"/>
  <c r="AR11" i="10"/>
  <c r="AS9" i="10"/>
  <c r="AS11" i="10"/>
  <c r="AT9" i="10"/>
  <c r="AT11" i="10"/>
  <c r="AU9" i="10"/>
  <c r="AU11" i="10"/>
  <c r="AV9" i="10"/>
  <c r="AV11" i="10"/>
  <c r="AW9" i="10"/>
  <c r="AW11" i="10"/>
  <c r="AX9" i="10"/>
  <c r="AX11" i="10"/>
  <c r="AY9" i="10"/>
  <c r="AY11" i="10"/>
  <c r="AZ9" i="10"/>
  <c r="AZ11" i="10"/>
  <c r="BA9" i="10"/>
  <c r="BA11" i="10"/>
  <c r="BB9" i="10"/>
  <c r="BB11" i="10"/>
  <c r="BC9" i="10"/>
  <c r="BC11" i="10"/>
  <c r="BD9" i="10"/>
  <c r="BD11" i="10"/>
  <c r="BE9" i="10"/>
  <c r="BE11" i="10"/>
  <c r="BF9" i="10"/>
  <c r="BF11" i="10"/>
  <c r="BG9" i="10"/>
  <c r="BG11" i="10"/>
  <c r="BH9" i="10"/>
  <c r="BH11" i="10"/>
  <c r="BI9" i="10"/>
  <c r="BI11" i="10"/>
  <c r="BJ9" i="10"/>
  <c r="BJ11" i="10"/>
  <c r="BK9" i="10"/>
  <c r="BK11" i="10"/>
  <c r="BL9" i="10"/>
  <c r="BL11" i="10"/>
  <c r="BM9" i="10"/>
  <c r="BM11" i="10"/>
  <c r="BN9" i="10"/>
  <c r="BN11" i="10"/>
  <c r="BO9" i="10"/>
  <c r="BO11" i="10"/>
  <c r="BP9" i="10"/>
  <c r="BP11" i="10"/>
  <c r="BQ9" i="10"/>
  <c r="BQ11" i="10"/>
  <c r="BR9" i="10"/>
  <c r="BR11" i="10"/>
  <c r="BS9" i="10"/>
  <c r="BS11" i="10"/>
  <c r="BT9" i="10"/>
  <c r="BT11" i="10"/>
  <c r="BU9" i="10"/>
  <c r="BU11" i="10"/>
  <c r="BV9" i="10"/>
  <c r="BV11" i="10"/>
  <c r="BW9" i="10"/>
  <c r="BW11" i="10"/>
  <c r="BX9" i="10"/>
  <c r="BX11" i="10"/>
  <c r="BY9" i="10"/>
  <c r="BZ9" i="10"/>
  <c r="CA9" i="10"/>
  <c r="CB9" i="10"/>
  <c r="BY3" i="10"/>
  <c r="BZ3" i="10"/>
  <c r="CA3" i="10"/>
  <c r="CB3" i="10"/>
  <c r="CB11" i="10"/>
  <c r="CC9" i="10"/>
  <c r="CD9" i="10"/>
  <c r="CE9" i="10"/>
  <c r="CF9" i="10"/>
  <c r="CG9" i="10"/>
  <c r="CH9" i="10"/>
  <c r="CI9" i="10"/>
  <c r="CJ9" i="10"/>
  <c r="CC3" i="10"/>
  <c r="CD3" i="10"/>
  <c r="CE3" i="10"/>
  <c r="CF3" i="10"/>
  <c r="CG3" i="10"/>
  <c r="CH3" i="10"/>
  <c r="CI3" i="10"/>
  <c r="CJ3" i="10"/>
  <c r="CJ11" i="10"/>
  <c r="CK9" i="10"/>
  <c r="CL9" i="10"/>
  <c r="CM9" i="10"/>
  <c r="CN9" i="10"/>
  <c r="CN11" i="10"/>
  <c r="CO9" i="10"/>
  <c r="CP9" i="10"/>
  <c r="CQ9" i="10"/>
  <c r="CO3" i="10"/>
  <c r="CP3" i="10"/>
  <c r="CQ3" i="10"/>
  <c r="CQ11" i="10"/>
  <c r="CR9" i="10"/>
  <c r="CR3" i="10"/>
  <c r="CR11" i="10"/>
  <c r="CS9" i="10"/>
  <c r="CT9" i="10"/>
  <c r="CT11" i="10"/>
  <c r="CU9" i="10"/>
  <c r="CU11" i="10"/>
  <c r="CV9" i="10"/>
  <c r="CV11" i="10"/>
  <c r="CW9" i="10"/>
  <c r="CW11" i="10"/>
  <c r="CS3" i="10"/>
  <c r="CK3" i="10"/>
  <c r="CL3" i="10"/>
  <c r="CM3" i="10"/>
  <c r="AG253" i="14"/>
  <c r="AH253" i="14"/>
  <c r="N254" i="14"/>
  <c r="O254" i="14"/>
  <c r="P254" i="14"/>
  <c r="Y254" i="14"/>
  <c r="Z254" i="14"/>
  <c r="AE254" i="14"/>
  <c r="L254" i="14"/>
  <c r="J262" i="15"/>
  <c r="I262" i="15"/>
  <c r="S262" i="15"/>
  <c r="E276" i="2"/>
  <c r="W267" i="2"/>
  <c r="F244" i="15"/>
  <c r="E252" i="9"/>
  <c r="D277" i="2"/>
  <c r="AK277" i="2"/>
  <c r="G275" i="2"/>
  <c r="CF11" i="10"/>
  <c r="O273" i="2"/>
  <c r="F243" i="14"/>
  <c r="E254" i="14"/>
  <c r="D255" i="14"/>
  <c r="J255" i="14"/>
  <c r="K255" i="14"/>
  <c r="CI11" i="10"/>
  <c r="CP11" i="10"/>
  <c r="CL11" i="10"/>
  <c r="CH11" i="10"/>
  <c r="CD11" i="10"/>
  <c r="BZ11" i="10"/>
  <c r="B279" i="2"/>
  <c r="CM11" i="10"/>
  <c r="CE11" i="10"/>
  <c r="CA11" i="10"/>
  <c r="CS11" i="10"/>
  <c r="BY11" i="10"/>
  <c r="CC11" i="10"/>
  <c r="CG11" i="10"/>
  <c r="CK11" i="10"/>
  <c r="CO11" i="10"/>
  <c r="B7" i="10"/>
  <c r="AF254" i="14"/>
  <c r="AG254" i="14"/>
  <c r="AH254" i="14"/>
  <c r="N255" i="14"/>
  <c r="O255" i="14"/>
  <c r="P255" i="14"/>
  <c r="Y255" i="14"/>
  <c r="Z255" i="14"/>
  <c r="AE255" i="14"/>
  <c r="L255" i="14"/>
  <c r="W268" i="2"/>
  <c r="F245" i="15"/>
  <c r="E253" i="9"/>
  <c r="G276" i="2"/>
  <c r="D278" i="2"/>
  <c r="AK278" i="2"/>
  <c r="E277" i="2"/>
  <c r="F244" i="14"/>
  <c r="O274" i="2"/>
  <c r="E255" i="14"/>
  <c r="B280" i="2"/>
  <c r="AF255" i="14"/>
  <c r="AG255" i="14"/>
  <c r="AH255" i="14"/>
  <c r="D279" i="2"/>
  <c r="AK279" i="2"/>
  <c r="E278" i="2"/>
  <c r="W269" i="2"/>
  <c r="F246" i="15"/>
  <c r="E254" i="9"/>
  <c r="G277" i="2"/>
  <c r="F245" i="14"/>
  <c r="O275" i="2"/>
  <c r="B281" i="2"/>
  <c r="D280" i="2"/>
  <c r="AK280" i="2"/>
  <c r="W270" i="2"/>
  <c r="F247" i="15"/>
  <c r="E255" i="9"/>
  <c r="G278" i="2"/>
  <c r="E279" i="2"/>
  <c r="O276" i="2"/>
  <c r="F246" i="14"/>
  <c r="B282" i="2"/>
  <c r="D281" i="2"/>
  <c r="AK281" i="2"/>
  <c r="W271" i="2"/>
  <c r="F248" i="15"/>
  <c r="E256" i="9"/>
  <c r="G279" i="2"/>
  <c r="E280" i="2"/>
  <c r="F247" i="14"/>
  <c r="O277" i="2"/>
  <c r="B283" i="2"/>
  <c r="W272" i="2"/>
  <c r="F249" i="15"/>
  <c r="E257" i="9"/>
  <c r="E281" i="2"/>
  <c r="D282" i="2"/>
  <c r="AK282" i="2"/>
  <c r="G280" i="2"/>
  <c r="O278" i="2"/>
  <c r="F248" i="14"/>
  <c r="B284" i="2"/>
  <c r="D283" i="2"/>
  <c r="AK283" i="2"/>
  <c r="W273" i="2"/>
  <c r="F250" i="15"/>
  <c r="E258" i="9"/>
  <c r="E282" i="2"/>
  <c r="G281" i="2"/>
  <c r="F249" i="14"/>
  <c r="O279" i="2"/>
  <c r="B285" i="2"/>
  <c r="AL285" i="2"/>
  <c r="G282" i="2"/>
  <c r="D284" i="2"/>
  <c r="AK284" i="2"/>
  <c r="W274" i="2"/>
  <c r="F251" i="15"/>
  <c r="E259" i="9"/>
  <c r="E283" i="2"/>
  <c r="O280" i="2"/>
  <c r="O281" i="2"/>
  <c r="F250" i="14"/>
  <c r="AQ285" i="2"/>
  <c r="AP285" i="2"/>
  <c r="E284" i="2"/>
  <c r="G283" i="2"/>
  <c r="W275" i="2"/>
  <c r="F252" i="15"/>
  <c r="E260" i="9"/>
  <c r="D285" i="2"/>
  <c r="AK285" i="2"/>
  <c r="O282" i="2"/>
  <c r="F251" i="14"/>
  <c r="W276" i="2"/>
  <c r="F253" i="15"/>
  <c r="E261" i="9"/>
  <c r="E285" i="2"/>
  <c r="F252" i="14"/>
  <c r="O283" i="2"/>
  <c r="G284" i="2"/>
  <c r="W277" i="2"/>
  <c r="F254" i="15"/>
  <c r="E262" i="9"/>
  <c r="O284" i="2"/>
  <c r="F253" i="14"/>
  <c r="W278" i="2"/>
  <c r="F255" i="15"/>
  <c r="E263" i="9"/>
  <c r="G285" i="2"/>
  <c r="O285" i="2"/>
  <c r="F254" i="14"/>
  <c r="W279" i="2"/>
  <c r="F256" i="15"/>
  <c r="E264" i="9"/>
  <c r="F255" i="14"/>
  <c r="W280" i="2"/>
  <c r="F257" i="15"/>
  <c r="E265" i="9"/>
  <c r="W281" i="2"/>
  <c r="F258" i="15"/>
  <c r="E266" i="9"/>
  <c r="W282" i="2"/>
  <c r="F259" i="15"/>
  <c r="E267" i="9"/>
  <c r="C12" i="4"/>
  <c r="C11" i="4"/>
  <c r="C10" i="4"/>
  <c r="W283" i="2"/>
  <c r="F260" i="15"/>
  <c r="E268" i="9"/>
  <c r="K7" i="3"/>
  <c r="K71" i="3"/>
  <c r="K103" i="3"/>
  <c r="K31" i="3"/>
  <c r="K63" i="3"/>
  <c r="K95" i="3"/>
  <c r="K127" i="3"/>
  <c r="K39" i="3"/>
  <c r="K135" i="3"/>
  <c r="K62" i="3"/>
  <c r="K93" i="3"/>
  <c r="K87" i="3"/>
  <c r="K41" i="3"/>
  <c r="K105" i="3"/>
  <c r="K18" i="3"/>
  <c r="K82" i="3"/>
  <c r="K146" i="3"/>
  <c r="K59" i="3"/>
  <c r="K123" i="3"/>
  <c r="K36" i="3"/>
  <c r="K100" i="3"/>
  <c r="K16" i="3"/>
  <c r="AN57" i="2"/>
  <c r="AO57" i="2"/>
  <c r="K144" i="3"/>
  <c r="K117" i="3"/>
  <c r="K86" i="3"/>
  <c r="K56" i="3"/>
  <c r="K55" i="3"/>
  <c r="K141" i="3"/>
  <c r="K29" i="3"/>
  <c r="AN70" i="2"/>
  <c r="K110" i="3"/>
  <c r="K121" i="3"/>
  <c r="K98" i="3"/>
  <c r="K75" i="3"/>
  <c r="K52" i="3"/>
  <c r="K48" i="3"/>
  <c r="K149" i="3"/>
  <c r="K88" i="3"/>
  <c r="K77" i="3"/>
  <c r="K163" i="3"/>
  <c r="K175" i="3"/>
  <c r="K173" i="3"/>
  <c r="K78" i="3"/>
  <c r="K65" i="3"/>
  <c r="K42" i="3"/>
  <c r="K60" i="3"/>
  <c r="K64" i="3"/>
  <c r="K6" i="3"/>
  <c r="K104" i="3"/>
  <c r="K45" i="3"/>
  <c r="K169" i="3"/>
  <c r="K9" i="3"/>
  <c r="K50" i="3"/>
  <c r="K27" i="3"/>
  <c r="AN68" i="2"/>
  <c r="K155" i="3"/>
  <c r="K68" i="3"/>
  <c r="K80" i="3"/>
  <c r="K22" i="3"/>
  <c r="K120" i="3"/>
  <c r="K13" i="3"/>
  <c r="K14" i="3"/>
  <c r="K30" i="3"/>
  <c r="K61" i="3"/>
  <c r="K23" i="3"/>
  <c r="K142" i="3"/>
  <c r="K49" i="3"/>
  <c r="K113" i="3"/>
  <c r="K26" i="3"/>
  <c r="K90" i="3"/>
  <c r="K154" i="3"/>
  <c r="K67" i="3"/>
  <c r="K131" i="3"/>
  <c r="K44" i="3"/>
  <c r="K108" i="3"/>
  <c r="K32" i="3"/>
  <c r="K133" i="3"/>
  <c r="K102" i="3"/>
  <c r="K72" i="3"/>
  <c r="K109" i="3"/>
  <c r="K181" i="3"/>
  <c r="K143" i="3"/>
  <c r="K57" i="3"/>
  <c r="K34" i="3"/>
  <c r="K11" i="3"/>
  <c r="K139" i="3"/>
  <c r="K116" i="3"/>
  <c r="K21" i="3"/>
  <c r="K118" i="3"/>
  <c r="K159" i="3"/>
  <c r="K79" i="3"/>
  <c r="K180" i="3"/>
  <c r="K129" i="3"/>
  <c r="K106" i="3"/>
  <c r="K19" i="3"/>
  <c r="K83" i="3"/>
  <c r="K147" i="3"/>
  <c r="K124" i="3"/>
  <c r="K37" i="3"/>
  <c r="K134" i="3"/>
  <c r="K111" i="3"/>
  <c r="K166" i="3"/>
  <c r="K164" i="3"/>
  <c r="K15" i="3"/>
  <c r="K46" i="3"/>
  <c r="K73" i="3"/>
  <c r="K137" i="3"/>
  <c r="K114" i="3"/>
  <c r="K91" i="3"/>
  <c r="K132" i="3"/>
  <c r="K53" i="3"/>
  <c r="K150" i="3"/>
  <c r="K47" i="3"/>
  <c r="K161" i="3"/>
  <c r="K160" i="3"/>
  <c r="K158" i="3"/>
  <c r="K17" i="3"/>
  <c r="K81" i="3"/>
  <c r="K145" i="3"/>
  <c r="K58" i="3"/>
  <c r="K122" i="3"/>
  <c r="K35" i="3"/>
  <c r="K99" i="3"/>
  <c r="K12" i="3"/>
  <c r="K76" i="3"/>
  <c r="K140" i="3"/>
  <c r="K96" i="3"/>
  <c r="K69" i="3"/>
  <c r="K38" i="3"/>
  <c r="K8" i="3"/>
  <c r="K136" i="3"/>
  <c r="K126" i="3"/>
  <c r="K157" i="3"/>
  <c r="K167" i="3"/>
  <c r="K25" i="3"/>
  <c r="K89" i="3"/>
  <c r="K153" i="3"/>
  <c r="K66" i="3"/>
  <c r="K130" i="3"/>
  <c r="K43" i="3"/>
  <c r="K107" i="3"/>
  <c r="K20" i="3"/>
  <c r="K84" i="3"/>
  <c r="K148" i="3"/>
  <c r="K112" i="3"/>
  <c r="K85" i="3"/>
  <c r="K54" i="3"/>
  <c r="K24" i="3"/>
  <c r="K152" i="3"/>
  <c r="K174" i="3"/>
  <c r="K172" i="3"/>
  <c r="K170" i="3"/>
  <c r="K168" i="3"/>
  <c r="K94" i="3"/>
  <c r="K125" i="3"/>
  <c r="K151" i="3"/>
  <c r="K33" i="3"/>
  <c r="K97" i="3"/>
  <c r="K10" i="3"/>
  <c r="K74" i="3"/>
  <c r="K138" i="3"/>
  <c r="K51" i="3"/>
  <c r="K115" i="3"/>
  <c r="K28" i="3"/>
  <c r="K92" i="3"/>
  <c r="K156" i="3"/>
  <c r="K128" i="3"/>
  <c r="K101" i="3"/>
  <c r="K70" i="3"/>
  <c r="K40" i="3"/>
  <c r="K119" i="3"/>
  <c r="K165" i="3"/>
  <c r="K182" i="3"/>
  <c r="K162" i="3"/>
  <c r="K206" i="3"/>
  <c r="K178" i="3"/>
  <c r="K176" i="3"/>
  <c r="K183" i="3"/>
  <c r="K190" i="3"/>
  <c r="K184" i="3"/>
  <c r="K177" i="3"/>
  <c r="K193" i="3"/>
  <c r="K192" i="3"/>
  <c r="K179" i="3"/>
  <c r="K185" i="3"/>
  <c r="K194" i="3"/>
  <c r="K171" i="3"/>
  <c r="K196" i="3"/>
  <c r="K188" i="3"/>
  <c r="K202" i="3"/>
  <c r="K191" i="3"/>
  <c r="K205" i="3"/>
  <c r="K195" i="3"/>
  <c r="K197" i="3"/>
  <c r="K189" i="3"/>
  <c r="K204" i="3"/>
  <c r="K186" i="3"/>
  <c r="K187" i="3"/>
  <c r="K208" i="3"/>
  <c r="K217" i="3"/>
  <c r="K198" i="3"/>
  <c r="K207" i="3"/>
  <c r="K203" i="3"/>
  <c r="K200" i="3"/>
  <c r="K214" i="3"/>
  <c r="K201" i="3"/>
  <c r="K209" i="3"/>
  <c r="K216" i="3"/>
  <c r="K199" i="3"/>
  <c r="K213" i="3"/>
  <c r="K219" i="3"/>
  <c r="K212" i="3"/>
  <c r="K225" i="3"/>
  <c r="K227" i="3"/>
  <c r="K210" i="3"/>
  <c r="K211" i="3"/>
  <c r="K228" i="3"/>
  <c r="K220" i="3"/>
  <c r="K215" i="3"/>
  <c r="K218" i="3"/>
  <c r="K229" i="3"/>
  <c r="K230" i="3"/>
  <c r="K221" i="3"/>
  <c r="K232" i="3"/>
  <c r="K222" i="3"/>
  <c r="K224" i="3"/>
  <c r="K226" i="3"/>
  <c r="K240" i="3"/>
  <c r="K237" i="3"/>
  <c r="K239" i="3"/>
  <c r="K223" i="3"/>
  <c r="K231" i="3"/>
  <c r="K236" i="3"/>
  <c r="K243" i="3"/>
  <c r="K251" i="3"/>
  <c r="V257" i="15"/>
  <c r="K241" i="3"/>
  <c r="K233" i="3"/>
  <c r="K248" i="3"/>
  <c r="V254" i="15"/>
  <c r="K242" i="3"/>
  <c r="K235" i="3"/>
  <c r="K238" i="3"/>
  <c r="K250" i="3"/>
  <c r="V256" i="15"/>
  <c r="K234" i="3"/>
  <c r="K247" i="3"/>
  <c r="V253" i="15"/>
  <c r="K260" i="3"/>
  <c r="K246" i="3"/>
  <c r="V252" i="15"/>
  <c r="K262" i="3"/>
  <c r="K254" i="3"/>
  <c r="V260" i="15"/>
  <c r="K253" i="3"/>
  <c r="V259" i="15"/>
  <c r="K263" i="3"/>
  <c r="K252" i="3"/>
  <c r="V258" i="15"/>
  <c r="K255" i="3"/>
  <c r="V261" i="15"/>
  <c r="K249" i="3"/>
  <c r="V255" i="15"/>
  <c r="K245" i="3"/>
  <c r="V251" i="15"/>
  <c r="K244" i="3"/>
  <c r="K258" i="3"/>
  <c r="K264" i="3"/>
  <c r="K265" i="3"/>
  <c r="K266" i="3"/>
  <c r="K273" i="3"/>
  <c r="K257" i="3"/>
  <c r="K256" i="3"/>
  <c r="V262" i="15"/>
  <c r="K259" i="3"/>
  <c r="K271" i="3"/>
  <c r="K261" i="3"/>
  <c r="K274" i="3"/>
  <c r="K268" i="3"/>
  <c r="K267" i="3"/>
  <c r="K278" i="3"/>
  <c r="K277" i="3"/>
  <c r="K269" i="3"/>
  <c r="K275" i="3"/>
  <c r="K283" i="3"/>
  <c r="K276" i="3"/>
  <c r="K286" i="3"/>
  <c r="K272" i="3"/>
  <c r="K285" i="3"/>
  <c r="K270" i="3"/>
  <c r="K280" i="3"/>
  <c r="K281" i="3"/>
  <c r="K290" i="3"/>
  <c r="K287" i="3"/>
  <c r="K289" i="3"/>
  <c r="K298" i="3"/>
  <c r="K279" i="3"/>
  <c r="K282" i="3"/>
  <c r="K288" i="3"/>
  <c r="K284" i="3"/>
  <c r="K297" i="3"/>
  <c r="K295" i="3"/>
  <c r="K296" i="3"/>
  <c r="K294" i="3"/>
  <c r="K309" i="3"/>
  <c r="K310" i="3"/>
  <c r="K291" i="3"/>
  <c r="K302" i="3"/>
  <c r="K301" i="3"/>
  <c r="K293" i="3"/>
  <c r="K292" i="3"/>
  <c r="K300" i="3"/>
  <c r="K307" i="3"/>
  <c r="K299" i="3"/>
  <c r="K303" i="3"/>
  <c r="K313" i="3"/>
  <c r="K304" i="3"/>
  <c r="K306" i="3"/>
  <c r="K314" i="3"/>
  <c r="K321" i="3"/>
  <c r="K311" i="3"/>
  <c r="K312" i="3"/>
  <c r="K322" i="3"/>
  <c r="K319" i="3"/>
  <c r="K305" i="3"/>
  <c r="K308" i="3"/>
  <c r="K316" i="3"/>
  <c r="K320" i="3"/>
  <c r="K331" i="3"/>
  <c r="K317" i="3"/>
  <c r="K324" i="3"/>
  <c r="K318" i="3"/>
  <c r="K333" i="3"/>
  <c r="K334" i="3"/>
  <c r="K325" i="3"/>
  <c r="K323" i="3"/>
  <c r="K326" i="3"/>
  <c r="K315" i="3"/>
  <c r="K338" i="3"/>
  <c r="K335" i="3"/>
  <c r="K328" i="3"/>
  <c r="K330" i="3"/>
  <c r="K343" i="3"/>
  <c r="K329" i="3"/>
  <c r="K332" i="3"/>
  <c r="K327" i="3"/>
  <c r="K336" i="3"/>
  <c r="K337" i="3"/>
  <c r="K342" i="3"/>
  <c r="K340" i="3"/>
  <c r="K341" i="3"/>
  <c r="K339" i="3"/>
  <c r="W284" i="2"/>
  <c r="F261" i="15"/>
  <c r="E269" i="9"/>
  <c r="V244" i="15"/>
  <c r="AN279" i="2"/>
  <c r="V234" i="15"/>
  <c r="AN269" i="2"/>
  <c r="V204" i="15"/>
  <c r="AN239" i="2"/>
  <c r="V182" i="15"/>
  <c r="AN217" i="2"/>
  <c r="AO217" i="2"/>
  <c r="V144" i="15"/>
  <c r="AN179" i="2"/>
  <c r="AO179" i="2"/>
  <c r="V159" i="15"/>
  <c r="AN194" i="2"/>
  <c r="AO194" i="2"/>
  <c r="V128" i="15"/>
  <c r="AN163" i="2"/>
  <c r="AO163" i="2"/>
  <c r="V153" i="15"/>
  <c r="AN188" i="2"/>
  <c r="AO188" i="2"/>
  <c r="V187" i="15"/>
  <c r="AN222" i="2"/>
  <c r="AO222" i="2"/>
  <c r="V86" i="15"/>
  <c r="AN121" i="2"/>
  <c r="AO121" i="2"/>
  <c r="V104" i="15"/>
  <c r="AN139" i="2"/>
  <c r="AO139" i="2"/>
  <c r="V123" i="15"/>
  <c r="AN158" i="2"/>
  <c r="AO158" i="2"/>
  <c r="V237" i="15"/>
  <c r="AN272" i="2"/>
  <c r="V222" i="15"/>
  <c r="AN257" i="2"/>
  <c r="V185" i="15"/>
  <c r="AN220" i="2"/>
  <c r="AO220" i="2"/>
  <c r="V80" i="15"/>
  <c r="AN115" i="2"/>
  <c r="AO115" i="2"/>
  <c r="V95" i="15"/>
  <c r="AN130" i="2"/>
  <c r="AO130" i="2"/>
  <c r="V156" i="15"/>
  <c r="AN191" i="2"/>
  <c r="AO191" i="2"/>
  <c r="V27" i="15"/>
  <c r="AN62" i="2"/>
  <c r="AO62" i="2"/>
  <c r="V29" i="15"/>
  <c r="AN64" i="2"/>
  <c r="AO64" i="2"/>
  <c r="V169" i="15"/>
  <c r="AN204" i="2"/>
  <c r="AO204" i="2"/>
  <c r="V150" i="15"/>
  <c r="AN185" i="2"/>
  <c r="AO185" i="2"/>
  <c r="W285" i="2"/>
  <c r="F262" i="15"/>
  <c r="V248" i="15"/>
  <c r="AN283" i="2"/>
  <c r="V216" i="15"/>
  <c r="AN251" i="2"/>
  <c r="V197" i="15"/>
  <c r="AN232" i="2"/>
  <c r="V134" i="15"/>
  <c r="AN169" i="2"/>
  <c r="AO169" i="2"/>
  <c r="V90" i="15"/>
  <c r="AN125" i="2"/>
  <c r="AO125" i="2"/>
  <c r="V151" i="15"/>
  <c r="AN186" i="2"/>
  <c r="AO186" i="2"/>
  <c r="V170" i="15"/>
  <c r="AN205" i="2"/>
  <c r="AO205" i="2"/>
  <c r="V78" i="15"/>
  <c r="AN113" i="2"/>
  <c r="AO113" i="2"/>
  <c r="V161" i="15"/>
  <c r="AN196" i="2"/>
  <c r="AO196" i="2"/>
  <c r="V116" i="15"/>
  <c r="AN151" i="2"/>
  <c r="AO151" i="2"/>
  <c r="V111" i="15"/>
  <c r="AN146" i="2"/>
  <c r="AO146" i="2"/>
  <c r="W262" i="15"/>
  <c r="K262" i="15"/>
  <c r="Y262" i="15"/>
  <c r="W252" i="15"/>
  <c r="K252" i="15"/>
  <c r="Y252" i="15"/>
  <c r="V236" i="15"/>
  <c r="AN271" i="2"/>
  <c r="V193" i="15"/>
  <c r="AN228" i="2"/>
  <c r="V168" i="15"/>
  <c r="AN203" i="2"/>
  <c r="AO203" i="2"/>
  <c r="V180" i="15"/>
  <c r="AN215" i="2"/>
  <c r="AO215" i="2"/>
  <c r="V146" i="15"/>
  <c r="AN181" i="2"/>
  <c r="AO181" i="2"/>
  <c r="V172" i="15"/>
  <c r="AN207" i="2"/>
  <c r="AO207" i="2"/>
  <c r="V145" i="15"/>
  <c r="AN180" i="2"/>
  <c r="AO180" i="2"/>
  <c r="V160" i="15"/>
  <c r="AN195" i="2"/>
  <c r="AO195" i="2"/>
  <c r="V66" i="15"/>
  <c r="AN101" i="2"/>
  <c r="AO101" i="2"/>
  <c r="V106" i="15"/>
  <c r="AN141" i="2"/>
  <c r="AO141" i="2"/>
  <c r="W255" i="15"/>
  <c r="K255" i="15"/>
  <c r="Y255" i="15"/>
  <c r="V243" i="15"/>
  <c r="AN278" i="2"/>
  <c r="V220" i="15"/>
  <c r="AN255" i="2"/>
  <c r="V183" i="15"/>
  <c r="AN218" i="2"/>
  <c r="AO218" i="2"/>
  <c r="V98" i="15"/>
  <c r="AN133" i="2"/>
  <c r="AO133" i="2"/>
  <c r="V158" i="15"/>
  <c r="AN193" i="2"/>
  <c r="AO193" i="2"/>
  <c r="V163" i="15"/>
  <c r="AN198" i="2"/>
  <c r="AO198" i="2"/>
  <c r="V82" i="15"/>
  <c r="AN117" i="2"/>
  <c r="AO117" i="2"/>
  <c r="V23" i="15"/>
  <c r="AN58" i="2"/>
  <c r="AO58" i="2"/>
  <c r="V97" i="15"/>
  <c r="AN132" i="2"/>
  <c r="AO132" i="2"/>
  <c r="V117" i="15"/>
  <c r="AN152" i="2"/>
  <c r="AO152" i="2"/>
  <c r="V139" i="15"/>
  <c r="AN174" i="2"/>
  <c r="AO174" i="2"/>
  <c r="V96" i="15"/>
  <c r="AN131" i="2"/>
  <c r="AO131" i="2"/>
  <c r="V20" i="15"/>
  <c r="AC55" i="2"/>
  <c r="AN55" i="2"/>
  <c r="AO55" i="2"/>
  <c r="V56" i="15"/>
  <c r="AN91" i="2"/>
  <c r="AO91" i="2"/>
  <c r="V48" i="15"/>
  <c r="AN83" i="2"/>
  <c r="AO83" i="2"/>
  <c r="V155" i="15"/>
  <c r="AN190" i="2"/>
  <c r="AO190" i="2"/>
  <c r="V147" i="15"/>
  <c r="AN182" i="2"/>
  <c r="AO182" i="2"/>
  <c r="V42" i="15"/>
  <c r="AN77" i="2"/>
  <c r="AO77" i="2"/>
  <c r="V93" i="15"/>
  <c r="AN128" i="2"/>
  <c r="AO128" i="2"/>
  <c r="V37" i="15"/>
  <c r="AN72" i="2"/>
  <c r="AO72" i="2"/>
  <c r="W261" i="15"/>
  <c r="K261" i="15"/>
  <c r="Y261" i="15"/>
  <c r="Y253" i="15"/>
  <c r="W253" i="15"/>
  <c r="K253" i="15"/>
  <c r="V247" i="15"/>
  <c r="AN282" i="2"/>
  <c r="V246" i="15"/>
  <c r="AN281" i="2"/>
  <c r="V224" i="15"/>
  <c r="AN259" i="2"/>
  <c r="V218" i="15"/>
  <c r="AN253" i="2"/>
  <c r="V206" i="15"/>
  <c r="AN241" i="2"/>
  <c r="V210" i="15"/>
  <c r="AN245" i="2"/>
  <c r="V202" i="15"/>
  <c r="AN237" i="2"/>
  <c r="V190" i="15"/>
  <c r="AN225" i="2"/>
  <c r="AO225" i="2"/>
  <c r="V171" i="15"/>
  <c r="AN206" i="2"/>
  <c r="AO206" i="2"/>
  <c r="V34" i="15"/>
  <c r="AN69" i="2"/>
  <c r="AO69" i="2"/>
  <c r="V157" i="15"/>
  <c r="AN192" i="2"/>
  <c r="AO192" i="2"/>
  <c r="V30" i="15"/>
  <c r="AN65" i="2"/>
  <c r="AO65" i="2"/>
  <c r="V49" i="15"/>
  <c r="AN84" i="2"/>
  <c r="AO84" i="2"/>
  <c r="V132" i="15"/>
  <c r="AN167" i="2"/>
  <c r="AO167" i="2"/>
  <c r="V18" i="15"/>
  <c r="AC53" i="2"/>
  <c r="AN53" i="2"/>
  <c r="V164" i="15"/>
  <c r="AN199" i="2"/>
  <c r="AO199" i="2"/>
  <c r="V120" i="15"/>
  <c r="AN155" i="2"/>
  <c r="AO155" i="2"/>
  <c r="V140" i="15"/>
  <c r="AN175" i="2"/>
  <c r="AO175" i="2"/>
  <c r="V186" i="15"/>
  <c r="AN221" i="2"/>
  <c r="AO221" i="2"/>
  <c r="V40" i="15"/>
  <c r="AN75" i="2"/>
  <c r="AO75" i="2"/>
  <c r="V5" i="3"/>
  <c r="V11" i="15"/>
  <c r="Y11" i="15"/>
  <c r="AA11" i="15"/>
  <c r="AB11" i="15"/>
  <c r="AC46" i="2"/>
  <c r="AN46" i="2"/>
  <c r="V32" i="15"/>
  <c r="AN67" i="2"/>
  <c r="AO67" i="2"/>
  <c r="V19" i="15"/>
  <c r="AC54" i="2"/>
  <c r="AN54" i="2"/>
  <c r="V15" i="15"/>
  <c r="AC50" i="2"/>
  <c r="AN50" i="2"/>
  <c r="V71" i="15"/>
  <c r="AN106" i="2"/>
  <c r="AO106" i="2"/>
  <c r="V54" i="15"/>
  <c r="AN89" i="2"/>
  <c r="AO89" i="2"/>
  <c r="V61" i="15"/>
  <c r="AN96" i="2"/>
  <c r="AO96" i="2"/>
  <c r="V129" i="15"/>
  <c r="AN164" i="2"/>
  <c r="AO164" i="2"/>
  <c r="V99" i="15"/>
  <c r="AN134" i="2"/>
  <c r="AO134" i="2"/>
  <c r="V109" i="15"/>
  <c r="AN144" i="2"/>
  <c r="AO144" i="2"/>
  <c r="W259" i="15"/>
  <c r="K259" i="15"/>
  <c r="Y259" i="15"/>
  <c r="V242" i="15"/>
  <c r="AN277" i="2"/>
  <c r="V205" i="15"/>
  <c r="AN240" i="2"/>
  <c r="V191" i="15"/>
  <c r="AN226" i="2"/>
  <c r="V174" i="15"/>
  <c r="AN209" i="2"/>
  <c r="AO209" i="2"/>
  <c r="V44" i="15"/>
  <c r="AN79" i="2"/>
  <c r="AO79" i="2"/>
  <c r="V52" i="15"/>
  <c r="AN87" i="2"/>
  <c r="AO87" i="2"/>
  <c r="V50" i="15"/>
  <c r="AN85" i="2"/>
  <c r="AO85" i="2"/>
  <c r="V110" i="15"/>
  <c r="AN145" i="2"/>
  <c r="AO145" i="2"/>
  <c r="V45" i="15"/>
  <c r="AN80" i="2"/>
  <c r="AO80" i="2"/>
  <c r="W260" i="15"/>
  <c r="K260" i="15"/>
  <c r="Y260" i="15"/>
  <c r="V238" i="15"/>
  <c r="AN273" i="2"/>
  <c r="V223" i="15"/>
  <c r="AN258" i="2"/>
  <c r="V107" i="15"/>
  <c r="AN142" i="2"/>
  <c r="AO142" i="2"/>
  <c r="V154" i="15"/>
  <c r="AN189" i="2"/>
  <c r="AO189" i="2"/>
  <c r="V64" i="15"/>
  <c r="AN99" i="2"/>
  <c r="AO99" i="2"/>
  <c r="V89" i="15"/>
  <c r="AN124" i="2"/>
  <c r="AO124" i="2"/>
  <c r="V137" i="15"/>
  <c r="AN172" i="2"/>
  <c r="AO172" i="2"/>
  <c r="V12" i="15"/>
  <c r="AC47" i="2"/>
  <c r="AN47" i="2"/>
  <c r="V133" i="15"/>
  <c r="AN168" i="2"/>
  <c r="AO168" i="2"/>
  <c r="V227" i="15"/>
  <c r="AN262" i="2"/>
  <c r="V214" i="15"/>
  <c r="AN249" i="2"/>
  <c r="V212" i="15"/>
  <c r="AN247" i="2"/>
  <c r="V178" i="15"/>
  <c r="AN213" i="2"/>
  <c r="AO213" i="2"/>
  <c r="V102" i="15"/>
  <c r="AN137" i="2"/>
  <c r="AO137" i="2"/>
  <c r="V25" i="15"/>
  <c r="AN60" i="2"/>
  <c r="AO60" i="2"/>
  <c r="V73" i="15"/>
  <c r="AN108" i="2"/>
  <c r="AO108" i="2"/>
  <c r="V70" i="15"/>
  <c r="AN105" i="2"/>
  <c r="AO105" i="2"/>
  <c r="V22" i="15"/>
  <c r="W254" i="15"/>
  <c r="K254" i="15"/>
  <c r="Y254" i="15"/>
  <c r="V233" i="15"/>
  <c r="AN268" i="2"/>
  <c r="V208" i="15"/>
  <c r="AN243" i="2"/>
  <c r="V162" i="15"/>
  <c r="AN197" i="2"/>
  <c r="AO197" i="2"/>
  <c r="V173" i="15"/>
  <c r="AN208" i="2"/>
  <c r="AO208" i="2"/>
  <c r="V138" i="15"/>
  <c r="AN173" i="2"/>
  <c r="AO173" i="2"/>
  <c r="V108" i="15"/>
  <c r="AN143" i="2"/>
  <c r="AO143" i="2"/>
  <c r="V33" i="15"/>
  <c r="AO68" i="2"/>
  <c r="V35" i="15"/>
  <c r="AO70" i="2"/>
  <c r="V69" i="15"/>
  <c r="AN104" i="2"/>
  <c r="AO104" i="2"/>
  <c r="V231" i="15"/>
  <c r="AN266" i="2"/>
  <c r="V194" i="15"/>
  <c r="AN229" i="2"/>
  <c r="V39" i="15"/>
  <c r="AN74" i="2"/>
  <c r="AO74" i="2"/>
  <c r="V17" i="15"/>
  <c r="AC52" i="2"/>
  <c r="AN52" i="2"/>
  <c r="W258" i="15"/>
  <c r="K258" i="15"/>
  <c r="Y258" i="15"/>
  <c r="V240" i="15"/>
  <c r="AN275" i="2"/>
  <c r="Y257" i="15"/>
  <c r="W257" i="15"/>
  <c r="K257" i="15"/>
  <c r="V232" i="15"/>
  <c r="AN267" i="2"/>
  <c r="V221" i="15"/>
  <c r="AN256" i="2"/>
  <c r="V225" i="15"/>
  <c r="AN260" i="2"/>
  <c r="V209" i="15"/>
  <c r="AN244" i="2"/>
  <c r="V195" i="15"/>
  <c r="AN230" i="2"/>
  <c r="V177" i="15"/>
  <c r="AN212" i="2"/>
  <c r="AO212" i="2"/>
  <c r="V196" i="15"/>
  <c r="AN231" i="2"/>
  <c r="V125" i="15"/>
  <c r="AN160" i="2"/>
  <c r="AO160" i="2"/>
  <c r="V121" i="15"/>
  <c r="AN156" i="2"/>
  <c r="AO156" i="2"/>
  <c r="V131" i="15"/>
  <c r="AN166" i="2"/>
  <c r="AO166" i="2"/>
  <c r="V60" i="15"/>
  <c r="AN95" i="2"/>
  <c r="AO95" i="2"/>
  <c r="V136" i="15"/>
  <c r="AN171" i="2"/>
  <c r="AO171" i="2"/>
  <c r="V142" i="15"/>
  <c r="AN177" i="2"/>
  <c r="AO177" i="2"/>
  <c r="V105" i="15"/>
  <c r="AN140" i="2"/>
  <c r="AO140" i="2"/>
  <c r="V166" i="15"/>
  <c r="AN201" i="2"/>
  <c r="AO201" i="2"/>
  <c r="V143" i="15"/>
  <c r="AN178" i="2"/>
  <c r="AO178" i="2"/>
  <c r="V43" i="15"/>
  <c r="AN78" i="2"/>
  <c r="AO78" i="2"/>
  <c r="V85" i="15"/>
  <c r="AN120" i="2"/>
  <c r="AO120" i="2"/>
  <c r="V63" i="15"/>
  <c r="AN98" i="2"/>
  <c r="AO98" i="2"/>
  <c r="V38" i="15"/>
  <c r="AN73" i="2"/>
  <c r="AO73" i="2"/>
  <c r="V119" i="15"/>
  <c r="AN154" i="2"/>
  <c r="AO154" i="2"/>
  <c r="V126" i="15"/>
  <c r="AN161" i="2"/>
  <c r="AO161" i="2"/>
  <c r="V175" i="15"/>
  <c r="AN210" i="2"/>
  <c r="AO210" i="2"/>
  <c r="V84" i="15"/>
  <c r="AN119" i="2"/>
  <c r="AO119" i="2"/>
  <c r="V58" i="15"/>
  <c r="AN93" i="2"/>
  <c r="AO93" i="2"/>
  <c r="V62" i="15"/>
  <c r="AN97" i="2"/>
  <c r="AO97" i="2"/>
  <c r="V65" i="15"/>
  <c r="AN100" i="2"/>
  <c r="AO100" i="2"/>
  <c r="V68" i="15"/>
  <c r="AN103" i="2"/>
  <c r="AO103" i="2"/>
  <c r="V77" i="15"/>
  <c r="AN112" i="2"/>
  <c r="AO112" i="2"/>
  <c r="V228" i="15"/>
  <c r="AN263" i="2"/>
  <c r="V201" i="15"/>
  <c r="AN236" i="2"/>
  <c r="V76" i="15"/>
  <c r="AN111" i="2"/>
  <c r="AO111" i="2"/>
  <c r="V118" i="15"/>
  <c r="AN153" i="2"/>
  <c r="AO153" i="2"/>
  <c r="V53" i="15"/>
  <c r="AN88" i="2"/>
  <c r="AO88" i="2"/>
  <c r="V124" i="15"/>
  <c r="AN159" i="2"/>
  <c r="AO159" i="2"/>
  <c r="V148" i="15"/>
  <c r="AN183" i="2"/>
  <c r="AO183" i="2"/>
  <c r="V181" i="15"/>
  <c r="AN216" i="2"/>
  <c r="AO216" i="2"/>
  <c r="V88" i="15"/>
  <c r="AN123" i="2"/>
  <c r="AO123" i="2"/>
  <c r="V241" i="15"/>
  <c r="AN276" i="2"/>
  <c r="V217" i="15"/>
  <c r="AN252" i="2"/>
  <c r="V211" i="15"/>
  <c r="AN246" i="2"/>
  <c r="V184" i="15"/>
  <c r="AN219" i="2"/>
  <c r="AO219" i="2"/>
  <c r="V176" i="15"/>
  <c r="AN211" i="2"/>
  <c r="AO211" i="2"/>
  <c r="V75" i="15"/>
  <c r="AN110" i="2"/>
  <c r="AO110" i="2"/>
  <c r="V21" i="15"/>
  <c r="AC56" i="2"/>
  <c r="AN56" i="2"/>
  <c r="AO56" i="2"/>
  <c r="V115" i="15"/>
  <c r="AN150" i="2"/>
  <c r="AO150" i="2"/>
  <c r="V74" i="15"/>
  <c r="AN109" i="2"/>
  <c r="AO109" i="2"/>
  <c r="V127" i="15"/>
  <c r="AN162" i="2"/>
  <c r="AO162" i="2"/>
  <c r="V24" i="15"/>
  <c r="AN59" i="2"/>
  <c r="AO59" i="2"/>
  <c r="V250" i="15"/>
  <c r="AN285" i="2"/>
  <c r="V229" i="15"/>
  <c r="AN264" i="2"/>
  <c r="V215" i="15"/>
  <c r="AN250" i="2"/>
  <c r="V198" i="15"/>
  <c r="AN233" i="2"/>
  <c r="V16" i="15"/>
  <c r="AC51" i="2"/>
  <c r="AN51" i="2"/>
  <c r="V31" i="15"/>
  <c r="AN66" i="2"/>
  <c r="AO66" i="2"/>
  <c r="V59" i="15"/>
  <c r="AN94" i="2"/>
  <c r="AO94" i="2"/>
  <c r="V122" i="15"/>
  <c r="AN157" i="2"/>
  <c r="AO157" i="2"/>
  <c r="V67" i="15"/>
  <c r="AN102" i="2"/>
  <c r="AO102" i="2"/>
  <c r="V83" i="15"/>
  <c r="AN118" i="2"/>
  <c r="AO118" i="2"/>
  <c r="V101" i="15"/>
  <c r="AN136" i="2"/>
  <c r="AO136" i="2"/>
  <c r="W251" i="15"/>
  <c r="K251" i="15"/>
  <c r="Y251" i="15"/>
  <c r="V245" i="15"/>
  <c r="AN280" i="2"/>
  <c r="V207" i="15"/>
  <c r="AN242" i="2"/>
  <c r="V199" i="15"/>
  <c r="AN234" i="2"/>
  <c r="V103" i="15"/>
  <c r="AN138" i="2"/>
  <c r="AO138" i="2"/>
  <c r="V26" i="15"/>
  <c r="AN61" i="2"/>
  <c r="AO61" i="2"/>
  <c r="V87" i="15"/>
  <c r="AN122" i="2"/>
  <c r="AO122" i="2"/>
  <c r="V112" i="15"/>
  <c r="AN147" i="2"/>
  <c r="AO147" i="2"/>
  <c r="V36" i="15"/>
  <c r="AN71" i="2"/>
  <c r="AO71" i="2"/>
  <c r="V94" i="15"/>
  <c r="AN129" i="2"/>
  <c r="AO129" i="2"/>
  <c r="V47" i="15"/>
  <c r="AN82" i="2"/>
  <c r="AO82" i="2"/>
  <c r="V239" i="15"/>
  <c r="AN274" i="2"/>
  <c r="V235" i="15"/>
  <c r="AN270" i="2"/>
  <c r="V192" i="15"/>
  <c r="AN227" i="2"/>
  <c r="V188" i="15"/>
  <c r="AN223" i="2"/>
  <c r="AO223" i="2"/>
  <c r="V113" i="15"/>
  <c r="AN148" i="2"/>
  <c r="AO148" i="2"/>
  <c r="V135" i="15"/>
  <c r="AN170" i="2"/>
  <c r="AO170" i="2"/>
  <c r="W256" i="15"/>
  <c r="K256" i="15"/>
  <c r="Y256" i="15"/>
  <c r="V249" i="15"/>
  <c r="AN284" i="2"/>
  <c r="V230" i="15"/>
  <c r="AN265" i="2"/>
  <c r="V226" i="15"/>
  <c r="AN261" i="2"/>
  <c r="V219" i="15"/>
  <c r="AN254" i="2"/>
  <c r="V213" i="15"/>
  <c r="AN248" i="2"/>
  <c r="V203" i="15"/>
  <c r="AN238" i="2"/>
  <c r="V200" i="15"/>
  <c r="AN235" i="2"/>
  <c r="V189" i="15"/>
  <c r="AN224" i="2"/>
  <c r="AO224" i="2"/>
  <c r="V46" i="15"/>
  <c r="AN81" i="2"/>
  <c r="AO81" i="2"/>
  <c r="V57" i="15"/>
  <c r="AN92" i="2"/>
  <c r="AO92" i="2"/>
  <c r="V100" i="15"/>
  <c r="AN135" i="2"/>
  <c r="AO135" i="2"/>
  <c r="V91" i="15"/>
  <c r="AN126" i="2"/>
  <c r="AO126" i="2"/>
  <c r="V72" i="15"/>
  <c r="AN107" i="2"/>
  <c r="AO107" i="2"/>
  <c r="V14" i="15"/>
  <c r="AC49" i="2"/>
  <c r="AN49" i="2"/>
  <c r="V41" i="15"/>
  <c r="AN76" i="2"/>
  <c r="AO76" i="2"/>
  <c r="V167" i="15"/>
  <c r="AN202" i="2"/>
  <c r="AO202" i="2"/>
  <c r="V79" i="15"/>
  <c r="AN114" i="2"/>
  <c r="AO114" i="2"/>
  <c r="V130" i="15"/>
  <c r="AN165" i="2"/>
  <c r="AO165" i="2"/>
  <c r="V165" i="15"/>
  <c r="AN200" i="2"/>
  <c r="AO200" i="2"/>
  <c r="V149" i="15"/>
  <c r="AN184" i="2"/>
  <c r="AO184" i="2"/>
  <c r="V114" i="15"/>
  <c r="AN149" i="2"/>
  <c r="AO149" i="2"/>
  <c r="V55" i="15"/>
  <c r="AN90" i="2"/>
  <c r="AO90" i="2"/>
  <c r="V28" i="15"/>
  <c r="AN63" i="2"/>
  <c r="V51" i="15"/>
  <c r="AN86" i="2"/>
  <c r="AO86" i="2"/>
  <c r="V179" i="15"/>
  <c r="AN214" i="2"/>
  <c r="AO214" i="2"/>
  <c r="V81" i="15"/>
  <c r="AN116" i="2"/>
  <c r="AO116" i="2"/>
  <c r="V92" i="15"/>
  <c r="AN127" i="2"/>
  <c r="AO127" i="2"/>
  <c r="V152" i="15"/>
  <c r="AN187" i="2"/>
  <c r="AO187" i="2"/>
  <c r="V141" i="15"/>
  <c r="AN176" i="2"/>
  <c r="AO176" i="2"/>
  <c r="V13" i="15"/>
  <c r="AC48" i="2"/>
  <c r="AN48" i="2"/>
  <c r="AO63" i="2"/>
  <c r="AO245" i="2"/>
  <c r="AO270" i="2"/>
  <c r="AO230" i="2"/>
  <c r="AO268" i="2"/>
  <c r="AO254" i="2"/>
  <c r="AO227" i="2"/>
  <c r="AO280" i="2"/>
  <c r="AO285" i="2"/>
  <c r="AO263" i="2"/>
  <c r="AO256" i="2"/>
  <c r="AO266" i="2"/>
  <c r="AO243" i="2"/>
  <c r="AO273" i="2"/>
  <c r="AO226" i="2"/>
  <c r="AO261" i="2"/>
  <c r="AO233" i="2"/>
  <c r="AO240" i="2"/>
  <c r="AO282" i="2"/>
  <c r="AO232" i="2"/>
  <c r="AO265" i="2"/>
  <c r="AO274" i="2"/>
  <c r="AO244" i="2"/>
  <c r="AO249" i="2"/>
  <c r="AO277" i="2"/>
  <c r="AO257" i="2"/>
  <c r="AO269" i="2"/>
  <c r="AO281" i="2"/>
  <c r="AO267" i="2"/>
  <c r="AO239" i="2"/>
  <c r="AO238" i="2"/>
  <c r="AO234" i="2"/>
  <c r="AO250" i="2"/>
  <c r="AO252" i="2"/>
  <c r="AO253" i="2"/>
  <c r="AO255" i="2"/>
  <c r="AO271" i="2"/>
  <c r="AO251" i="2"/>
  <c r="AO241" i="2"/>
  <c r="AO248" i="2"/>
  <c r="AO231" i="2"/>
  <c r="AO260" i="2"/>
  <c r="AO275" i="2"/>
  <c r="AO229" i="2"/>
  <c r="AO262" i="2"/>
  <c r="AO258" i="2"/>
  <c r="AO272" i="2"/>
  <c r="AO279" i="2"/>
  <c r="AO235" i="2"/>
  <c r="AO246" i="2"/>
  <c r="AO247" i="2"/>
  <c r="AO228" i="2"/>
  <c r="AO284" i="2"/>
  <c r="AO242" i="2"/>
  <c r="AO264" i="2"/>
  <c r="AO276" i="2"/>
  <c r="AO236" i="2"/>
  <c r="AO237" i="2"/>
  <c r="AO259" i="2"/>
  <c r="AO278" i="2"/>
  <c r="AO283" i="2"/>
  <c r="AO51" i="2"/>
  <c r="Y157" i="15"/>
  <c r="W157" i="15"/>
  <c r="K157" i="15"/>
  <c r="W202" i="15"/>
  <c r="K202" i="15"/>
  <c r="Y202" i="15"/>
  <c r="W224" i="15"/>
  <c r="K224" i="15"/>
  <c r="Y224" i="15"/>
  <c r="P261" i="15"/>
  <c r="M261" i="15"/>
  <c r="T261" i="15"/>
  <c r="Q261" i="15"/>
  <c r="O261" i="15"/>
  <c r="W147" i="15"/>
  <c r="K147" i="15"/>
  <c r="Y147" i="15"/>
  <c r="W20" i="15"/>
  <c r="K20" i="15"/>
  <c r="Y20" i="15"/>
  <c r="AA20" i="15"/>
  <c r="AB20" i="15"/>
  <c r="W97" i="15"/>
  <c r="K97" i="15"/>
  <c r="Y97" i="15"/>
  <c r="W158" i="15"/>
  <c r="K158" i="15"/>
  <c r="Y158" i="15"/>
  <c r="W243" i="15"/>
  <c r="K243" i="15"/>
  <c r="Y243" i="15"/>
  <c r="W160" i="15"/>
  <c r="K160" i="15"/>
  <c r="Y160" i="15"/>
  <c r="W180" i="15"/>
  <c r="K180" i="15"/>
  <c r="Y180" i="15"/>
  <c r="P252" i="15"/>
  <c r="M252" i="15"/>
  <c r="T252" i="15"/>
  <c r="Q252" i="15"/>
  <c r="O252" i="15"/>
  <c r="W152" i="15"/>
  <c r="K152" i="15"/>
  <c r="Y152" i="15"/>
  <c r="W51" i="15"/>
  <c r="K51" i="15"/>
  <c r="Y51" i="15"/>
  <c r="W149" i="15"/>
  <c r="K149" i="15"/>
  <c r="Y149" i="15"/>
  <c r="W167" i="15"/>
  <c r="K167" i="15"/>
  <c r="Y167" i="15"/>
  <c r="W91" i="15"/>
  <c r="K91" i="15"/>
  <c r="Y91" i="15"/>
  <c r="W189" i="15"/>
  <c r="K189" i="15"/>
  <c r="Y189" i="15"/>
  <c r="W219" i="15"/>
  <c r="K219" i="15"/>
  <c r="Y219" i="15"/>
  <c r="O256" i="15"/>
  <c r="Q256" i="15"/>
  <c r="P256" i="15"/>
  <c r="M256" i="15"/>
  <c r="T256" i="15"/>
  <c r="W192" i="15"/>
  <c r="K192" i="15"/>
  <c r="Y192" i="15"/>
  <c r="W94" i="15"/>
  <c r="K94" i="15"/>
  <c r="Y94" i="15"/>
  <c r="W26" i="15"/>
  <c r="K26" i="15"/>
  <c r="Y26" i="15"/>
  <c r="AA26" i="15"/>
  <c r="AB26" i="15"/>
  <c r="W245" i="15"/>
  <c r="K245" i="15"/>
  <c r="Y245" i="15"/>
  <c r="W67" i="15"/>
  <c r="K67" i="15"/>
  <c r="Y67" i="15"/>
  <c r="W16" i="15"/>
  <c r="K16" i="15"/>
  <c r="Y16" i="15"/>
  <c r="AA16" i="15"/>
  <c r="AB16" i="15"/>
  <c r="W250" i="15"/>
  <c r="K250" i="15"/>
  <c r="Y250" i="15"/>
  <c r="W115" i="15"/>
  <c r="K115" i="15"/>
  <c r="Y115" i="15"/>
  <c r="W184" i="15"/>
  <c r="K184" i="15"/>
  <c r="Y184" i="15"/>
  <c r="W88" i="15"/>
  <c r="K88" i="15"/>
  <c r="Y88" i="15"/>
  <c r="W53" i="15"/>
  <c r="K53" i="15"/>
  <c r="Y53" i="15"/>
  <c r="W228" i="15"/>
  <c r="K228" i="15"/>
  <c r="Y228" i="15"/>
  <c r="Y62" i="15"/>
  <c r="W62" i="15"/>
  <c r="K62" i="15"/>
  <c r="W126" i="15"/>
  <c r="K126" i="15"/>
  <c r="Y126" i="15"/>
  <c r="W85" i="15"/>
  <c r="K85" i="15"/>
  <c r="Y85" i="15"/>
  <c r="W105" i="15"/>
  <c r="K105" i="15"/>
  <c r="Y105" i="15"/>
  <c r="W131" i="15"/>
  <c r="K131" i="15"/>
  <c r="Y131" i="15"/>
  <c r="W177" i="15"/>
  <c r="K177" i="15"/>
  <c r="Y177" i="15"/>
  <c r="Y221" i="15"/>
  <c r="W221" i="15"/>
  <c r="K221" i="15"/>
  <c r="P258" i="15"/>
  <c r="M258" i="15"/>
  <c r="T258" i="15"/>
  <c r="O258" i="15"/>
  <c r="Q258" i="15"/>
  <c r="W231" i="15"/>
  <c r="K231" i="15"/>
  <c r="Y231" i="15"/>
  <c r="W108" i="15"/>
  <c r="K108" i="15"/>
  <c r="Y108" i="15"/>
  <c r="W208" i="15"/>
  <c r="K208" i="15"/>
  <c r="Y208" i="15"/>
  <c r="Y70" i="15"/>
  <c r="W70" i="15"/>
  <c r="K70" i="15"/>
  <c r="W178" i="15"/>
  <c r="K178" i="15"/>
  <c r="Y178" i="15"/>
  <c r="W133" i="15"/>
  <c r="K133" i="15"/>
  <c r="Y133" i="15"/>
  <c r="W64" i="15"/>
  <c r="K64" i="15"/>
  <c r="Y64" i="15"/>
  <c r="W238" i="15"/>
  <c r="K238" i="15"/>
  <c r="Y238" i="15"/>
  <c r="W50" i="15"/>
  <c r="K50" i="15"/>
  <c r="Y50" i="15"/>
  <c r="W191" i="15"/>
  <c r="K191" i="15"/>
  <c r="Y191" i="15"/>
  <c r="W109" i="15"/>
  <c r="K109" i="15"/>
  <c r="Y109" i="15"/>
  <c r="Y54" i="15"/>
  <c r="W54" i="15"/>
  <c r="K54" i="15"/>
  <c r="W32" i="15"/>
  <c r="K32" i="15"/>
  <c r="Y32" i="15"/>
  <c r="AA32" i="15"/>
  <c r="AB32" i="15"/>
  <c r="W29" i="15"/>
  <c r="K29" i="15"/>
  <c r="Y29" i="15"/>
  <c r="AA29" i="15"/>
  <c r="AB29" i="15"/>
  <c r="W80" i="15"/>
  <c r="K80" i="15"/>
  <c r="Y80" i="15"/>
  <c r="W123" i="15"/>
  <c r="K123" i="15"/>
  <c r="Y123" i="15"/>
  <c r="Y153" i="15"/>
  <c r="W153" i="15"/>
  <c r="K153" i="15"/>
  <c r="W182" i="15"/>
  <c r="K182" i="15"/>
  <c r="Y182" i="15"/>
  <c r="AO52" i="2"/>
  <c r="AO47" i="2"/>
  <c r="AO46" i="2"/>
  <c r="W140" i="15"/>
  <c r="K140" i="15"/>
  <c r="Y140" i="15"/>
  <c r="W132" i="15"/>
  <c r="K132" i="15"/>
  <c r="Y132" i="15"/>
  <c r="W34" i="15"/>
  <c r="K34" i="15"/>
  <c r="Y34" i="15"/>
  <c r="AA34" i="15"/>
  <c r="AB34" i="15"/>
  <c r="W210" i="15"/>
  <c r="K210" i="15"/>
  <c r="Y210" i="15"/>
  <c r="W246" i="15"/>
  <c r="K246" i="15"/>
  <c r="Y246" i="15"/>
  <c r="W37" i="15"/>
  <c r="K37" i="15"/>
  <c r="Y37" i="15"/>
  <c r="AA37" i="15"/>
  <c r="AB37" i="15"/>
  <c r="W155" i="15"/>
  <c r="K155" i="15"/>
  <c r="Y155" i="15"/>
  <c r="W96" i="15"/>
  <c r="K96" i="15"/>
  <c r="Y96" i="15"/>
  <c r="W23" i="15"/>
  <c r="K23" i="15"/>
  <c r="Y23" i="15"/>
  <c r="AA23" i="15"/>
  <c r="AB23" i="15"/>
  <c r="W98" i="15"/>
  <c r="K98" i="15"/>
  <c r="Y98" i="15"/>
  <c r="O255" i="15"/>
  <c r="P255" i="15"/>
  <c r="M255" i="15"/>
  <c r="T255" i="15"/>
  <c r="Q255" i="15"/>
  <c r="W145" i="15"/>
  <c r="K145" i="15"/>
  <c r="Y145" i="15"/>
  <c r="W168" i="15"/>
  <c r="K168" i="15"/>
  <c r="Y168" i="15"/>
  <c r="Q262" i="15"/>
  <c r="P262" i="15"/>
  <c r="M262" i="15"/>
  <c r="T262" i="15"/>
  <c r="O262" i="15"/>
  <c r="Y78" i="15"/>
  <c r="W78" i="15"/>
  <c r="K78" i="15"/>
  <c r="W134" i="15"/>
  <c r="K134" i="15"/>
  <c r="Y134" i="15"/>
  <c r="W186" i="15"/>
  <c r="K186" i="15"/>
  <c r="Y186" i="15"/>
  <c r="W90" i="15"/>
  <c r="K90" i="15"/>
  <c r="Y90" i="15"/>
  <c r="W28" i="15"/>
  <c r="K28" i="15"/>
  <c r="Y28" i="15"/>
  <c r="AA28" i="15"/>
  <c r="AB28" i="15"/>
  <c r="W100" i="15"/>
  <c r="K100" i="15"/>
  <c r="Y100" i="15"/>
  <c r="W135" i="15"/>
  <c r="K135" i="15"/>
  <c r="Y135" i="15"/>
  <c r="W36" i="15"/>
  <c r="K36" i="15"/>
  <c r="Y36" i="15"/>
  <c r="AA36" i="15"/>
  <c r="AB36" i="15"/>
  <c r="W122" i="15"/>
  <c r="K122" i="15"/>
  <c r="Y122" i="15"/>
  <c r="W21" i="15"/>
  <c r="K21" i="15"/>
  <c r="Y21" i="15"/>
  <c r="AA21" i="15"/>
  <c r="AB21" i="15"/>
  <c r="W77" i="15"/>
  <c r="K77" i="15"/>
  <c r="Y77" i="15"/>
  <c r="W43" i="15"/>
  <c r="K43" i="15"/>
  <c r="Y43" i="15"/>
  <c r="AA43" i="15"/>
  <c r="AB43" i="15"/>
  <c r="W121" i="15"/>
  <c r="K121" i="15"/>
  <c r="Y121" i="15"/>
  <c r="W17" i="15"/>
  <c r="K17" i="15"/>
  <c r="Y17" i="15"/>
  <c r="AA17" i="15"/>
  <c r="AB17" i="15"/>
  <c r="Y233" i="15"/>
  <c r="W233" i="15"/>
  <c r="K233" i="15"/>
  <c r="W212" i="15"/>
  <c r="K212" i="15"/>
  <c r="Y212" i="15"/>
  <c r="O260" i="15"/>
  <c r="P260" i="15"/>
  <c r="M260" i="15"/>
  <c r="T260" i="15"/>
  <c r="Q260" i="15"/>
  <c r="Y205" i="15"/>
  <c r="W205" i="15"/>
  <c r="K205" i="15"/>
  <c r="W71" i="15"/>
  <c r="K71" i="15"/>
  <c r="Y71" i="15"/>
  <c r="W11" i="15"/>
  <c r="K11" i="15"/>
  <c r="AV46" i="2"/>
  <c r="AW46" i="2"/>
  <c r="BA46" i="2"/>
  <c r="BC46" i="2"/>
  <c r="W27" i="15"/>
  <c r="K27" i="15"/>
  <c r="Y27" i="15"/>
  <c r="AA27" i="15"/>
  <c r="AB27" i="15"/>
  <c r="W128" i="15"/>
  <c r="K128" i="15"/>
  <c r="Y128" i="15"/>
  <c r="P257" i="15"/>
  <c r="M257" i="15"/>
  <c r="T257" i="15"/>
  <c r="O257" i="15"/>
  <c r="Q257" i="15"/>
  <c r="AO50" i="2"/>
  <c r="W120" i="15"/>
  <c r="K120" i="15"/>
  <c r="Y120" i="15"/>
  <c r="W49" i="15"/>
  <c r="K49" i="15"/>
  <c r="Y49" i="15"/>
  <c r="W171" i="15"/>
  <c r="K171" i="15"/>
  <c r="Y171" i="15"/>
  <c r="W206" i="15"/>
  <c r="K206" i="15"/>
  <c r="Y206" i="15"/>
  <c r="W247" i="15"/>
  <c r="K247" i="15"/>
  <c r="Y247" i="15"/>
  <c r="W93" i="15"/>
  <c r="K93" i="15"/>
  <c r="Y93" i="15"/>
  <c r="W48" i="15"/>
  <c r="K48" i="15"/>
  <c r="Y48" i="15"/>
  <c r="W139" i="15"/>
  <c r="K139" i="15"/>
  <c r="Y139" i="15"/>
  <c r="W82" i="15"/>
  <c r="K82" i="15"/>
  <c r="Y82" i="15"/>
  <c r="W183" i="15"/>
  <c r="K183" i="15"/>
  <c r="Y183" i="15"/>
  <c r="W106" i="15"/>
  <c r="K106" i="15"/>
  <c r="Y106" i="15"/>
  <c r="W172" i="15"/>
  <c r="K172" i="15"/>
  <c r="Y172" i="15"/>
  <c r="Y193" i="15"/>
  <c r="W193" i="15"/>
  <c r="K193" i="15"/>
  <c r="W111" i="15"/>
  <c r="K111" i="15"/>
  <c r="Y111" i="15"/>
  <c r="W197" i="15"/>
  <c r="K197" i="15"/>
  <c r="Y197" i="15"/>
  <c r="W13" i="15"/>
  <c r="K13" i="15"/>
  <c r="Y13" i="15"/>
  <c r="AA13" i="15"/>
  <c r="AB13" i="15"/>
  <c r="W81" i="15"/>
  <c r="K81" i="15"/>
  <c r="Y81" i="15"/>
  <c r="W55" i="15"/>
  <c r="K55" i="15"/>
  <c r="Y55" i="15"/>
  <c r="W130" i="15"/>
  <c r="K130" i="15"/>
  <c r="Y130" i="15"/>
  <c r="Y14" i="15"/>
  <c r="AA14" i="15"/>
  <c r="AB14" i="15"/>
  <c r="W14" i="15"/>
  <c r="K14" i="15"/>
  <c r="W57" i="15"/>
  <c r="K57" i="15"/>
  <c r="Y57" i="15"/>
  <c r="W203" i="15"/>
  <c r="K203" i="15"/>
  <c r="Y203" i="15"/>
  <c r="W230" i="15"/>
  <c r="K230" i="15"/>
  <c r="Y230" i="15"/>
  <c r="W113" i="15"/>
  <c r="K113" i="15"/>
  <c r="Y113" i="15"/>
  <c r="W239" i="15"/>
  <c r="K239" i="15"/>
  <c r="Y239" i="15"/>
  <c r="W112" i="15"/>
  <c r="K112" i="15"/>
  <c r="Y112" i="15"/>
  <c r="W199" i="15"/>
  <c r="K199" i="15"/>
  <c r="Y199" i="15"/>
  <c r="W101" i="15"/>
  <c r="K101" i="15"/>
  <c r="Y101" i="15"/>
  <c r="W59" i="15"/>
  <c r="K59" i="15"/>
  <c r="Y59" i="15"/>
  <c r="W215" i="15"/>
  <c r="K215" i="15"/>
  <c r="Y215" i="15"/>
  <c r="Y127" i="15"/>
  <c r="W127" i="15"/>
  <c r="K127" i="15"/>
  <c r="W75" i="15"/>
  <c r="K75" i="15"/>
  <c r="Y75" i="15"/>
  <c r="Y217" i="15"/>
  <c r="W217" i="15"/>
  <c r="K217" i="15"/>
  <c r="W148" i="15"/>
  <c r="K148" i="15"/>
  <c r="Y148" i="15"/>
  <c r="W76" i="15"/>
  <c r="K76" i="15"/>
  <c r="Y76" i="15"/>
  <c r="W68" i="15"/>
  <c r="K68" i="15"/>
  <c r="Y68" i="15"/>
  <c r="W84" i="15"/>
  <c r="K84" i="15"/>
  <c r="Y84" i="15"/>
  <c r="Y38" i="15"/>
  <c r="AA38" i="15"/>
  <c r="AB38" i="15"/>
  <c r="W38" i="15"/>
  <c r="K38" i="15"/>
  <c r="Y143" i="15"/>
  <c r="W143" i="15"/>
  <c r="K143" i="15"/>
  <c r="W136" i="15"/>
  <c r="K136" i="15"/>
  <c r="Y136" i="15"/>
  <c r="W125" i="15"/>
  <c r="K125" i="15"/>
  <c r="Y125" i="15"/>
  <c r="W209" i="15"/>
  <c r="K209" i="15"/>
  <c r="Y209" i="15"/>
  <c r="W39" i="15"/>
  <c r="K39" i="15"/>
  <c r="Y39" i="15"/>
  <c r="AA39" i="15"/>
  <c r="AB39" i="15"/>
  <c r="W35" i="15"/>
  <c r="K35" i="15"/>
  <c r="Y35" i="15"/>
  <c r="AA35" i="15"/>
  <c r="AB35" i="15"/>
  <c r="Y173" i="15"/>
  <c r="W173" i="15"/>
  <c r="K173" i="15"/>
  <c r="Q254" i="15"/>
  <c r="P254" i="15"/>
  <c r="O254" i="15"/>
  <c r="M254" i="15"/>
  <c r="T254" i="15"/>
  <c r="W25" i="15"/>
  <c r="K25" i="15"/>
  <c r="Y25" i="15"/>
  <c r="AA25" i="15"/>
  <c r="AB25" i="15"/>
  <c r="W214" i="15"/>
  <c r="K214" i="15"/>
  <c r="Y214" i="15"/>
  <c r="W137" i="15"/>
  <c r="K137" i="15"/>
  <c r="Y137" i="15"/>
  <c r="W107" i="15"/>
  <c r="K107" i="15"/>
  <c r="Y107" i="15"/>
  <c r="W45" i="15"/>
  <c r="K45" i="15"/>
  <c r="Y45" i="15"/>
  <c r="W44" i="15"/>
  <c r="K44" i="15"/>
  <c r="Y44" i="15"/>
  <c r="W242" i="15"/>
  <c r="K242" i="15"/>
  <c r="Y242" i="15"/>
  <c r="W129" i="15"/>
  <c r="K129" i="15"/>
  <c r="Y129" i="15"/>
  <c r="W15" i="15"/>
  <c r="K15" i="15"/>
  <c r="Y15" i="15"/>
  <c r="AA15" i="15"/>
  <c r="AB15" i="15"/>
  <c r="P253" i="15"/>
  <c r="M253" i="15"/>
  <c r="T253" i="15"/>
  <c r="Q253" i="15"/>
  <c r="O253" i="15"/>
  <c r="W150" i="15"/>
  <c r="K150" i="15"/>
  <c r="Y150" i="15"/>
  <c r="W156" i="15"/>
  <c r="K156" i="15"/>
  <c r="Y156" i="15"/>
  <c r="W222" i="15"/>
  <c r="K222" i="15"/>
  <c r="Y222" i="15"/>
  <c r="W86" i="15"/>
  <c r="K86" i="15"/>
  <c r="Y86" i="15"/>
  <c r="W159" i="15"/>
  <c r="K159" i="15"/>
  <c r="Y159" i="15"/>
  <c r="W234" i="15"/>
  <c r="K234" i="15"/>
  <c r="Y234" i="15"/>
  <c r="W18" i="15"/>
  <c r="K18" i="15"/>
  <c r="Y18" i="15"/>
  <c r="AA18" i="15"/>
  <c r="AB18" i="15"/>
  <c r="Y161" i="15"/>
  <c r="W161" i="15"/>
  <c r="K161" i="15"/>
  <c r="W92" i="15"/>
  <c r="K92" i="15"/>
  <c r="Y92" i="15"/>
  <c r="W41" i="15"/>
  <c r="K41" i="15"/>
  <c r="Y41" i="15"/>
  <c r="AA41" i="15"/>
  <c r="AB41" i="15"/>
  <c r="W226" i="15"/>
  <c r="K226" i="15"/>
  <c r="Y226" i="15"/>
  <c r="O251" i="15"/>
  <c r="P251" i="15"/>
  <c r="M251" i="15"/>
  <c r="T251" i="15"/>
  <c r="Q251" i="15"/>
  <c r="W24" i="15"/>
  <c r="K24" i="15"/>
  <c r="Y24" i="15"/>
  <c r="AA24" i="15"/>
  <c r="AB24" i="15"/>
  <c r="W181" i="15"/>
  <c r="K181" i="15"/>
  <c r="Y181" i="15"/>
  <c r="W119" i="15"/>
  <c r="K119" i="15"/>
  <c r="Y119" i="15"/>
  <c r="W195" i="15"/>
  <c r="K195" i="15"/>
  <c r="Y195" i="15"/>
  <c r="Y138" i="15"/>
  <c r="W138" i="15"/>
  <c r="K138" i="15"/>
  <c r="W154" i="15"/>
  <c r="K154" i="15"/>
  <c r="Y154" i="15"/>
  <c r="W99" i="15"/>
  <c r="K99" i="15"/>
  <c r="Y99" i="15"/>
  <c r="Y185" i="15"/>
  <c r="W185" i="15"/>
  <c r="K185" i="15"/>
  <c r="W104" i="15"/>
  <c r="K104" i="15"/>
  <c r="Y104" i="15"/>
  <c r="AO48" i="2"/>
  <c r="W170" i="15"/>
  <c r="K170" i="15"/>
  <c r="Y170" i="15"/>
  <c r="AO54" i="2"/>
  <c r="W40" i="15"/>
  <c r="K40" i="15"/>
  <c r="Y40" i="15"/>
  <c r="AA40" i="15"/>
  <c r="AB40" i="15"/>
  <c r="W164" i="15"/>
  <c r="K164" i="15"/>
  <c r="Y164" i="15"/>
  <c r="Y30" i="15"/>
  <c r="AA30" i="15"/>
  <c r="AB30" i="15"/>
  <c r="W30" i="15"/>
  <c r="K30" i="15"/>
  <c r="W190" i="15"/>
  <c r="K190" i="15"/>
  <c r="Y190" i="15"/>
  <c r="W218" i="15"/>
  <c r="K218" i="15"/>
  <c r="Y218" i="15"/>
  <c r="W42" i="15"/>
  <c r="K42" i="15"/>
  <c r="Y42" i="15"/>
  <c r="AA42" i="15"/>
  <c r="AB42" i="15"/>
  <c r="W56" i="15"/>
  <c r="K56" i="15"/>
  <c r="Y56" i="15"/>
  <c r="W117" i="15"/>
  <c r="K117" i="15"/>
  <c r="Y117" i="15"/>
  <c r="W163" i="15"/>
  <c r="K163" i="15"/>
  <c r="Y163" i="15"/>
  <c r="W220" i="15"/>
  <c r="K220" i="15"/>
  <c r="Y220" i="15"/>
  <c r="W66" i="15"/>
  <c r="K66" i="15"/>
  <c r="Y66" i="15"/>
  <c r="W146" i="15"/>
  <c r="K146" i="15"/>
  <c r="Y146" i="15"/>
  <c r="W236" i="15"/>
  <c r="K236" i="15"/>
  <c r="Y236" i="15"/>
  <c r="W116" i="15"/>
  <c r="K116" i="15"/>
  <c r="Y116" i="15"/>
  <c r="W151" i="15"/>
  <c r="K151" i="15"/>
  <c r="Y151" i="15"/>
  <c r="W216" i="15"/>
  <c r="K216" i="15"/>
  <c r="Y216" i="15"/>
  <c r="W248" i="15"/>
  <c r="K248" i="15"/>
  <c r="Y248" i="15"/>
  <c r="W165" i="15"/>
  <c r="K165" i="15"/>
  <c r="Y165" i="15"/>
  <c r="W200" i="15"/>
  <c r="K200" i="15"/>
  <c r="Y200" i="15"/>
  <c r="W235" i="15"/>
  <c r="K235" i="15"/>
  <c r="Y235" i="15"/>
  <c r="W103" i="15"/>
  <c r="K103" i="15"/>
  <c r="Y103" i="15"/>
  <c r="W198" i="15"/>
  <c r="K198" i="15"/>
  <c r="Y198" i="15"/>
  <c r="W211" i="15"/>
  <c r="K211" i="15"/>
  <c r="Y211" i="15"/>
  <c r="W118" i="15"/>
  <c r="K118" i="15"/>
  <c r="Y118" i="15"/>
  <c r="W58" i="15"/>
  <c r="K58" i="15"/>
  <c r="Y58" i="15"/>
  <c r="W142" i="15"/>
  <c r="K142" i="15"/>
  <c r="Y142" i="15"/>
  <c r="W232" i="15"/>
  <c r="K232" i="15"/>
  <c r="Y232" i="15"/>
  <c r="W69" i="15"/>
  <c r="K69" i="15"/>
  <c r="Y69" i="15"/>
  <c r="W73" i="15"/>
  <c r="K73" i="15"/>
  <c r="Y73" i="15"/>
  <c r="W12" i="15"/>
  <c r="K12" i="15"/>
  <c r="Y12" i="15"/>
  <c r="AA12" i="15"/>
  <c r="AB12" i="15"/>
  <c r="W52" i="15"/>
  <c r="K52" i="15"/>
  <c r="Y52" i="15"/>
  <c r="W204" i="15"/>
  <c r="K204" i="15"/>
  <c r="Y204" i="15"/>
  <c r="AO49" i="2"/>
  <c r="W141" i="15"/>
  <c r="K141" i="15"/>
  <c r="Y141" i="15"/>
  <c r="W179" i="15"/>
  <c r="K179" i="15"/>
  <c r="Y179" i="15"/>
  <c r="W114" i="15"/>
  <c r="K114" i="15"/>
  <c r="Y114" i="15"/>
  <c r="W79" i="15"/>
  <c r="K79" i="15"/>
  <c r="Y79" i="15"/>
  <c r="W72" i="15"/>
  <c r="K72" i="15"/>
  <c r="Y72" i="15"/>
  <c r="Y46" i="15"/>
  <c r="W46" i="15"/>
  <c r="K46" i="15"/>
  <c r="Y213" i="15"/>
  <c r="W213" i="15"/>
  <c r="K213" i="15"/>
  <c r="Y249" i="15"/>
  <c r="W249" i="15"/>
  <c r="K249" i="15"/>
  <c r="W188" i="15"/>
  <c r="K188" i="15"/>
  <c r="Y188" i="15"/>
  <c r="W47" i="15"/>
  <c r="K47" i="15"/>
  <c r="Y47" i="15"/>
  <c r="W87" i="15"/>
  <c r="K87" i="15"/>
  <c r="Y87" i="15"/>
  <c r="W207" i="15"/>
  <c r="K207" i="15"/>
  <c r="Y207" i="15"/>
  <c r="W83" i="15"/>
  <c r="K83" i="15"/>
  <c r="Y83" i="15"/>
  <c r="W31" i="15"/>
  <c r="K31" i="15"/>
  <c r="Y31" i="15"/>
  <c r="AA31" i="15"/>
  <c r="AB31" i="15"/>
  <c r="W229" i="15"/>
  <c r="K229" i="15"/>
  <c r="Y229" i="15"/>
  <c r="W74" i="15"/>
  <c r="K74" i="15"/>
  <c r="Y74" i="15"/>
  <c r="W176" i="15"/>
  <c r="K176" i="15"/>
  <c r="Y176" i="15"/>
  <c r="Y241" i="15"/>
  <c r="W241" i="15"/>
  <c r="K241" i="15"/>
  <c r="W124" i="15"/>
  <c r="K124" i="15"/>
  <c r="Y124" i="15"/>
  <c r="Y201" i="15"/>
  <c r="W201" i="15"/>
  <c r="K201" i="15"/>
  <c r="W65" i="15"/>
  <c r="K65" i="15"/>
  <c r="Y65" i="15"/>
  <c r="W175" i="15"/>
  <c r="K175" i="15"/>
  <c r="Y175" i="15"/>
  <c r="W63" i="15"/>
  <c r="K63" i="15"/>
  <c r="Y63" i="15"/>
  <c r="W166" i="15"/>
  <c r="K166" i="15"/>
  <c r="Y166" i="15"/>
  <c r="W60" i="15"/>
  <c r="K60" i="15"/>
  <c r="Y60" i="15"/>
  <c r="W196" i="15"/>
  <c r="K196" i="15"/>
  <c r="Y196" i="15"/>
  <c r="Y225" i="15"/>
  <c r="W225" i="15"/>
  <c r="K225" i="15"/>
  <c r="W240" i="15"/>
  <c r="K240" i="15"/>
  <c r="Y240" i="15"/>
  <c r="W194" i="15"/>
  <c r="K194" i="15"/>
  <c r="Y194" i="15"/>
  <c r="W33" i="15"/>
  <c r="K33" i="15"/>
  <c r="Y33" i="15"/>
  <c r="AA33" i="15"/>
  <c r="AB33" i="15"/>
  <c r="W162" i="15"/>
  <c r="K162" i="15"/>
  <c r="Y162" i="15"/>
  <c r="W22" i="15"/>
  <c r="K22" i="15"/>
  <c r="Y22" i="15"/>
  <c r="AA22" i="15"/>
  <c r="AB22" i="15"/>
  <c r="W102" i="15"/>
  <c r="K102" i="15"/>
  <c r="Y102" i="15"/>
  <c r="W227" i="15"/>
  <c r="K227" i="15"/>
  <c r="Y227" i="15"/>
  <c r="W89" i="15"/>
  <c r="K89" i="15"/>
  <c r="Y89" i="15"/>
  <c r="W223" i="15"/>
  <c r="K223" i="15"/>
  <c r="Y223" i="15"/>
  <c r="Y110" i="15"/>
  <c r="W110" i="15"/>
  <c r="K110" i="15"/>
  <c r="W174" i="15"/>
  <c r="K174" i="15"/>
  <c r="Y174" i="15"/>
  <c r="O259" i="15"/>
  <c r="Q259" i="15"/>
  <c r="P259" i="15"/>
  <c r="M259" i="15"/>
  <c r="T259" i="15"/>
  <c r="W61" i="15"/>
  <c r="K61" i="15"/>
  <c r="Y61" i="15"/>
  <c r="W19" i="15"/>
  <c r="K19" i="15"/>
  <c r="Y19" i="15"/>
  <c r="AA19" i="15"/>
  <c r="AB19" i="15"/>
  <c r="AO53" i="2"/>
  <c r="Y169" i="15"/>
  <c r="W169" i="15"/>
  <c r="K169" i="15"/>
  <c r="W95" i="15"/>
  <c r="K95" i="15"/>
  <c r="Y95" i="15"/>
  <c r="Y237" i="15"/>
  <c r="W237" i="15"/>
  <c r="K237" i="15"/>
  <c r="W187" i="15"/>
  <c r="K187" i="15"/>
  <c r="Y187" i="15"/>
  <c r="W144" i="15"/>
  <c r="K144" i="15"/>
  <c r="Y144" i="15"/>
  <c r="W244" i="15"/>
  <c r="K244" i="15"/>
  <c r="Y244" i="15"/>
  <c r="Z257" i="15"/>
  <c r="AA257" i="15"/>
  <c r="AB257" i="15"/>
  <c r="Z262" i="15"/>
  <c r="AA262" i="15"/>
  <c r="AB262" i="15"/>
  <c r="Z252" i="15"/>
  <c r="AA252" i="15"/>
  <c r="AB252" i="15"/>
  <c r="Z256" i="15"/>
  <c r="AA256" i="15"/>
  <c r="AB256" i="15"/>
  <c r="Z251" i="15"/>
  <c r="AA251" i="15"/>
  <c r="AB251" i="15"/>
  <c r="Z258" i="15"/>
  <c r="AA258" i="15"/>
  <c r="AB258" i="15"/>
  <c r="Z253" i="15"/>
  <c r="AA253" i="15"/>
  <c r="AB253" i="15"/>
  <c r="Z261" i="15"/>
  <c r="AA261" i="15"/>
  <c r="AB261" i="15"/>
  <c r="Z259" i="15"/>
  <c r="AA259" i="15"/>
  <c r="AB259" i="15"/>
  <c r="Z254" i="15"/>
  <c r="AA254" i="15"/>
  <c r="AB254" i="15"/>
  <c r="Z260" i="15"/>
  <c r="AA260" i="15"/>
  <c r="AB260" i="15"/>
  <c r="Z255" i="15"/>
  <c r="AA255" i="15"/>
  <c r="AB255" i="15"/>
  <c r="AV55" i="2"/>
  <c r="AV75" i="2"/>
  <c r="AW75" i="2"/>
  <c r="AX75" i="2"/>
  <c r="AV50" i="2"/>
  <c r="AV60" i="2"/>
  <c r="AW60" i="2"/>
  <c r="AX60" i="2"/>
  <c r="AV70" i="2"/>
  <c r="AW70" i="2"/>
  <c r="AX70" i="2"/>
  <c r="AV48" i="2"/>
  <c r="AV63" i="2"/>
  <c r="AW63" i="2"/>
  <c r="AX63" i="2"/>
  <c r="AV64" i="2"/>
  <c r="AW64" i="2"/>
  <c r="AX64" i="2"/>
  <c r="AV54" i="2"/>
  <c r="AV47" i="2"/>
  <c r="AV77" i="2"/>
  <c r="AW77" i="2"/>
  <c r="AX77" i="2"/>
  <c r="AV59" i="2"/>
  <c r="AW59" i="2"/>
  <c r="AV74" i="2"/>
  <c r="AW74" i="2"/>
  <c r="AX74" i="2"/>
  <c r="AV62" i="2"/>
  <c r="AW62" i="2"/>
  <c r="AX62" i="2"/>
  <c r="AV52" i="2"/>
  <c r="AV78" i="2"/>
  <c r="AW78" i="2"/>
  <c r="AX78" i="2"/>
  <c r="AV56" i="2"/>
  <c r="AV71" i="2"/>
  <c r="AW71" i="2"/>
  <c r="AX71" i="2"/>
  <c r="AV58" i="2"/>
  <c r="AW58" i="2"/>
  <c r="AV69" i="2"/>
  <c r="AW69" i="2"/>
  <c r="AX69" i="2"/>
  <c r="AV67" i="2"/>
  <c r="AW67" i="2"/>
  <c r="AX67" i="2"/>
  <c r="AV53" i="2"/>
  <c r="AV61" i="2"/>
  <c r="AW61" i="2"/>
  <c r="AX61" i="2"/>
  <c r="AV72" i="2"/>
  <c r="AW72" i="2"/>
  <c r="AX72" i="2"/>
  <c r="AV57" i="2"/>
  <c r="AW57" i="2"/>
  <c r="AX57" i="2"/>
  <c r="AV68" i="2"/>
  <c r="AW68" i="2"/>
  <c r="AX68" i="2"/>
  <c r="AV66" i="2"/>
  <c r="AW66" i="2"/>
  <c r="AX66" i="2"/>
  <c r="AV65" i="2"/>
  <c r="AW65" i="2"/>
  <c r="AX65" i="2"/>
  <c r="AV76" i="2"/>
  <c r="AW76" i="2"/>
  <c r="AX76" i="2"/>
  <c r="AV73" i="2"/>
  <c r="AW73" i="2"/>
  <c r="AX73" i="2"/>
  <c r="AV49" i="2"/>
  <c r="AV51" i="2"/>
  <c r="AX46" i="2"/>
  <c r="BB46" i="2"/>
  <c r="BD46" i="2"/>
  <c r="BE46" i="2"/>
  <c r="P169" i="15"/>
  <c r="M169" i="15"/>
  <c r="T169" i="15"/>
  <c r="Q169" i="15"/>
  <c r="O169" i="15"/>
  <c r="O33" i="15"/>
  <c r="M33" i="15"/>
  <c r="T33" i="15"/>
  <c r="P33" i="15"/>
  <c r="Q33" i="15"/>
  <c r="P179" i="15"/>
  <c r="M179" i="15"/>
  <c r="T179" i="15"/>
  <c r="O179" i="15"/>
  <c r="Q179" i="15"/>
  <c r="O232" i="15"/>
  <c r="P232" i="15"/>
  <c r="M232" i="15"/>
  <c r="T232" i="15"/>
  <c r="Q232" i="15"/>
  <c r="O200" i="15"/>
  <c r="P200" i="15"/>
  <c r="M200" i="15"/>
  <c r="T200" i="15"/>
  <c r="Q200" i="15"/>
  <c r="O220" i="15"/>
  <c r="P220" i="15"/>
  <c r="M220" i="15"/>
  <c r="T220" i="15"/>
  <c r="Q220" i="15"/>
  <c r="O164" i="15"/>
  <c r="P164" i="15"/>
  <c r="M164" i="15"/>
  <c r="T164" i="15"/>
  <c r="Q164" i="15"/>
  <c r="O136" i="15"/>
  <c r="M136" i="15"/>
  <c r="T136" i="15"/>
  <c r="P136" i="15"/>
  <c r="Q136" i="15"/>
  <c r="P197" i="15"/>
  <c r="M197" i="15"/>
  <c r="T197" i="15"/>
  <c r="Q197" i="15"/>
  <c r="O197" i="15"/>
  <c r="O171" i="15"/>
  <c r="Q171" i="15"/>
  <c r="P171" i="15"/>
  <c r="M171" i="15"/>
  <c r="T171" i="15"/>
  <c r="Q221" i="15"/>
  <c r="O221" i="15"/>
  <c r="P221" i="15"/>
  <c r="M221" i="15"/>
  <c r="T221" i="15"/>
  <c r="O167" i="15"/>
  <c r="P167" i="15"/>
  <c r="M167" i="15"/>
  <c r="T167" i="15"/>
  <c r="Q167" i="15"/>
  <c r="Q20" i="15"/>
  <c r="P20" i="15"/>
  <c r="O20" i="15"/>
  <c r="M20" i="15"/>
  <c r="T20" i="15"/>
  <c r="Q19" i="15"/>
  <c r="O19" i="15"/>
  <c r="M19" i="15"/>
  <c r="T19" i="15"/>
  <c r="P19" i="15"/>
  <c r="O127" i="15"/>
  <c r="Q127" i="15"/>
  <c r="P127" i="15"/>
  <c r="M127" i="15"/>
  <c r="T127" i="15"/>
  <c r="P34" i="15"/>
  <c r="O34" i="15"/>
  <c r="M34" i="15"/>
  <c r="T34" i="15"/>
  <c r="Q34" i="15"/>
  <c r="P29" i="15"/>
  <c r="Q29" i="15"/>
  <c r="M29" i="15"/>
  <c r="T29" i="15"/>
  <c r="O29" i="15"/>
  <c r="O133" i="15"/>
  <c r="M133" i="15"/>
  <c r="T133" i="15"/>
  <c r="Q133" i="15"/>
  <c r="P133" i="15"/>
  <c r="M85" i="15"/>
  <c r="T85" i="15"/>
  <c r="O85" i="15"/>
  <c r="Q85" i="15"/>
  <c r="P85" i="15"/>
  <c r="P26" i="15"/>
  <c r="Q26" i="15"/>
  <c r="O26" i="15"/>
  <c r="M26" i="15"/>
  <c r="T26" i="15"/>
  <c r="Q202" i="15"/>
  <c r="O202" i="15"/>
  <c r="P202" i="15"/>
  <c r="M202" i="15"/>
  <c r="T202" i="15"/>
  <c r="P194" i="15"/>
  <c r="M194" i="15"/>
  <c r="T194" i="15"/>
  <c r="Q194" i="15"/>
  <c r="O194" i="15"/>
  <c r="Q176" i="15"/>
  <c r="O176" i="15"/>
  <c r="P176" i="15"/>
  <c r="M176" i="15"/>
  <c r="T176" i="15"/>
  <c r="O141" i="15"/>
  <c r="P141" i="15"/>
  <c r="M141" i="15"/>
  <c r="T141" i="15"/>
  <c r="Q141" i="15"/>
  <c r="P12" i="15"/>
  <c r="O12" i="15"/>
  <c r="Q12" i="15"/>
  <c r="M12" i="15"/>
  <c r="T12" i="15"/>
  <c r="P165" i="15"/>
  <c r="M165" i="15"/>
  <c r="T165" i="15"/>
  <c r="Q165" i="15"/>
  <c r="O165" i="15"/>
  <c r="P218" i="15"/>
  <c r="M218" i="15"/>
  <c r="T218" i="15"/>
  <c r="Q218" i="15"/>
  <c r="O218" i="15"/>
  <c r="P129" i="15"/>
  <c r="M129" i="15"/>
  <c r="T129" i="15"/>
  <c r="O129" i="15"/>
  <c r="Q129" i="15"/>
  <c r="P230" i="15"/>
  <c r="M230" i="15"/>
  <c r="T230" i="15"/>
  <c r="O230" i="15"/>
  <c r="Q230" i="15"/>
  <c r="O93" i="15"/>
  <c r="M93" i="15"/>
  <c r="T93" i="15"/>
  <c r="Q93" i="15"/>
  <c r="P93" i="15"/>
  <c r="P157" i="15"/>
  <c r="M157" i="15"/>
  <c r="T157" i="15"/>
  <c r="O157" i="15"/>
  <c r="Q157" i="15"/>
  <c r="Q185" i="15"/>
  <c r="O185" i="15"/>
  <c r="P185" i="15"/>
  <c r="M185" i="15"/>
  <c r="T185" i="15"/>
  <c r="O138" i="15"/>
  <c r="P138" i="15"/>
  <c r="M138" i="15"/>
  <c r="T138" i="15"/>
  <c r="Q138" i="15"/>
  <c r="Q150" i="15"/>
  <c r="P150" i="15"/>
  <c r="M150" i="15"/>
  <c r="T150" i="15"/>
  <c r="O150" i="15"/>
  <c r="M38" i="15"/>
  <c r="T38" i="15"/>
  <c r="P38" i="15"/>
  <c r="Q38" i="15"/>
  <c r="O38" i="15"/>
  <c r="P121" i="15"/>
  <c r="Q121" i="15"/>
  <c r="O121" i="15"/>
  <c r="M121" i="15"/>
  <c r="T121" i="15"/>
  <c r="Q168" i="15"/>
  <c r="O168" i="15"/>
  <c r="P168" i="15"/>
  <c r="M168" i="15"/>
  <c r="T168" i="15"/>
  <c r="O132" i="15"/>
  <c r="M132" i="15"/>
  <c r="T132" i="15"/>
  <c r="P132" i="15"/>
  <c r="Q132" i="15"/>
  <c r="Q50" i="15"/>
  <c r="P50" i="15"/>
  <c r="M50" i="15"/>
  <c r="T50" i="15"/>
  <c r="O50" i="15"/>
  <c r="O231" i="15"/>
  <c r="P231" i="15"/>
  <c r="M231" i="15"/>
  <c r="T231" i="15"/>
  <c r="Q231" i="15"/>
  <c r="P88" i="15"/>
  <c r="Q88" i="15"/>
  <c r="M88" i="15"/>
  <c r="T88" i="15"/>
  <c r="O88" i="15"/>
  <c r="Q94" i="15"/>
  <c r="O94" i="15"/>
  <c r="M94" i="15"/>
  <c r="T94" i="15"/>
  <c r="P94" i="15"/>
  <c r="O22" i="15"/>
  <c r="M22" i="15"/>
  <c r="T22" i="15"/>
  <c r="P22" i="15"/>
  <c r="Q22" i="15"/>
  <c r="M79" i="15"/>
  <c r="T79" i="15"/>
  <c r="O79" i="15"/>
  <c r="P79" i="15"/>
  <c r="Q79" i="15"/>
  <c r="P73" i="15"/>
  <c r="Q73" i="15"/>
  <c r="O73" i="15"/>
  <c r="M73" i="15"/>
  <c r="T73" i="15"/>
  <c r="O248" i="15"/>
  <c r="Q248" i="15"/>
  <c r="P248" i="15"/>
  <c r="M248" i="15"/>
  <c r="T248" i="15"/>
  <c r="O117" i="15"/>
  <c r="P117" i="15"/>
  <c r="M117" i="15"/>
  <c r="T117" i="15"/>
  <c r="Q117" i="15"/>
  <c r="P137" i="15"/>
  <c r="Q137" i="15"/>
  <c r="O137" i="15"/>
  <c r="M137" i="15"/>
  <c r="T137" i="15"/>
  <c r="Q209" i="15"/>
  <c r="O209" i="15"/>
  <c r="P209" i="15"/>
  <c r="M209" i="15"/>
  <c r="T209" i="15"/>
  <c r="P148" i="15"/>
  <c r="M148" i="15"/>
  <c r="T148" i="15"/>
  <c r="Q148" i="15"/>
  <c r="O148" i="15"/>
  <c r="Q215" i="15"/>
  <c r="O215" i="15"/>
  <c r="P215" i="15"/>
  <c r="M215" i="15"/>
  <c r="T215" i="15"/>
  <c r="Q112" i="15"/>
  <c r="O112" i="15"/>
  <c r="M112" i="15"/>
  <c r="T112" i="15"/>
  <c r="P112" i="15"/>
  <c r="O203" i="15"/>
  <c r="Q203" i="15"/>
  <c r="P203" i="15"/>
  <c r="M203" i="15"/>
  <c r="T203" i="15"/>
  <c r="O55" i="15"/>
  <c r="P55" i="15"/>
  <c r="M55" i="15"/>
  <c r="T55" i="15"/>
  <c r="Q55" i="15"/>
  <c r="O82" i="15"/>
  <c r="M82" i="15"/>
  <c r="T82" i="15"/>
  <c r="Q82" i="15"/>
  <c r="P82" i="15"/>
  <c r="O247" i="15"/>
  <c r="P247" i="15"/>
  <c r="M247" i="15"/>
  <c r="T247" i="15"/>
  <c r="Q247" i="15"/>
  <c r="O120" i="15"/>
  <c r="M120" i="15"/>
  <c r="T120" i="15"/>
  <c r="P120" i="15"/>
  <c r="Q120" i="15"/>
  <c r="M78" i="15"/>
  <c r="T78" i="15"/>
  <c r="P78" i="15"/>
  <c r="Q78" i="15"/>
  <c r="O78" i="15"/>
  <c r="M54" i="15"/>
  <c r="T54" i="15"/>
  <c r="O54" i="15"/>
  <c r="P54" i="15"/>
  <c r="Q54" i="15"/>
  <c r="O70" i="15"/>
  <c r="M70" i="15"/>
  <c r="T70" i="15"/>
  <c r="P70" i="15"/>
  <c r="Q70" i="15"/>
  <c r="M62" i="15"/>
  <c r="T62" i="15"/>
  <c r="O62" i="15"/>
  <c r="P62" i="15"/>
  <c r="Q62" i="15"/>
  <c r="P189" i="15"/>
  <c r="M189" i="15"/>
  <c r="T189" i="15"/>
  <c r="O189" i="15"/>
  <c r="Q189" i="15"/>
  <c r="M51" i="15"/>
  <c r="T51" i="15"/>
  <c r="O51" i="15"/>
  <c r="P51" i="15"/>
  <c r="Q51" i="15"/>
  <c r="Q158" i="15"/>
  <c r="P158" i="15"/>
  <c r="M158" i="15"/>
  <c r="T158" i="15"/>
  <c r="O158" i="15"/>
  <c r="P225" i="15"/>
  <c r="M225" i="15"/>
  <c r="T225" i="15"/>
  <c r="Q225" i="15"/>
  <c r="O225" i="15"/>
  <c r="O213" i="15"/>
  <c r="P213" i="15"/>
  <c r="M213" i="15"/>
  <c r="T213" i="15"/>
  <c r="Q213" i="15"/>
  <c r="O30" i="15"/>
  <c r="Q30" i="15"/>
  <c r="P30" i="15"/>
  <c r="M30" i="15"/>
  <c r="T30" i="15"/>
  <c r="P92" i="15"/>
  <c r="Q92" i="15"/>
  <c r="O92" i="15"/>
  <c r="M92" i="15"/>
  <c r="T92" i="15"/>
  <c r="M86" i="15"/>
  <c r="T86" i="15"/>
  <c r="O86" i="15"/>
  <c r="P86" i="15"/>
  <c r="Q86" i="15"/>
  <c r="O173" i="15"/>
  <c r="P173" i="15"/>
  <c r="M173" i="15"/>
  <c r="T173" i="15"/>
  <c r="Q173" i="15"/>
  <c r="P217" i="15"/>
  <c r="M217" i="15"/>
  <c r="T217" i="15"/>
  <c r="Q217" i="15"/>
  <c r="O217" i="15"/>
  <c r="O71" i="15"/>
  <c r="M71" i="15"/>
  <c r="T71" i="15"/>
  <c r="P71" i="15"/>
  <c r="Q71" i="15"/>
  <c r="O212" i="15"/>
  <c r="P212" i="15"/>
  <c r="M212" i="15"/>
  <c r="T212" i="15"/>
  <c r="Q212" i="15"/>
  <c r="O43" i="15"/>
  <c r="P43" i="15"/>
  <c r="M43" i="15"/>
  <c r="T43" i="15"/>
  <c r="Q43" i="15"/>
  <c r="Q36" i="15"/>
  <c r="M36" i="15"/>
  <c r="T36" i="15"/>
  <c r="P36" i="15"/>
  <c r="O36" i="15"/>
  <c r="O90" i="15"/>
  <c r="M90" i="15"/>
  <c r="T90" i="15"/>
  <c r="Q90" i="15"/>
  <c r="P90" i="15"/>
  <c r="O145" i="15"/>
  <c r="M145" i="15"/>
  <c r="T145" i="15"/>
  <c r="Q145" i="15"/>
  <c r="P145" i="15"/>
  <c r="P23" i="15"/>
  <c r="O23" i="15"/>
  <c r="M23" i="15"/>
  <c r="T23" i="15"/>
  <c r="Q23" i="15"/>
  <c r="Q246" i="15"/>
  <c r="P246" i="15"/>
  <c r="M246" i="15"/>
  <c r="T246" i="15"/>
  <c r="O246" i="15"/>
  <c r="O140" i="15"/>
  <c r="P140" i="15"/>
  <c r="M140" i="15"/>
  <c r="T140" i="15"/>
  <c r="Q140" i="15"/>
  <c r="O123" i="15"/>
  <c r="M123" i="15"/>
  <c r="T123" i="15"/>
  <c r="Q123" i="15"/>
  <c r="P123" i="15"/>
  <c r="Q238" i="15"/>
  <c r="P238" i="15"/>
  <c r="M238" i="15"/>
  <c r="T238" i="15"/>
  <c r="O238" i="15"/>
  <c r="O131" i="15"/>
  <c r="Q131" i="15"/>
  <c r="P131" i="15"/>
  <c r="M131" i="15"/>
  <c r="T131" i="15"/>
  <c r="P184" i="15"/>
  <c r="M184" i="15"/>
  <c r="T184" i="15"/>
  <c r="Q184" i="15"/>
  <c r="O184" i="15"/>
  <c r="M67" i="15"/>
  <c r="T67" i="15"/>
  <c r="O67" i="15"/>
  <c r="P67" i="15"/>
  <c r="Q67" i="15"/>
  <c r="P192" i="15"/>
  <c r="M192" i="15"/>
  <c r="T192" i="15"/>
  <c r="Q192" i="15"/>
  <c r="O192" i="15"/>
  <c r="Q227" i="15"/>
  <c r="P227" i="15"/>
  <c r="M227" i="15"/>
  <c r="T227" i="15"/>
  <c r="O227" i="15"/>
  <c r="P175" i="15"/>
  <c r="M175" i="15"/>
  <c r="T175" i="15"/>
  <c r="Q175" i="15"/>
  <c r="O175" i="15"/>
  <c r="M47" i="15"/>
  <c r="T47" i="15"/>
  <c r="O47" i="15"/>
  <c r="P47" i="15"/>
  <c r="Q47" i="15"/>
  <c r="M52" i="15"/>
  <c r="T52" i="15"/>
  <c r="Q52" i="15"/>
  <c r="O52" i="15"/>
  <c r="P52" i="15"/>
  <c r="P116" i="15"/>
  <c r="M116" i="15"/>
  <c r="T116" i="15"/>
  <c r="Q116" i="15"/>
  <c r="O116" i="15"/>
  <c r="O119" i="15"/>
  <c r="P119" i="15"/>
  <c r="M119" i="15"/>
  <c r="T119" i="15"/>
  <c r="Q119" i="15"/>
  <c r="O45" i="15"/>
  <c r="M45" i="15"/>
  <c r="T45" i="15"/>
  <c r="P45" i="15"/>
  <c r="Q45" i="15"/>
  <c r="Q35" i="15"/>
  <c r="M35" i="15"/>
  <c r="T35" i="15"/>
  <c r="O35" i="15"/>
  <c r="P35" i="15"/>
  <c r="O75" i="15"/>
  <c r="P75" i="15"/>
  <c r="M75" i="15"/>
  <c r="T75" i="15"/>
  <c r="Q75" i="15"/>
  <c r="Q113" i="15"/>
  <c r="O113" i="15"/>
  <c r="M113" i="15"/>
  <c r="T113" i="15"/>
  <c r="P113" i="15"/>
  <c r="O13" i="15"/>
  <c r="P13" i="15"/>
  <c r="Q13" i="15"/>
  <c r="M13" i="15"/>
  <c r="T13" i="15"/>
  <c r="P48" i="15"/>
  <c r="Q48" i="15"/>
  <c r="M48" i="15"/>
  <c r="T48" i="15"/>
  <c r="O48" i="15"/>
  <c r="O160" i="15"/>
  <c r="Q160" i="15"/>
  <c r="P160" i="15"/>
  <c r="M160" i="15"/>
  <c r="T160" i="15"/>
  <c r="Q110" i="15"/>
  <c r="P110" i="15"/>
  <c r="O110" i="15"/>
  <c r="M110" i="15"/>
  <c r="T110" i="15"/>
  <c r="Q226" i="15"/>
  <c r="O226" i="15"/>
  <c r="P226" i="15"/>
  <c r="M226" i="15"/>
  <c r="T226" i="15"/>
  <c r="Q234" i="15"/>
  <c r="P234" i="15"/>
  <c r="M234" i="15"/>
  <c r="T234" i="15"/>
  <c r="O234" i="15"/>
  <c r="P143" i="15"/>
  <c r="M143" i="15"/>
  <c r="T143" i="15"/>
  <c r="Q143" i="15"/>
  <c r="O143" i="15"/>
  <c r="O21" i="15"/>
  <c r="M21" i="15"/>
  <c r="T21" i="15"/>
  <c r="Q21" i="15"/>
  <c r="P21" i="15"/>
  <c r="Q155" i="15"/>
  <c r="P155" i="15"/>
  <c r="M155" i="15"/>
  <c r="T155" i="15"/>
  <c r="O155" i="15"/>
  <c r="O182" i="15"/>
  <c r="P182" i="15"/>
  <c r="M182" i="15"/>
  <c r="T182" i="15"/>
  <c r="Q182" i="15"/>
  <c r="O191" i="15"/>
  <c r="P191" i="15"/>
  <c r="M191" i="15"/>
  <c r="T191" i="15"/>
  <c r="Q191" i="15"/>
  <c r="Q250" i="15"/>
  <c r="O250" i="15"/>
  <c r="P250" i="15"/>
  <c r="M250" i="15"/>
  <c r="T250" i="15"/>
  <c r="M60" i="15"/>
  <c r="T60" i="15"/>
  <c r="Q60" i="15"/>
  <c r="O60" i="15"/>
  <c r="P60" i="15"/>
  <c r="O83" i="15"/>
  <c r="M83" i="15"/>
  <c r="T83" i="15"/>
  <c r="P83" i="15"/>
  <c r="Q83" i="15"/>
  <c r="P72" i="15"/>
  <c r="Q72" i="15"/>
  <c r="M72" i="15"/>
  <c r="T72" i="15"/>
  <c r="O72" i="15"/>
  <c r="Q142" i="15"/>
  <c r="P142" i="15"/>
  <c r="M142" i="15"/>
  <c r="T142" i="15"/>
  <c r="O142" i="15"/>
  <c r="Q236" i="15"/>
  <c r="O236" i="15"/>
  <c r="P236" i="15"/>
  <c r="M236" i="15"/>
  <c r="T236" i="15"/>
  <c r="O40" i="15"/>
  <c r="P40" i="15"/>
  <c r="M40" i="15"/>
  <c r="T40" i="15"/>
  <c r="Q40" i="15"/>
  <c r="Q104" i="15"/>
  <c r="O104" i="15"/>
  <c r="M104" i="15"/>
  <c r="T104" i="15"/>
  <c r="P104" i="15"/>
  <c r="P154" i="15"/>
  <c r="M154" i="15"/>
  <c r="T154" i="15"/>
  <c r="O154" i="15"/>
  <c r="Q154" i="15"/>
  <c r="O107" i="15"/>
  <c r="M107" i="15"/>
  <c r="T107" i="15"/>
  <c r="Q107" i="15"/>
  <c r="P107" i="15"/>
  <c r="M39" i="15"/>
  <c r="T39" i="15"/>
  <c r="P39" i="15"/>
  <c r="O39" i="15"/>
  <c r="Q39" i="15"/>
  <c r="Q130" i="15"/>
  <c r="O130" i="15"/>
  <c r="P130" i="15"/>
  <c r="M130" i="15"/>
  <c r="T130" i="15"/>
  <c r="O111" i="15"/>
  <c r="M111" i="15"/>
  <c r="T111" i="15"/>
  <c r="P111" i="15"/>
  <c r="Q111" i="15"/>
  <c r="M49" i="15"/>
  <c r="T49" i="15"/>
  <c r="Q49" i="15"/>
  <c r="O49" i="15"/>
  <c r="P49" i="15"/>
  <c r="P153" i="15"/>
  <c r="M153" i="15"/>
  <c r="T153" i="15"/>
  <c r="O153" i="15"/>
  <c r="Q153" i="15"/>
  <c r="Q219" i="15"/>
  <c r="P219" i="15"/>
  <c r="M219" i="15"/>
  <c r="T219" i="15"/>
  <c r="O219" i="15"/>
  <c r="O149" i="15"/>
  <c r="P149" i="15"/>
  <c r="M149" i="15"/>
  <c r="T149" i="15"/>
  <c r="Q149" i="15"/>
  <c r="P243" i="15"/>
  <c r="M243" i="15"/>
  <c r="T243" i="15"/>
  <c r="O243" i="15"/>
  <c r="Q243" i="15"/>
  <c r="O61" i="15"/>
  <c r="Q61" i="15"/>
  <c r="M61" i="15"/>
  <c r="T61" i="15"/>
  <c r="P61" i="15"/>
  <c r="Q249" i="15"/>
  <c r="O249" i="15"/>
  <c r="P249" i="15"/>
  <c r="M249" i="15"/>
  <c r="T249" i="15"/>
  <c r="Q28" i="15"/>
  <c r="M28" i="15"/>
  <c r="T28" i="15"/>
  <c r="P28" i="15"/>
  <c r="O28" i="15"/>
  <c r="Q134" i="15"/>
  <c r="P134" i="15"/>
  <c r="O134" i="15"/>
  <c r="M134" i="15"/>
  <c r="T134" i="15"/>
  <c r="O37" i="15"/>
  <c r="P37" i="15"/>
  <c r="Q37" i="15"/>
  <c r="M37" i="15"/>
  <c r="T37" i="15"/>
  <c r="Q178" i="15"/>
  <c r="O178" i="15"/>
  <c r="P178" i="15"/>
  <c r="M178" i="15"/>
  <c r="T178" i="15"/>
  <c r="P177" i="15"/>
  <c r="M177" i="15"/>
  <c r="T177" i="15"/>
  <c r="Q177" i="15"/>
  <c r="O177" i="15"/>
  <c r="O16" i="15"/>
  <c r="M16" i="15"/>
  <c r="T16" i="15"/>
  <c r="P16" i="15"/>
  <c r="Q16" i="15"/>
  <c r="Q166" i="15"/>
  <c r="P166" i="15"/>
  <c r="M166" i="15"/>
  <c r="T166" i="15"/>
  <c r="O166" i="15"/>
  <c r="O207" i="15"/>
  <c r="Q207" i="15"/>
  <c r="P207" i="15"/>
  <c r="M207" i="15"/>
  <c r="T207" i="15"/>
  <c r="O103" i="15"/>
  <c r="M103" i="15"/>
  <c r="T103" i="15"/>
  <c r="P103" i="15"/>
  <c r="Q103" i="15"/>
  <c r="O146" i="15"/>
  <c r="M146" i="15"/>
  <c r="T146" i="15"/>
  <c r="P146" i="15"/>
  <c r="Q146" i="15"/>
  <c r="P242" i="15"/>
  <c r="M242" i="15"/>
  <c r="T242" i="15"/>
  <c r="Q242" i="15"/>
  <c r="O242" i="15"/>
  <c r="Q89" i="15"/>
  <c r="O89" i="15"/>
  <c r="M89" i="15"/>
  <c r="T89" i="15"/>
  <c r="P89" i="15"/>
  <c r="O162" i="15"/>
  <c r="P162" i="15"/>
  <c r="M162" i="15"/>
  <c r="T162" i="15"/>
  <c r="Q162" i="15"/>
  <c r="M63" i="15"/>
  <c r="T63" i="15"/>
  <c r="O63" i="15"/>
  <c r="P63" i="15"/>
  <c r="Q63" i="15"/>
  <c r="P124" i="15"/>
  <c r="Q124" i="15"/>
  <c r="O124" i="15"/>
  <c r="M124" i="15"/>
  <c r="T124" i="15"/>
  <c r="P229" i="15"/>
  <c r="M229" i="15"/>
  <c r="T229" i="15"/>
  <c r="Q229" i="15"/>
  <c r="O229" i="15"/>
  <c r="O87" i="15"/>
  <c r="P87" i="15"/>
  <c r="M87" i="15"/>
  <c r="T87" i="15"/>
  <c r="Q87" i="15"/>
  <c r="Q114" i="15"/>
  <c r="P114" i="15"/>
  <c r="O114" i="15"/>
  <c r="M114" i="15"/>
  <c r="T114" i="15"/>
  <c r="Q69" i="15"/>
  <c r="P69" i="15"/>
  <c r="O69" i="15"/>
  <c r="M69" i="15"/>
  <c r="T69" i="15"/>
  <c r="Q118" i="15"/>
  <c r="P118" i="15"/>
  <c r="M118" i="15"/>
  <c r="T118" i="15"/>
  <c r="O118" i="15"/>
  <c r="O235" i="15"/>
  <c r="Q235" i="15"/>
  <c r="P235" i="15"/>
  <c r="M235" i="15"/>
  <c r="T235" i="15"/>
  <c r="O151" i="15"/>
  <c r="P151" i="15"/>
  <c r="M151" i="15"/>
  <c r="T151" i="15"/>
  <c r="Q151" i="15"/>
  <c r="M66" i="15"/>
  <c r="T66" i="15"/>
  <c r="O66" i="15"/>
  <c r="P66" i="15"/>
  <c r="Q66" i="15"/>
  <c r="P56" i="15"/>
  <c r="Q56" i="15"/>
  <c r="M56" i="15"/>
  <c r="T56" i="15"/>
  <c r="O56" i="15"/>
  <c r="O170" i="15"/>
  <c r="P170" i="15"/>
  <c r="M170" i="15"/>
  <c r="T170" i="15"/>
  <c r="Q170" i="15"/>
  <c r="O195" i="15"/>
  <c r="Q195" i="15"/>
  <c r="P195" i="15"/>
  <c r="M195" i="15"/>
  <c r="T195" i="15"/>
  <c r="P161" i="15"/>
  <c r="M161" i="15"/>
  <c r="T161" i="15"/>
  <c r="Q161" i="15"/>
  <c r="O161" i="15"/>
  <c r="M44" i="15"/>
  <c r="T44" i="15"/>
  <c r="Q44" i="15"/>
  <c r="O44" i="15"/>
  <c r="P44" i="15"/>
  <c r="Q214" i="15"/>
  <c r="O214" i="15"/>
  <c r="P214" i="15"/>
  <c r="M214" i="15"/>
  <c r="T214" i="15"/>
  <c r="O125" i="15"/>
  <c r="M125" i="15"/>
  <c r="T125" i="15"/>
  <c r="Q125" i="15"/>
  <c r="P125" i="15"/>
  <c r="P84" i="15"/>
  <c r="M84" i="15"/>
  <c r="T84" i="15"/>
  <c r="Q84" i="15"/>
  <c r="O84" i="15"/>
  <c r="O59" i="15"/>
  <c r="P59" i="15"/>
  <c r="M59" i="15"/>
  <c r="T59" i="15"/>
  <c r="Q59" i="15"/>
  <c r="O239" i="15"/>
  <c r="P239" i="15"/>
  <c r="M239" i="15"/>
  <c r="T239" i="15"/>
  <c r="Q239" i="15"/>
  <c r="P57" i="15"/>
  <c r="Q57" i="15"/>
  <c r="O57" i="15"/>
  <c r="M57" i="15"/>
  <c r="T57" i="15"/>
  <c r="Q81" i="15"/>
  <c r="O81" i="15"/>
  <c r="M81" i="15"/>
  <c r="T81" i="15"/>
  <c r="P81" i="15"/>
  <c r="O172" i="15"/>
  <c r="P172" i="15"/>
  <c r="M172" i="15"/>
  <c r="T172" i="15"/>
  <c r="Q172" i="15"/>
  <c r="O139" i="15"/>
  <c r="Q139" i="15"/>
  <c r="P139" i="15"/>
  <c r="M139" i="15"/>
  <c r="T139" i="15"/>
  <c r="Q206" i="15"/>
  <c r="P206" i="15"/>
  <c r="M206" i="15"/>
  <c r="T206" i="15"/>
  <c r="O206" i="15"/>
  <c r="O205" i="15"/>
  <c r="P205" i="15"/>
  <c r="M205" i="15"/>
  <c r="T205" i="15"/>
  <c r="Q205" i="15"/>
  <c r="P233" i="15"/>
  <c r="M233" i="15"/>
  <c r="T233" i="15"/>
  <c r="O233" i="15"/>
  <c r="Q233" i="15"/>
  <c r="O91" i="15"/>
  <c r="M91" i="15"/>
  <c r="T91" i="15"/>
  <c r="P91" i="15"/>
  <c r="Q91" i="15"/>
  <c r="O152" i="15"/>
  <c r="P152" i="15"/>
  <c r="M152" i="15"/>
  <c r="T152" i="15"/>
  <c r="Q152" i="15"/>
  <c r="O180" i="15"/>
  <c r="Q180" i="15"/>
  <c r="P180" i="15"/>
  <c r="M180" i="15"/>
  <c r="T180" i="15"/>
  <c r="M97" i="15"/>
  <c r="T97" i="15"/>
  <c r="Q97" i="15"/>
  <c r="O97" i="15"/>
  <c r="P97" i="15"/>
  <c r="Q174" i="15"/>
  <c r="P174" i="15"/>
  <c r="M174" i="15"/>
  <c r="T174" i="15"/>
  <c r="O174" i="15"/>
  <c r="P196" i="15"/>
  <c r="M196" i="15"/>
  <c r="T196" i="15"/>
  <c r="Q196" i="15"/>
  <c r="O196" i="15"/>
  <c r="Q31" i="15"/>
  <c r="M31" i="15"/>
  <c r="T31" i="15"/>
  <c r="P31" i="15"/>
  <c r="O31" i="15"/>
  <c r="P204" i="15"/>
  <c r="M204" i="15"/>
  <c r="T204" i="15"/>
  <c r="Q204" i="15"/>
  <c r="O204" i="15"/>
  <c r="O211" i="15"/>
  <c r="Q211" i="15"/>
  <c r="P211" i="15"/>
  <c r="M211" i="15"/>
  <c r="T211" i="15"/>
  <c r="Q42" i="15"/>
  <c r="P42" i="15"/>
  <c r="M42" i="15"/>
  <c r="T42" i="15"/>
  <c r="O42" i="15"/>
  <c r="O99" i="15"/>
  <c r="M99" i="15"/>
  <c r="T99" i="15"/>
  <c r="Q99" i="15"/>
  <c r="P99" i="15"/>
  <c r="P15" i="15"/>
  <c r="O15" i="15"/>
  <c r="M15" i="15"/>
  <c r="T15" i="15"/>
  <c r="Q15" i="15"/>
  <c r="O25" i="15"/>
  <c r="P25" i="15"/>
  <c r="M25" i="15"/>
  <c r="T25" i="15"/>
  <c r="Q25" i="15"/>
  <c r="P68" i="15"/>
  <c r="Q68" i="15"/>
  <c r="O68" i="15"/>
  <c r="M68" i="15"/>
  <c r="T68" i="15"/>
  <c r="O101" i="15"/>
  <c r="M101" i="15"/>
  <c r="T101" i="15"/>
  <c r="P101" i="15"/>
  <c r="Q101" i="15"/>
  <c r="P106" i="15"/>
  <c r="M106" i="15"/>
  <c r="T106" i="15"/>
  <c r="Q106" i="15"/>
  <c r="O106" i="15"/>
  <c r="O144" i="15"/>
  <c r="M144" i="15"/>
  <c r="T144" i="15"/>
  <c r="P144" i="15"/>
  <c r="Q144" i="15"/>
  <c r="P18" i="15"/>
  <c r="Q18" i="15"/>
  <c r="O18" i="15"/>
  <c r="M18" i="15"/>
  <c r="T18" i="15"/>
  <c r="O156" i="15"/>
  <c r="P156" i="15"/>
  <c r="M156" i="15"/>
  <c r="T156" i="15"/>
  <c r="Q156" i="15"/>
  <c r="M27" i="15"/>
  <c r="T27" i="15"/>
  <c r="O27" i="15"/>
  <c r="Q27" i="15"/>
  <c r="P27" i="15"/>
  <c r="P17" i="15"/>
  <c r="Q17" i="15"/>
  <c r="O17" i="15"/>
  <c r="M17" i="15"/>
  <c r="T17" i="15"/>
  <c r="O100" i="15"/>
  <c r="M100" i="15"/>
  <c r="T100" i="15"/>
  <c r="P100" i="15"/>
  <c r="Q100" i="15"/>
  <c r="O108" i="15"/>
  <c r="M108" i="15"/>
  <c r="T108" i="15"/>
  <c r="P108" i="15"/>
  <c r="Q108" i="15"/>
  <c r="M53" i="15"/>
  <c r="T53" i="15"/>
  <c r="P53" i="15"/>
  <c r="O53" i="15"/>
  <c r="Q53" i="15"/>
  <c r="Q102" i="15"/>
  <c r="P102" i="15"/>
  <c r="O102" i="15"/>
  <c r="M102" i="15"/>
  <c r="T102" i="15"/>
  <c r="O65" i="15"/>
  <c r="P65" i="15"/>
  <c r="M65" i="15"/>
  <c r="T65" i="15"/>
  <c r="Q65" i="15"/>
  <c r="O188" i="15"/>
  <c r="Q188" i="15"/>
  <c r="P188" i="15"/>
  <c r="M188" i="15"/>
  <c r="T188" i="15"/>
  <c r="Q198" i="15"/>
  <c r="P198" i="15"/>
  <c r="M198" i="15"/>
  <c r="T198" i="15"/>
  <c r="O198" i="15"/>
  <c r="Q163" i="15"/>
  <c r="P163" i="15"/>
  <c r="M163" i="15"/>
  <c r="T163" i="15"/>
  <c r="O163" i="15"/>
  <c r="O181" i="15"/>
  <c r="Q181" i="15"/>
  <c r="P181" i="15"/>
  <c r="M181" i="15"/>
  <c r="T181" i="15"/>
  <c r="P76" i="15"/>
  <c r="M76" i="15"/>
  <c r="T76" i="15"/>
  <c r="Q76" i="15"/>
  <c r="O76" i="15"/>
  <c r="Q199" i="15"/>
  <c r="O199" i="15"/>
  <c r="P199" i="15"/>
  <c r="M199" i="15"/>
  <c r="T199" i="15"/>
  <c r="P183" i="15"/>
  <c r="M183" i="15"/>
  <c r="T183" i="15"/>
  <c r="Q183" i="15"/>
  <c r="O183" i="15"/>
  <c r="O147" i="15"/>
  <c r="Q147" i="15"/>
  <c r="P147" i="15"/>
  <c r="M147" i="15"/>
  <c r="T147" i="15"/>
  <c r="O187" i="15"/>
  <c r="P187" i="15"/>
  <c r="M187" i="15"/>
  <c r="T187" i="15"/>
  <c r="Q187" i="15"/>
  <c r="Q201" i="15"/>
  <c r="O201" i="15"/>
  <c r="P201" i="15"/>
  <c r="M201" i="15"/>
  <c r="T201" i="15"/>
  <c r="P41" i="15"/>
  <c r="O41" i="15"/>
  <c r="M41" i="15"/>
  <c r="T41" i="15"/>
  <c r="Q41" i="15"/>
  <c r="O159" i="15"/>
  <c r="P159" i="15"/>
  <c r="M159" i="15"/>
  <c r="T159" i="15"/>
  <c r="Q159" i="15"/>
  <c r="Q193" i="15"/>
  <c r="O193" i="15"/>
  <c r="P193" i="15"/>
  <c r="M193" i="15"/>
  <c r="T193" i="15"/>
  <c r="M11" i="15"/>
  <c r="T11" i="15"/>
  <c r="Q11" i="15"/>
  <c r="P11" i="15"/>
  <c r="O11" i="15"/>
  <c r="Q122" i="15"/>
  <c r="O122" i="15"/>
  <c r="M122" i="15"/>
  <c r="T122" i="15"/>
  <c r="P122" i="15"/>
  <c r="Q98" i="15"/>
  <c r="P98" i="15"/>
  <c r="O98" i="15"/>
  <c r="M98" i="15"/>
  <c r="T98" i="15"/>
  <c r="O32" i="15"/>
  <c r="P32" i="15"/>
  <c r="M32" i="15"/>
  <c r="T32" i="15"/>
  <c r="Q32" i="15"/>
  <c r="O126" i="15"/>
  <c r="M126" i="15"/>
  <c r="T126" i="15"/>
  <c r="Q126" i="15"/>
  <c r="P126" i="15"/>
  <c r="O237" i="15"/>
  <c r="P237" i="15"/>
  <c r="M237" i="15"/>
  <c r="T237" i="15"/>
  <c r="Q237" i="15"/>
  <c r="O223" i="15"/>
  <c r="P223" i="15"/>
  <c r="M223" i="15"/>
  <c r="T223" i="15"/>
  <c r="Q223" i="15"/>
  <c r="O240" i="15"/>
  <c r="P240" i="15"/>
  <c r="M240" i="15"/>
  <c r="T240" i="15"/>
  <c r="Q240" i="15"/>
  <c r="M74" i="15"/>
  <c r="T74" i="15"/>
  <c r="Q74" i="15"/>
  <c r="P74" i="15"/>
  <c r="O74" i="15"/>
  <c r="O58" i="15"/>
  <c r="M58" i="15"/>
  <c r="T58" i="15"/>
  <c r="Q58" i="15"/>
  <c r="P58" i="15"/>
  <c r="O216" i="15"/>
  <c r="P216" i="15"/>
  <c r="M216" i="15"/>
  <c r="T216" i="15"/>
  <c r="Q216" i="15"/>
  <c r="Q190" i="15"/>
  <c r="P190" i="15"/>
  <c r="M190" i="15"/>
  <c r="T190" i="15"/>
  <c r="O190" i="15"/>
  <c r="O24" i="15"/>
  <c r="P24" i="15"/>
  <c r="M24" i="15"/>
  <c r="T24" i="15"/>
  <c r="Q24" i="15"/>
  <c r="P244" i="15"/>
  <c r="M244" i="15"/>
  <c r="T244" i="15"/>
  <c r="Q244" i="15"/>
  <c r="O244" i="15"/>
  <c r="O95" i="15"/>
  <c r="M95" i="15"/>
  <c r="T95" i="15"/>
  <c r="P95" i="15"/>
  <c r="Q95" i="15"/>
  <c r="O241" i="15"/>
  <c r="P241" i="15"/>
  <c r="M241" i="15"/>
  <c r="T241" i="15"/>
  <c r="Q241" i="15"/>
  <c r="O46" i="15"/>
  <c r="M46" i="15"/>
  <c r="T46" i="15"/>
  <c r="P46" i="15"/>
  <c r="Q46" i="15"/>
  <c r="Q222" i="15"/>
  <c r="P222" i="15"/>
  <c r="M222" i="15"/>
  <c r="T222" i="15"/>
  <c r="O222" i="15"/>
  <c r="M14" i="15"/>
  <c r="T14" i="15"/>
  <c r="Q14" i="15"/>
  <c r="O14" i="15"/>
  <c r="P14" i="15"/>
  <c r="O128" i="15"/>
  <c r="P128" i="15"/>
  <c r="M128" i="15"/>
  <c r="T128" i="15"/>
  <c r="Q128" i="15"/>
  <c r="O77" i="15"/>
  <c r="M77" i="15"/>
  <c r="T77" i="15"/>
  <c r="Q77" i="15"/>
  <c r="P77" i="15"/>
  <c r="Q135" i="15"/>
  <c r="O135" i="15"/>
  <c r="M135" i="15"/>
  <c r="T135" i="15"/>
  <c r="P135" i="15"/>
  <c r="Q186" i="15"/>
  <c r="O186" i="15"/>
  <c r="P186" i="15"/>
  <c r="M186" i="15"/>
  <c r="T186" i="15"/>
  <c r="O96" i="15"/>
  <c r="M96" i="15"/>
  <c r="T96" i="15"/>
  <c r="P96" i="15"/>
  <c r="Q96" i="15"/>
  <c r="Q210" i="15"/>
  <c r="O210" i="15"/>
  <c r="P210" i="15"/>
  <c r="M210" i="15"/>
  <c r="T210" i="15"/>
  <c r="P80" i="15"/>
  <c r="O80" i="15"/>
  <c r="M80" i="15"/>
  <c r="T80" i="15"/>
  <c r="Q80" i="15"/>
  <c r="O109" i="15"/>
  <c r="M109" i="15"/>
  <c r="T109" i="15"/>
  <c r="P109" i="15"/>
  <c r="Q109" i="15"/>
  <c r="P64" i="15"/>
  <c r="Q64" i="15"/>
  <c r="O64" i="15"/>
  <c r="M64" i="15"/>
  <c r="T64" i="15"/>
  <c r="O208" i="15"/>
  <c r="P208" i="15"/>
  <c r="M208" i="15"/>
  <c r="T208" i="15"/>
  <c r="Q208" i="15"/>
  <c r="O105" i="15"/>
  <c r="P105" i="15"/>
  <c r="M105" i="15"/>
  <c r="T105" i="15"/>
  <c r="Q105" i="15"/>
  <c r="Q228" i="15"/>
  <c r="O228" i="15"/>
  <c r="P228" i="15"/>
  <c r="M228" i="15"/>
  <c r="T228" i="15"/>
  <c r="O115" i="15"/>
  <c r="M115" i="15"/>
  <c r="T115" i="15"/>
  <c r="Q115" i="15"/>
  <c r="P115" i="15"/>
  <c r="O245" i="15"/>
  <c r="P245" i="15"/>
  <c r="M245" i="15"/>
  <c r="T245" i="15"/>
  <c r="Q245" i="15"/>
  <c r="O224" i="15"/>
  <c r="P224" i="15"/>
  <c r="M224" i="15"/>
  <c r="T224" i="15"/>
  <c r="Q224" i="15"/>
  <c r="BA60" i="2"/>
  <c r="BC60" i="2"/>
  <c r="Z223" i="15"/>
  <c r="AA223" i="15"/>
  <c r="AB223" i="15"/>
  <c r="AV258" i="2"/>
  <c r="AW258" i="2"/>
  <c r="Z183" i="15"/>
  <c r="AA183" i="15"/>
  <c r="AB183" i="15"/>
  <c r="AV218" i="2"/>
  <c r="AW218" i="2"/>
  <c r="AX218" i="2"/>
  <c r="Z163" i="15"/>
  <c r="AA163" i="15"/>
  <c r="AB163" i="15"/>
  <c r="AV198" i="2"/>
  <c r="AW198" i="2"/>
  <c r="AX198" i="2"/>
  <c r="Z100" i="15"/>
  <c r="AA100" i="15"/>
  <c r="AB100" i="15"/>
  <c r="AV135" i="2"/>
  <c r="AW135" i="2"/>
  <c r="AX135" i="2"/>
  <c r="Z211" i="15"/>
  <c r="AA211" i="15"/>
  <c r="AB211" i="15"/>
  <c r="AV246" i="2"/>
  <c r="AW246" i="2"/>
  <c r="AX246" i="2"/>
  <c r="Z196" i="15"/>
  <c r="AA196" i="15"/>
  <c r="AB196" i="15"/>
  <c r="AV231" i="2"/>
  <c r="AW231" i="2"/>
  <c r="AX231" i="2"/>
  <c r="Z91" i="15"/>
  <c r="AA91" i="15"/>
  <c r="AB91" i="15"/>
  <c r="AV126" i="2"/>
  <c r="AW126" i="2"/>
  <c r="AX126" i="2"/>
  <c r="Z57" i="15"/>
  <c r="AA57" i="15"/>
  <c r="AB57" i="15"/>
  <c r="Z84" i="15"/>
  <c r="AA84" i="15"/>
  <c r="AB84" i="15"/>
  <c r="AV119" i="2"/>
  <c r="AW119" i="2"/>
  <c r="AX119" i="2"/>
  <c r="Z89" i="15"/>
  <c r="AA89" i="15"/>
  <c r="AB89" i="15"/>
  <c r="AV124" i="2"/>
  <c r="AW124" i="2"/>
  <c r="AX124" i="2"/>
  <c r="Z149" i="15"/>
  <c r="AA149" i="15"/>
  <c r="AB149" i="15"/>
  <c r="AV184" i="2"/>
  <c r="AW184" i="2"/>
  <c r="Z191" i="15"/>
  <c r="AA191" i="15"/>
  <c r="AB191" i="15"/>
  <c r="AV226" i="2"/>
  <c r="AW226" i="2"/>
  <c r="AX226" i="2"/>
  <c r="Z110" i="15"/>
  <c r="AA110" i="15"/>
  <c r="AB110" i="15"/>
  <c r="AV145" i="2"/>
  <c r="AW145" i="2"/>
  <c r="Z189" i="15"/>
  <c r="AA189" i="15"/>
  <c r="AB189" i="15"/>
  <c r="AV224" i="2"/>
  <c r="AW224" i="2"/>
  <c r="AX224" i="2"/>
  <c r="Z247" i="15"/>
  <c r="AA247" i="15"/>
  <c r="AB247" i="15"/>
  <c r="AV282" i="2"/>
  <c r="AW282" i="2"/>
  <c r="AX282" i="2"/>
  <c r="Z137" i="15"/>
  <c r="AA137" i="15"/>
  <c r="AB137" i="15"/>
  <c r="AV172" i="2"/>
  <c r="AW172" i="2"/>
  <c r="Z79" i="15"/>
  <c r="AA79" i="15"/>
  <c r="AB79" i="15"/>
  <c r="AV114" i="2"/>
  <c r="AW114" i="2"/>
  <c r="AX114" i="2"/>
  <c r="Z231" i="15"/>
  <c r="AA231" i="15"/>
  <c r="AB231" i="15"/>
  <c r="AV266" i="2"/>
  <c r="AW266" i="2"/>
  <c r="AX266" i="2"/>
  <c r="Z121" i="15"/>
  <c r="AA121" i="15"/>
  <c r="AB121" i="15"/>
  <c r="AV156" i="2"/>
  <c r="AW156" i="2"/>
  <c r="AX156" i="2"/>
  <c r="Z129" i="15"/>
  <c r="AA129" i="15"/>
  <c r="AB129" i="15"/>
  <c r="AV164" i="2"/>
  <c r="AW164" i="2"/>
  <c r="AX164" i="2"/>
  <c r="Z194" i="15"/>
  <c r="AA194" i="15"/>
  <c r="AB194" i="15"/>
  <c r="AV229" i="2"/>
  <c r="AW229" i="2"/>
  <c r="AX229" i="2"/>
  <c r="Z167" i="15"/>
  <c r="AA167" i="15"/>
  <c r="AB167" i="15"/>
  <c r="AV202" i="2"/>
  <c r="AW202" i="2"/>
  <c r="AX202" i="2"/>
  <c r="Z179" i="15"/>
  <c r="AA179" i="15"/>
  <c r="AB179" i="15"/>
  <c r="AV214" i="2"/>
  <c r="AW214" i="2"/>
  <c r="AX214" i="2"/>
  <c r="Z115" i="15"/>
  <c r="AA115" i="15"/>
  <c r="AB115" i="15"/>
  <c r="AV150" i="2"/>
  <c r="AW150" i="2"/>
  <c r="AX150" i="2"/>
  <c r="Z109" i="15"/>
  <c r="AA109" i="15"/>
  <c r="AB109" i="15"/>
  <c r="AV144" i="2"/>
  <c r="AW144" i="2"/>
  <c r="AX144" i="2"/>
  <c r="Z46" i="15"/>
  <c r="AA46" i="15"/>
  <c r="AB46" i="15"/>
  <c r="AV81" i="2"/>
  <c r="AW81" i="2"/>
  <c r="AX81" i="2"/>
  <c r="Z98" i="15"/>
  <c r="AA98" i="15"/>
  <c r="AB98" i="15"/>
  <c r="AV133" i="2"/>
  <c r="AW133" i="2"/>
  <c r="Z201" i="15"/>
  <c r="AA201" i="15"/>
  <c r="AB201" i="15"/>
  <c r="Z199" i="15"/>
  <c r="AA199" i="15"/>
  <c r="AB199" i="15"/>
  <c r="AV234" i="2"/>
  <c r="AW234" i="2"/>
  <c r="Z65" i="15"/>
  <c r="AA65" i="15"/>
  <c r="AB65" i="15"/>
  <c r="AV100" i="2"/>
  <c r="AW100" i="2"/>
  <c r="AX100" i="2"/>
  <c r="Z108" i="15"/>
  <c r="AA108" i="15"/>
  <c r="AB108" i="15"/>
  <c r="AV143" i="2"/>
  <c r="AW143" i="2"/>
  <c r="AX143" i="2"/>
  <c r="Z156" i="15"/>
  <c r="AA156" i="15"/>
  <c r="AB156" i="15"/>
  <c r="AV191" i="2"/>
  <c r="AW191" i="2"/>
  <c r="AX191" i="2"/>
  <c r="Z204" i="15"/>
  <c r="AA204" i="15"/>
  <c r="AB204" i="15"/>
  <c r="AV239" i="2"/>
  <c r="AW239" i="2"/>
  <c r="AX239" i="2"/>
  <c r="Z214" i="15"/>
  <c r="AA214" i="15"/>
  <c r="AB214" i="15"/>
  <c r="Z235" i="15"/>
  <c r="AA235" i="15"/>
  <c r="AB235" i="15"/>
  <c r="AV270" i="2"/>
  <c r="AW270" i="2"/>
  <c r="Z124" i="15"/>
  <c r="AA124" i="15"/>
  <c r="AB124" i="15"/>
  <c r="AV159" i="2"/>
  <c r="AW159" i="2"/>
  <c r="AX159" i="2"/>
  <c r="Z249" i="15"/>
  <c r="AA249" i="15"/>
  <c r="AB249" i="15"/>
  <c r="AV284" i="2"/>
  <c r="AW284" i="2"/>
  <c r="AX284" i="2"/>
  <c r="Z104" i="15"/>
  <c r="AA104" i="15"/>
  <c r="AB104" i="15"/>
  <c r="AV139" i="2"/>
  <c r="AW139" i="2"/>
  <c r="AX139" i="2"/>
  <c r="Z226" i="15"/>
  <c r="AA226" i="15"/>
  <c r="AB226" i="15"/>
  <c r="AV261" i="2"/>
  <c r="AW261" i="2"/>
  <c r="AX261" i="2"/>
  <c r="Z203" i="15"/>
  <c r="AA203" i="15"/>
  <c r="AB203" i="15"/>
  <c r="Z209" i="15"/>
  <c r="AA209" i="15"/>
  <c r="AB209" i="15"/>
  <c r="AV244" i="2"/>
  <c r="AW244" i="2"/>
  <c r="AX244" i="2"/>
  <c r="Z73" i="15"/>
  <c r="AA73" i="15"/>
  <c r="AB73" i="15"/>
  <c r="AV108" i="2"/>
  <c r="AW108" i="2"/>
  <c r="AX108" i="2"/>
  <c r="Z185" i="15"/>
  <c r="AA185" i="15"/>
  <c r="AB185" i="15"/>
  <c r="AV220" i="2"/>
  <c r="AW220" i="2"/>
  <c r="Z202" i="15"/>
  <c r="AA202" i="15"/>
  <c r="AB202" i="15"/>
  <c r="AV237" i="2"/>
  <c r="AW237" i="2"/>
  <c r="AX237" i="2"/>
  <c r="Z171" i="15"/>
  <c r="AA171" i="15"/>
  <c r="AB171" i="15"/>
  <c r="AV206" i="2"/>
  <c r="AW206" i="2"/>
  <c r="AX206" i="2"/>
  <c r="Z224" i="15"/>
  <c r="AA224" i="15"/>
  <c r="AB224" i="15"/>
  <c r="AV259" i="2"/>
  <c r="AW259" i="2"/>
  <c r="AX259" i="2"/>
  <c r="Z228" i="15"/>
  <c r="AA228" i="15"/>
  <c r="AB228" i="15"/>
  <c r="AV263" i="2"/>
  <c r="AW263" i="2"/>
  <c r="AX263" i="2"/>
  <c r="Z105" i="15"/>
  <c r="AA105" i="15"/>
  <c r="AB105" i="15"/>
  <c r="AV140" i="2"/>
  <c r="AW140" i="2"/>
  <c r="AX140" i="2"/>
  <c r="Z96" i="15"/>
  <c r="AA96" i="15"/>
  <c r="AB96" i="15"/>
  <c r="AV131" i="2"/>
  <c r="AW131" i="2"/>
  <c r="AX131" i="2"/>
  <c r="Z128" i="15"/>
  <c r="AA128" i="15"/>
  <c r="AB128" i="15"/>
  <c r="AV163" i="2"/>
  <c r="AW163" i="2"/>
  <c r="AX163" i="2"/>
  <c r="Z244" i="15"/>
  <c r="AA244" i="15"/>
  <c r="AB244" i="15"/>
  <c r="AV279" i="2"/>
  <c r="AW279" i="2"/>
  <c r="AX279" i="2"/>
  <c r="Z76" i="15"/>
  <c r="AA76" i="15"/>
  <c r="AB76" i="15"/>
  <c r="AV111" i="2"/>
  <c r="AW111" i="2"/>
  <c r="AX111" i="2"/>
  <c r="Z53" i="15"/>
  <c r="AA53" i="15"/>
  <c r="AB53" i="15"/>
  <c r="AV88" i="2"/>
  <c r="AW88" i="2"/>
  <c r="AX88" i="2"/>
  <c r="Z101" i="15"/>
  <c r="AA101" i="15"/>
  <c r="AB101" i="15"/>
  <c r="AV136" i="2"/>
  <c r="AW136" i="2"/>
  <c r="AX136" i="2"/>
  <c r="Z174" i="15"/>
  <c r="AA174" i="15"/>
  <c r="AB174" i="15"/>
  <c r="AV209" i="2"/>
  <c r="AW209" i="2"/>
  <c r="AX209" i="2"/>
  <c r="Z81" i="15"/>
  <c r="AA81" i="15"/>
  <c r="AB81" i="15"/>
  <c r="AV116" i="2"/>
  <c r="AW116" i="2"/>
  <c r="AX116" i="2"/>
  <c r="Z161" i="15"/>
  <c r="AA161" i="15"/>
  <c r="AB161" i="15"/>
  <c r="AV196" i="2"/>
  <c r="AW196" i="2"/>
  <c r="Z103" i="15"/>
  <c r="AA103" i="15"/>
  <c r="AB103" i="15"/>
  <c r="Z177" i="15"/>
  <c r="AA177" i="15"/>
  <c r="AB177" i="15"/>
  <c r="AV212" i="2"/>
  <c r="AW212" i="2"/>
  <c r="AX212" i="2"/>
  <c r="Z134" i="15"/>
  <c r="AA134" i="15"/>
  <c r="AB134" i="15"/>
  <c r="AV169" i="2"/>
  <c r="AW169" i="2"/>
  <c r="AX169" i="2"/>
  <c r="Z243" i="15"/>
  <c r="AA243" i="15"/>
  <c r="AB243" i="15"/>
  <c r="AV278" i="2"/>
  <c r="AW278" i="2"/>
  <c r="AX278" i="2"/>
  <c r="Z111" i="15"/>
  <c r="AA111" i="15"/>
  <c r="AB111" i="15"/>
  <c r="AV146" i="2"/>
  <c r="AW146" i="2"/>
  <c r="AX146" i="2"/>
  <c r="Z72" i="15"/>
  <c r="AA72" i="15"/>
  <c r="AB72" i="15"/>
  <c r="AV107" i="2"/>
  <c r="AW107" i="2"/>
  <c r="AX107" i="2"/>
  <c r="Z155" i="15"/>
  <c r="AA155" i="15"/>
  <c r="AB155" i="15"/>
  <c r="AV190" i="2"/>
  <c r="AW190" i="2"/>
  <c r="AX190" i="2"/>
  <c r="Z75" i="15"/>
  <c r="AA75" i="15"/>
  <c r="AB75" i="15"/>
  <c r="AV110" i="2"/>
  <c r="AW110" i="2"/>
  <c r="AX110" i="2"/>
  <c r="Z119" i="15"/>
  <c r="AA119" i="15"/>
  <c r="AB119" i="15"/>
  <c r="AV154" i="2"/>
  <c r="AW154" i="2"/>
  <c r="AX154" i="2"/>
  <c r="Z116" i="15"/>
  <c r="AA116" i="15"/>
  <c r="AB116" i="15"/>
  <c r="AV151" i="2"/>
  <c r="AW151" i="2"/>
  <c r="AX151" i="2"/>
  <c r="Z52" i="15"/>
  <c r="AA52" i="15"/>
  <c r="AB52" i="15"/>
  <c r="AV87" i="2"/>
  <c r="AW87" i="2"/>
  <c r="AX87" i="2"/>
  <c r="Z47" i="15"/>
  <c r="AA47" i="15"/>
  <c r="AB47" i="15"/>
  <c r="AV82" i="2"/>
  <c r="AW82" i="2"/>
  <c r="AX82" i="2"/>
  <c r="Z184" i="15"/>
  <c r="AA184" i="15"/>
  <c r="AB184" i="15"/>
  <c r="AV219" i="2"/>
  <c r="AW219" i="2"/>
  <c r="AX219" i="2"/>
  <c r="Z71" i="15"/>
  <c r="AA71" i="15"/>
  <c r="AB71" i="15"/>
  <c r="AV106" i="2"/>
  <c r="AW106" i="2"/>
  <c r="AX106" i="2"/>
  <c r="Z92" i="15"/>
  <c r="AA92" i="15"/>
  <c r="AB92" i="15"/>
  <c r="AV127" i="2"/>
  <c r="AW127" i="2"/>
  <c r="AX127" i="2"/>
  <c r="Z213" i="15"/>
  <c r="AA213" i="15"/>
  <c r="AB213" i="15"/>
  <c r="AV248" i="2"/>
  <c r="AW248" i="2"/>
  <c r="AX248" i="2"/>
  <c r="Z225" i="15"/>
  <c r="AA225" i="15"/>
  <c r="AB225" i="15"/>
  <c r="AV260" i="2"/>
  <c r="AW260" i="2"/>
  <c r="AX260" i="2"/>
  <c r="Z120" i="15"/>
  <c r="AA120" i="15"/>
  <c r="AB120" i="15"/>
  <c r="AV155" i="2"/>
  <c r="AW155" i="2"/>
  <c r="AX155" i="2"/>
  <c r="Z55" i="15"/>
  <c r="AA55" i="15"/>
  <c r="AB55" i="15"/>
  <c r="AV90" i="2"/>
  <c r="AW90" i="2"/>
  <c r="AX90" i="2"/>
  <c r="Z248" i="15"/>
  <c r="AA248" i="15"/>
  <c r="AB248" i="15"/>
  <c r="AV283" i="2"/>
  <c r="AW283" i="2"/>
  <c r="AX283" i="2"/>
  <c r="Z157" i="15"/>
  <c r="AA157" i="15"/>
  <c r="AB157" i="15"/>
  <c r="AV192" i="2"/>
  <c r="AW192" i="2"/>
  <c r="AX192" i="2"/>
  <c r="Z165" i="15"/>
  <c r="AA165" i="15"/>
  <c r="AB165" i="15"/>
  <c r="AV200" i="2"/>
  <c r="AW200" i="2"/>
  <c r="Z133" i="15"/>
  <c r="AA133" i="15"/>
  <c r="AB133" i="15"/>
  <c r="AV168" i="2"/>
  <c r="AW168" i="2"/>
  <c r="AX168" i="2"/>
  <c r="Z127" i="15"/>
  <c r="AA127" i="15"/>
  <c r="AB127" i="15"/>
  <c r="AV162" i="2"/>
  <c r="AW162" i="2"/>
  <c r="Z221" i="15"/>
  <c r="AA221" i="15"/>
  <c r="AB221" i="15"/>
  <c r="Z197" i="15"/>
  <c r="AA197" i="15"/>
  <c r="AB197" i="15"/>
  <c r="AV232" i="2"/>
  <c r="AW232" i="2"/>
  <c r="Z220" i="15"/>
  <c r="AA220" i="15"/>
  <c r="AB220" i="15"/>
  <c r="AV255" i="2"/>
  <c r="AW255" i="2"/>
  <c r="AX255" i="2"/>
  <c r="Z169" i="15"/>
  <c r="AA169" i="15"/>
  <c r="AB169" i="15"/>
  <c r="AV204" i="2"/>
  <c r="AW204" i="2"/>
  <c r="AX204" i="2"/>
  <c r="Z190" i="15"/>
  <c r="AA190" i="15"/>
  <c r="AB190" i="15"/>
  <c r="AV225" i="2"/>
  <c r="AW225" i="2"/>
  <c r="AX225" i="2"/>
  <c r="Z126" i="15"/>
  <c r="AA126" i="15"/>
  <c r="AB126" i="15"/>
  <c r="AV161" i="2"/>
  <c r="AW161" i="2"/>
  <c r="AX161" i="2"/>
  <c r="Z181" i="15"/>
  <c r="AA181" i="15"/>
  <c r="AB181" i="15"/>
  <c r="Z102" i="15"/>
  <c r="AA102" i="15"/>
  <c r="AB102" i="15"/>
  <c r="AV137" i="2"/>
  <c r="AW137" i="2"/>
  <c r="Z144" i="15"/>
  <c r="AA144" i="15"/>
  <c r="AB144" i="15"/>
  <c r="AV179" i="2"/>
  <c r="AW179" i="2"/>
  <c r="Z180" i="15"/>
  <c r="AA180" i="15"/>
  <c r="AB180" i="15"/>
  <c r="AV215" i="2"/>
  <c r="AW215" i="2"/>
  <c r="AX215" i="2"/>
  <c r="Z152" i="15"/>
  <c r="AA152" i="15"/>
  <c r="AB152" i="15"/>
  <c r="AV187" i="2"/>
  <c r="AW187" i="2"/>
  <c r="AX187" i="2"/>
  <c r="Z239" i="15"/>
  <c r="AA239" i="15"/>
  <c r="AB239" i="15"/>
  <c r="AV274" i="2"/>
  <c r="AW274" i="2"/>
  <c r="AX274" i="2"/>
  <c r="Z125" i="15"/>
  <c r="AA125" i="15"/>
  <c r="AB125" i="15"/>
  <c r="AV160" i="2"/>
  <c r="AW160" i="2"/>
  <c r="AX160" i="2"/>
  <c r="Z229" i="15"/>
  <c r="AA229" i="15"/>
  <c r="AB229" i="15"/>
  <c r="AV264" i="2"/>
  <c r="AW264" i="2"/>
  <c r="AX264" i="2"/>
  <c r="Z242" i="15"/>
  <c r="AA242" i="15"/>
  <c r="AB242" i="15"/>
  <c r="AV277" i="2"/>
  <c r="AW277" i="2"/>
  <c r="AX277" i="2"/>
  <c r="Z107" i="15"/>
  <c r="AA107" i="15"/>
  <c r="AB107" i="15"/>
  <c r="AV142" i="2"/>
  <c r="AW142" i="2"/>
  <c r="AX142" i="2"/>
  <c r="Z250" i="15"/>
  <c r="AA250" i="15"/>
  <c r="AB250" i="15"/>
  <c r="AV285" i="2"/>
  <c r="AW285" i="2"/>
  <c r="AX285" i="2"/>
  <c r="Z246" i="15"/>
  <c r="AA246" i="15"/>
  <c r="AB246" i="15"/>
  <c r="AV281" i="2"/>
  <c r="AW281" i="2"/>
  <c r="AX281" i="2"/>
  <c r="Z158" i="15"/>
  <c r="AA158" i="15"/>
  <c r="AB158" i="15"/>
  <c r="AV193" i="2"/>
  <c r="AW193" i="2"/>
  <c r="Z62" i="15"/>
  <c r="AA62" i="15"/>
  <c r="AB62" i="15"/>
  <c r="AV97" i="2"/>
  <c r="AW97" i="2"/>
  <c r="Z82" i="15"/>
  <c r="AA82" i="15"/>
  <c r="AB82" i="15"/>
  <c r="AV117" i="2"/>
  <c r="AW117" i="2"/>
  <c r="AX117" i="2"/>
  <c r="Z148" i="15"/>
  <c r="AA148" i="15"/>
  <c r="AB148" i="15"/>
  <c r="AV183" i="2"/>
  <c r="AW183" i="2"/>
  <c r="AX183" i="2"/>
  <c r="Z117" i="15"/>
  <c r="AA117" i="15"/>
  <c r="AB117" i="15"/>
  <c r="AV152" i="2"/>
  <c r="AW152" i="2"/>
  <c r="AX152" i="2"/>
  <c r="Z88" i="15"/>
  <c r="AA88" i="15"/>
  <c r="AB88" i="15"/>
  <c r="AV123" i="2"/>
  <c r="AW123" i="2"/>
  <c r="AX123" i="2"/>
  <c r="Z132" i="15"/>
  <c r="AA132" i="15"/>
  <c r="AB132" i="15"/>
  <c r="AV167" i="2"/>
  <c r="AW167" i="2"/>
  <c r="AX167" i="2"/>
  <c r="Z150" i="15"/>
  <c r="AA150" i="15"/>
  <c r="AB150" i="15"/>
  <c r="AV185" i="2"/>
  <c r="AW185" i="2"/>
  <c r="AX185" i="2"/>
  <c r="Z141" i="15"/>
  <c r="AA141" i="15"/>
  <c r="AB141" i="15"/>
  <c r="AV176" i="2"/>
  <c r="AW176" i="2"/>
  <c r="AX176" i="2"/>
  <c r="Z232" i="15"/>
  <c r="AA232" i="15"/>
  <c r="AB232" i="15"/>
  <c r="AV267" i="2"/>
  <c r="AW267" i="2"/>
  <c r="AX267" i="2"/>
  <c r="Z245" i="15"/>
  <c r="AA245" i="15"/>
  <c r="AB245" i="15"/>
  <c r="AV280" i="2"/>
  <c r="AW280" i="2"/>
  <c r="AX280" i="2"/>
  <c r="Z208" i="15"/>
  <c r="AA208" i="15"/>
  <c r="AB208" i="15"/>
  <c r="AV243" i="2"/>
  <c r="AW243" i="2"/>
  <c r="AX243" i="2"/>
  <c r="Z210" i="15"/>
  <c r="AA210" i="15"/>
  <c r="AB210" i="15"/>
  <c r="AV245" i="2"/>
  <c r="AW245" i="2"/>
  <c r="AX245" i="2"/>
  <c r="Z222" i="15"/>
  <c r="AA222" i="15"/>
  <c r="AB222" i="15"/>
  <c r="AV257" i="2"/>
  <c r="AW257" i="2"/>
  <c r="AX257" i="2"/>
  <c r="Z240" i="15"/>
  <c r="AA240" i="15"/>
  <c r="AB240" i="15"/>
  <c r="AV275" i="2"/>
  <c r="AW275" i="2"/>
  <c r="AX275" i="2"/>
  <c r="Z122" i="15"/>
  <c r="AA122" i="15"/>
  <c r="AB122" i="15"/>
  <c r="AV157" i="2"/>
  <c r="AW157" i="2"/>
  <c r="AX157" i="2"/>
  <c r="Z187" i="15"/>
  <c r="AA187" i="15"/>
  <c r="AB187" i="15"/>
  <c r="AV222" i="2"/>
  <c r="AW222" i="2"/>
  <c r="AX222" i="2"/>
  <c r="Z188" i="15"/>
  <c r="AA188" i="15"/>
  <c r="AB188" i="15"/>
  <c r="AV223" i="2"/>
  <c r="AW223" i="2"/>
  <c r="AX223" i="2"/>
  <c r="Z205" i="15"/>
  <c r="AA205" i="15"/>
  <c r="AB205" i="15"/>
  <c r="AV240" i="2"/>
  <c r="AW240" i="2"/>
  <c r="AX240" i="2"/>
  <c r="Z66" i="15"/>
  <c r="AA66" i="15"/>
  <c r="AB66" i="15"/>
  <c r="AV101" i="2"/>
  <c r="AW101" i="2"/>
  <c r="Z118" i="15"/>
  <c r="AA118" i="15"/>
  <c r="AB118" i="15"/>
  <c r="AV153" i="2"/>
  <c r="AW153" i="2"/>
  <c r="AX153" i="2"/>
  <c r="Z162" i="15"/>
  <c r="AA162" i="15"/>
  <c r="AB162" i="15"/>
  <c r="AV197" i="2"/>
  <c r="AW197" i="2"/>
  <c r="AX197" i="2"/>
  <c r="Z61" i="15"/>
  <c r="AA61" i="15"/>
  <c r="AB61" i="15"/>
  <c r="AV96" i="2"/>
  <c r="AW96" i="2"/>
  <c r="AX96" i="2"/>
  <c r="Z143" i="15"/>
  <c r="AA143" i="15"/>
  <c r="AB143" i="15"/>
  <c r="AV178" i="2"/>
  <c r="AW178" i="2"/>
  <c r="AX178" i="2"/>
  <c r="Z175" i="15"/>
  <c r="AA175" i="15"/>
  <c r="AB175" i="15"/>
  <c r="AV210" i="2"/>
  <c r="AW210" i="2"/>
  <c r="AX210" i="2"/>
  <c r="Z140" i="15"/>
  <c r="AA140" i="15"/>
  <c r="AB140" i="15"/>
  <c r="AV175" i="2"/>
  <c r="AW175" i="2"/>
  <c r="Z212" i="15"/>
  <c r="AA212" i="15"/>
  <c r="AB212" i="15"/>
  <c r="AV247" i="2"/>
  <c r="AW247" i="2"/>
  <c r="AX247" i="2"/>
  <c r="Z217" i="15"/>
  <c r="AA217" i="15"/>
  <c r="AB217" i="15"/>
  <c r="AV252" i="2"/>
  <c r="AW252" i="2"/>
  <c r="Z86" i="15"/>
  <c r="AA86" i="15"/>
  <c r="AB86" i="15"/>
  <c r="AV121" i="2"/>
  <c r="AW121" i="2"/>
  <c r="AX121" i="2"/>
  <c r="Z51" i="15"/>
  <c r="AA51" i="15"/>
  <c r="AB51" i="15"/>
  <c r="AV86" i="2"/>
  <c r="AW86" i="2"/>
  <c r="AX86" i="2"/>
  <c r="Z112" i="15"/>
  <c r="AA112" i="15"/>
  <c r="AB112" i="15"/>
  <c r="AV147" i="2"/>
  <c r="AW147" i="2"/>
  <c r="Z94" i="15"/>
  <c r="AA94" i="15"/>
  <c r="AB94" i="15"/>
  <c r="AV129" i="2"/>
  <c r="AW129" i="2"/>
  <c r="Z168" i="15"/>
  <c r="AA168" i="15"/>
  <c r="AB168" i="15"/>
  <c r="Z230" i="15"/>
  <c r="AA230" i="15"/>
  <c r="AB230" i="15"/>
  <c r="AV265" i="2"/>
  <c r="AW265" i="2"/>
  <c r="AX265" i="2"/>
  <c r="Z136" i="15"/>
  <c r="AA136" i="15"/>
  <c r="AB136" i="15"/>
  <c r="AV171" i="2"/>
  <c r="AW171" i="2"/>
  <c r="Z200" i="15"/>
  <c r="AA200" i="15"/>
  <c r="AB200" i="15"/>
  <c r="AV235" i="2"/>
  <c r="AW235" i="2"/>
  <c r="AX235" i="2"/>
  <c r="Z64" i="15"/>
  <c r="AA64" i="15"/>
  <c r="AB64" i="15"/>
  <c r="Z80" i="15"/>
  <c r="AA80" i="15"/>
  <c r="AB80" i="15"/>
  <c r="AV115" i="2"/>
  <c r="AW115" i="2"/>
  <c r="AX115" i="2"/>
  <c r="Z186" i="15"/>
  <c r="AA186" i="15"/>
  <c r="AB186" i="15"/>
  <c r="AV221" i="2"/>
  <c r="AW221" i="2"/>
  <c r="AX221" i="2"/>
  <c r="Z135" i="15"/>
  <c r="AA135" i="15"/>
  <c r="AB135" i="15"/>
  <c r="AV170" i="2"/>
  <c r="AW170" i="2"/>
  <c r="AX170" i="2"/>
  <c r="Z77" i="15"/>
  <c r="AA77" i="15"/>
  <c r="AB77" i="15"/>
  <c r="AV112" i="2"/>
  <c r="AW112" i="2"/>
  <c r="AX112" i="2"/>
  <c r="Z241" i="15"/>
  <c r="AA241" i="15"/>
  <c r="AB241" i="15"/>
  <c r="AV276" i="2"/>
  <c r="AW276" i="2"/>
  <c r="AX276" i="2"/>
  <c r="Z95" i="15"/>
  <c r="AA95" i="15"/>
  <c r="AB95" i="15"/>
  <c r="AV130" i="2"/>
  <c r="AW130" i="2"/>
  <c r="AX130" i="2"/>
  <c r="Z216" i="15"/>
  <c r="AA216" i="15"/>
  <c r="AB216" i="15"/>
  <c r="AV251" i="2"/>
  <c r="AW251" i="2"/>
  <c r="AX251" i="2"/>
  <c r="Z58" i="15"/>
  <c r="AA58" i="15"/>
  <c r="AB58" i="15"/>
  <c r="Z74" i="15"/>
  <c r="AA74" i="15"/>
  <c r="AB74" i="15"/>
  <c r="AV109" i="2"/>
  <c r="AW109" i="2"/>
  <c r="AX109" i="2"/>
  <c r="Z237" i="15"/>
  <c r="AA237" i="15"/>
  <c r="AB237" i="15"/>
  <c r="AV272" i="2"/>
  <c r="AW272" i="2"/>
  <c r="AX272" i="2"/>
  <c r="Z193" i="15"/>
  <c r="AA193" i="15"/>
  <c r="AB193" i="15"/>
  <c r="AV228" i="2"/>
  <c r="AW228" i="2"/>
  <c r="AX228" i="2"/>
  <c r="Z159" i="15"/>
  <c r="AA159" i="15"/>
  <c r="AB159" i="15"/>
  <c r="AV194" i="2"/>
  <c r="AW194" i="2"/>
  <c r="Z147" i="15"/>
  <c r="AA147" i="15"/>
  <c r="AB147" i="15"/>
  <c r="AV182" i="2"/>
  <c r="AW182" i="2"/>
  <c r="AX182" i="2"/>
  <c r="Z198" i="15"/>
  <c r="AA198" i="15"/>
  <c r="AB198" i="15"/>
  <c r="AV233" i="2"/>
  <c r="AW233" i="2"/>
  <c r="AX233" i="2"/>
  <c r="Z106" i="15"/>
  <c r="AA106" i="15"/>
  <c r="AB106" i="15"/>
  <c r="AV141" i="2"/>
  <c r="AW141" i="2"/>
  <c r="AX141" i="2"/>
  <c r="Z68" i="15"/>
  <c r="AA68" i="15"/>
  <c r="AB68" i="15"/>
  <c r="Z99" i="15"/>
  <c r="AA99" i="15"/>
  <c r="AB99" i="15"/>
  <c r="AV134" i="2"/>
  <c r="AW134" i="2"/>
  <c r="AX134" i="2"/>
  <c r="Z97" i="15"/>
  <c r="AA97" i="15"/>
  <c r="AB97" i="15"/>
  <c r="AV132" i="2"/>
  <c r="AW132" i="2"/>
  <c r="AX132" i="2"/>
  <c r="Z233" i="15"/>
  <c r="AA233" i="15"/>
  <c r="AB233" i="15"/>
  <c r="AV268" i="2"/>
  <c r="AW268" i="2"/>
  <c r="AX268" i="2"/>
  <c r="Z206" i="15"/>
  <c r="AA206" i="15"/>
  <c r="AB206" i="15"/>
  <c r="AV241" i="2"/>
  <c r="AW241" i="2"/>
  <c r="AX241" i="2"/>
  <c r="Z139" i="15"/>
  <c r="AA139" i="15"/>
  <c r="AB139" i="15"/>
  <c r="AV174" i="2"/>
  <c r="AW174" i="2"/>
  <c r="AX174" i="2"/>
  <c r="Z172" i="15"/>
  <c r="AA172" i="15"/>
  <c r="AB172" i="15"/>
  <c r="AV207" i="2"/>
  <c r="AW207" i="2"/>
  <c r="AX207" i="2"/>
  <c r="Z59" i="15"/>
  <c r="AA59" i="15"/>
  <c r="AB59" i="15"/>
  <c r="AV94" i="2"/>
  <c r="AW94" i="2"/>
  <c r="AX94" i="2"/>
  <c r="Z44" i="15"/>
  <c r="AA44" i="15"/>
  <c r="AB44" i="15"/>
  <c r="AV79" i="2"/>
  <c r="AW79" i="2"/>
  <c r="AX79" i="2"/>
  <c r="Z195" i="15"/>
  <c r="AA195" i="15"/>
  <c r="AB195" i="15"/>
  <c r="AV230" i="2"/>
  <c r="AW230" i="2"/>
  <c r="AX230" i="2"/>
  <c r="Z170" i="15"/>
  <c r="AA170" i="15"/>
  <c r="AB170" i="15"/>
  <c r="AV205" i="2"/>
  <c r="AW205" i="2"/>
  <c r="AX205" i="2"/>
  <c r="Z56" i="15"/>
  <c r="AA56" i="15"/>
  <c r="AB56" i="15"/>
  <c r="AV91" i="2"/>
  <c r="AW91" i="2"/>
  <c r="AX91" i="2"/>
  <c r="Z151" i="15"/>
  <c r="AA151" i="15"/>
  <c r="AB151" i="15"/>
  <c r="Z69" i="15"/>
  <c r="AA69" i="15"/>
  <c r="AB69" i="15"/>
  <c r="AV104" i="2"/>
  <c r="AW104" i="2"/>
  <c r="AX104" i="2"/>
  <c r="Z114" i="15"/>
  <c r="AA114" i="15"/>
  <c r="AB114" i="15"/>
  <c r="AV149" i="2"/>
  <c r="AW149" i="2"/>
  <c r="AX149" i="2"/>
  <c r="Z87" i="15"/>
  <c r="AA87" i="15"/>
  <c r="AB87" i="15"/>
  <c r="AV122" i="2"/>
  <c r="AW122" i="2"/>
  <c r="AX122" i="2"/>
  <c r="Z63" i="15"/>
  <c r="AA63" i="15"/>
  <c r="AB63" i="15"/>
  <c r="AV98" i="2"/>
  <c r="AW98" i="2"/>
  <c r="AX98" i="2"/>
  <c r="Z146" i="15"/>
  <c r="AA146" i="15"/>
  <c r="AB146" i="15"/>
  <c r="AV181" i="2"/>
  <c r="AW181" i="2"/>
  <c r="AX181" i="2"/>
  <c r="Z207" i="15"/>
  <c r="AA207" i="15"/>
  <c r="AB207" i="15"/>
  <c r="AV242" i="2"/>
  <c r="AW242" i="2"/>
  <c r="AX242" i="2"/>
  <c r="Z166" i="15"/>
  <c r="AA166" i="15"/>
  <c r="AB166" i="15"/>
  <c r="AV201" i="2"/>
  <c r="AW201" i="2"/>
  <c r="Z178" i="15"/>
  <c r="AA178" i="15"/>
  <c r="AB178" i="15"/>
  <c r="AV213" i="2"/>
  <c r="AW213" i="2"/>
  <c r="AX213" i="2"/>
  <c r="Z219" i="15"/>
  <c r="AA219" i="15"/>
  <c r="AB219" i="15"/>
  <c r="AV254" i="2"/>
  <c r="AW254" i="2"/>
  <c r="Z153" i="15"/>
  <c r="AA153" i="15"/>
  <c r="AB153" i="15"/>
  <c r="AV188" i="2"/>
  <c r="AW188" i="2"/>
  <c r="AX188" i="2"/>
  <c r="Z49" i="15"/>
  <c r="AA49" i="15"/>
  <c r="AB49" i="15"/>
  <c r="AV84" i="2"/>
  <c r="AW84" i="2"/>
  <c r="Z130" i="15"/>
  <c r="AA130" i="15"/>
  <c r="AB130" i="15"/>
  <c r="AV165" i="2"/>
  <c r="AW165" i="2"/>
  <c r="AX165" i="2"/>
  <c r="Z154" i="15"/>
  <c r="AA154" i="15"/>
  <c r="AB154" i="15"/>
  <c r="AV189" i="2"/>
  <c r="AW189" i="2"/>
  <c r="Z236" i="15"/>
  <c r="AA236" i="15"/>
  <c r="AB236" i="15"/>
  <c r="AV271" i="2"/>
  <c r="AW271" i="2"/>
  <c r="AX271" i="2"/>
  <c r="Z142" i="15"/>
  <c r="AA142" i="15"/>
  <c r="AB142" i="15"/>
  <c r="AV177" i="2"/>
  <c r="AW177" i="2"/>
  <c r="Z83" i="15"/>
  <c r="AA83" i="15"/>
  <c r="AB83" i="15"/>
  <c r="AV118" i="2"/>
  <c r="AW118" i="2"/>
  <c r="AX118" i="2"/>
  <c r="Z60" i="15"/>
  <c r="AA60" i="15"/>
  <c r="AB60" i="15"/>
  <c r="AV95" i="2"/>
  <c r="AW95" i="2"/>
  <c r="AX95" i="2"/>
  <c r="Z182" i="15"/>
  <c r="AA182" i="15"/>
  <c r="AB182" i="15"/>
  <c r="AV217" i="2"/>
  <c r="AW217" i="2"/>
  <c r="AX217" i="2"/>
  <c r="Z234" i="15"/>
  <c r="AA234" i="15"/>
  <c r="AB234" i="15"/>
  <c r="AV269" i="2"/>
  <c r="AW269" i="2"/>
  <c r="Z160" i="15"/>
  <c r="AA160" i="15"/>
  <c r="AB160" i="15"/>
  <c r="AV195" i="2"/>
  <c r="AW195" i="2"/>
  <c r="AX195" i="2"/>
  <c r="Z48" i="15"/>
  <c r="AA48" i="15"/>
  <c r="AB48" i="15"/>
  <c r="AV83" i="2"/>
  <c r="AW83" i="2"/>
  <c r="Z113" i="15"/>
  <c r="AA113" i="15"/>
  <c r="AB113" i="15"/>
  <c r="AV148" i="2"/>
  <c r="AW148" i="2"/>
  <c r="AX148" i="2"/>
  <c r="Z45" i="15"/>
  <c r="AA45" i="15"/>
  <c r="AB45" i="15"/>
  <c r="AV80" i="2"/>
  <c r="AW80" i="2"/>
  <c r="Z227" i="15"/>
  <c r="AA227" i="15"/>
  <c r="AB227" i="15"/>
  <c r="AV262" i="2"/>
  <c r="AW262" i="2"/>
  <c r="AX262" i="2"/>
  <c r="Z192" i="15"/>
  <c r="AA192" i="15"/>
  <c r="AB192" i="15"/>
  <c r="AV227" i="2"/>
  <c r="AW227" i="2"/>
  <c r="AX227" i="2"/>
  <c r="Z67" i="15"/>
  <c r="AA67" i="15"/>
  <c r="AB67" i="15"/>
  <c r="AV102" i="2"/>
  <c r="AW102" i="2"/>
  <c r="AX102" i="2"/>
  <c r="Z131" i="15"/>
  <c r="AA131" i="15"/>
  <c r="AB131" i="15"/>
  <c r="AV166" i="2"/>
  <c r="AW166" i="2"/>
  <c r="AX166" i="2"/>
  <c r="Z238" i="15"/>
  <c r="AA238" i="15"/>
  <c r="AB238" i="15"/>
  <c r="AV273" i="2"/>
  <c r="AW273" i="2"/>
  <c r="AX273" i="2"/>
  <c r="Z123" i="15"/>
  <c r="AA123" i="15"/>
  <c r="AB123" i="15"/>
  <c r="AV158" i="2"/>
  <c r="AW158" i="2"/>
  <c r="AX158" i="2"/>
  <c r="Z145" i="15"/>
  <c r="AA145" i="15"/>
  <c r="AB145" i="15"/>
  <c r="AV180" i="2"/>
  <c r="AW180" i="2"/>
  <c r="AX180" i="2"/>
  <c r="Z90" i="15"/>
  <c r="AA90" i="15"/>
  <c r="AB90" i="15"/>
  <c r="AV125" i="2"/>
  <c r="AW125" i="2"/>
  <c r="AX125" i="2"/>
  <c r="Z173" i="15"/>
  <c r="AA173" i="15"/>
  <c r="AB173" i="15"/>
  <c r="AV208" i="2"/>
  <c r="AW208" i="2"/>
  <c r="AX208" i="2"/>
  <c r="Z70" i="15"/>
  <c r="AA70" i="15"/>
  <c r="AB70" i="15"/>
  <c r="AV105" i="2"/>
  <c r="AW105" i="2"/>
  <c r="AX105" i="2"/>
  <c r="Z54" i="15"/>
  <c r="AA54" i="15"/>
  <c r="AB54" i="15"/>
  <c r="AV89" i="2"/>
  <c r="AW89" i="2"/>
  <c r="AX89" i="2"/>
  <c r="Z78" i="15"/>
  <c r="AA78" i="15"/>
  <c r="AB78" i="15"/>
  <c r="AV113" i="2"/>
  <c r="AW113" i="2"/>
  <c r="Z215" i="15"/>
  <c r="AA215" i="15"/>
  <c r="AB215" i="15"/>
  <c r="AV250" i="2"/>
  <c r="AW250" i="2"/>
  <c r="Z50" i="15"/>
  <c r="AA50" i="15"/>
  <c r="AB50" i="15"/>
  <c r="AV85" i="2"/>
  <c r="AW85" i="2"/>
  <c r="AX85" i="2"/>
  <c r="Z138" i="15"/>
  <c r="AA138" i="15"/>
  <c r="AB138" i="15"/>
  <c r="AV173" i="2"/>
  <c r="AW173" i="2"/>
  <c r="AX173" i="2"/>
  <c r="Z93" i="15"/>
  <c r="AA93" i="15"/>
  <c r="AB93" i="15"/>
  <c r="AV128" i="2"/>
  <c r="AW128" i="2"/>
  <c r="AX128" i="2"/>
  <c r="Z218" i="15"/>
  <c r="AA218" i="15"/>
  <c r="AB218" i="15"/>
  <c r="AV253" i="2"/>
  <c r="AW253" i="2"/>
  <c r="AX253" i="2"/>
  <c r="Z176" i="15"/>
  <c r="AA176" i="15"/>
  <c r="AB176" i="15"/>
  <c r="AV211" i="2"/>
  <c r="AW211" i="2"/>
  <c r="AX211" i="2"/>
  <c r="Z85" i="15"/>
  <c r="AA85" i="15"/>
  <c r="AB85" i="15"/>
  <c r="AV120" i="2"/>
  <c r="AW120" i="2"/>
  <c r="AX120" i="2"/>
  <c r="Z164" i="15"/>
  <c r="AA164" i="15"/>
  <c r="AB164" i="15"/>
  <c r="AV199" i="2"/>
  <c r="AW199" i="2"/>
  <c r="AX199" i="2"/>
  <c r="BA69" i="2"/>
  <c r="BC69" i="2"/>
  <c r="AW53" i="2"/>
  <c r="BB53" i="2"/>
  <c r="AW47" i="2"/>
  <c r="AX47" i="2"/>
  <c r="AW48" i="2"/>
  <c r="BA48" i="2"/>
  <c r="BC48" i="2"/>
  <c r="AW54" i="2"/>
  <c r="BA54" i="2"/>
  <c r="BC54" i="2"/>
  <c r="AW55" i="2"/>
  <c r="BB55" i="2"/>
  <c r="AW51" i="2"/>
  <c r="AX51" i="2"/>
  <c r="AX59" i="2"/>
  <c r="BB59" i="2"/>
  <c r="AW56" i="2"/>
  <c r="BA56" i="2"/>
  <c r="BC56" i="2"/>
  <c r="AW49" i="2"/>
  <c r="BA49" i="2"/>
  <c r="BC49" i="2"/>
  <c r="BA58" i="2"/>
  <c r="BC58" i="2"/>
  <c r="AX58" i="2"/>
  <c r="AW52" i="2"/>
  <c r="AX52" i="2"/>
  <c r="AW50" i="2"/>
  <c r="AX50" i="2"/>
  <c r="BA76" i="2"/>
  <c r="BC76" i="2"/>
  <c r="BB57" i="2"/>
  <c r="BA67" i="2"/>
  <c r="BC67" i="2"/>
  <c r="BB66" i="2"/>
  <c r="BB61" i="2"/>
  <c r="BB72" i="2"/>
  <c r="BB69" i="2"/>
  <c r="BB62" i="2"/>
  <c r="BB64" i="2"/>
  <c r="BB75" i="2"/>
  <c r="BA70" i="2"/>
  <c r="BC70" i="2"/>
  <c r="BB74" i="2"/>
  <c r="BA65" i="2"/>
  <c r="BC65" i="2"/>
  <c r="BB73" i="2"/>
  <c r="BA68" i="2"/>
  <c r="BC68" i="2"/>
  <c r="BA72" i="2"/>
  <c r="BC72" i="2"/>
  <c r="BB67" i="2"/>
  <c r="BB71" i="2"/>
  <c r="BB65" i="2"/>
  <c r="BB60" i="2"/>
  <c r="BD60" i="2"/>
  <c r="BE60" i="2"/>
  <c r="BB68" i="2"/>
  <c r="BB78" i="2"/>
  <c r="BA64" i="2"/>
  <c r="BC64" i="2"/>
  <c r="BB51" i="2"/>
  <c r="BA62" i="2"/>
  <c r="BC62" i="2"/>
  <c r="BA71" i="2"/>
  <c r="BC71" i="2"/>
  <c r="BA57" i="2"/>
  <c r="BC57" i="2"/>
  <c r="BA75" i="2"/>
  <c r="BC75" i="2"/>
  <c r="BA78" i="2"/>
  <c r="BC78" i="2"/>
  <c r="BA59" i="2"/>
  <c r="BC59" i="2"/>
  <c r="BB77" i="2"/>
  <c r="BA73" i="2"/>
  <c r="BC73" i="2"/>
  <c r="AV186" i="2"/>
  <c r="AW186" i="2"/>
  <c r="AX186" i="2"/>
  <c r="AV93" i="2"/>
  <c r="AW93" i="2"/>
  <c r="AX93" i="2"/>
  <c r="BA77" i="2"/>
  <c r="BC77" i="2"/>
  <c r="AV92" i="2"/>
  <c r="AW92" i="2"/>
  <c r="AX92" i="2"/>
  <c r="BA74" i="2"/>
  <c r="BC74" i="2"/>
  <c r="BA61" i="2"/>
  <c r="BC61" i="2"/>
  <c r="BB58" i="2"/>
  <c r="BB76" i="2"/>
  <c r="AV249" i="2"/>
  <c r="AW249" i="2"/>
  <c r="AX249" i="2"/>
  <c r="AV99" i="2"/>
  <c r="AW99" i="2"/>
  <c r="AX99" i="2"/>
  <c r="BB70" i="2"/>
  <c r="AV216" i="2"/>
  <c r="AW216" i="2"/>
  <c r="AX216" i="2"/>
  <c r="AV238" i="2"/>
  <c r="AW238" i="2"/>
  <c r="AX238" i="2"/>
  <c r="AV256" i="2"/>
  <c r="AW256" i="2"/>
  <c r="AX256" i="2"/>
  <c r="BA66" i="2"/>
  <c r="BC66" i="2"/>
  <c r="AV236" i="2"/>
  <c r="AW236" i="2"/>
  <c r="AX236" i="2"/>
  <c r="AV103" i="2"/>
  <c r="AW103" i="2"/>
  <c r="AX103" i="2"/>
  <c r="AV138" i="2"/>
  <c r="AW138" i="2"/>
  <c r="AX138" i="2"/>
  <c r="AV203" i="2"/>
  <c r="AW203" i="2"/>
  <c r="AX203" i="2"/>
  <c r="AX147" i="2"/>
  <c r="BB147" i="2"/>
  <c r="AX49" i="2"/>
  <c r="BB52" i="2"/>
  <c r="BB140" i="2"/>
  <c r="BA147" i="2"/>
  <c r="BC147" i="2"/>
  <c r="BA50" i="2"/>
  <c r="BC50" i="2"/>
  <c r="BA285" i="2"/>
  <c r="BC285" i="2"/>
  <c r="BB50" i="2"/>
  <c r="BA47" i="2"/>
  <c r="BC47" i="2"/>
  <c r="BA51" i="2"/>
  <c r="BC51" i="2"/>
  <c r="BD51" i="2"/>
  <c r="BE51" i="2"/>
  <c r="BB47" i="2"/>
  <c r="BD47" i="2"/>
  <c r="BE47" i="2"/>
  <c r="AX179" i="2"/>
  <c r="BB179" i="2"/>
  <c r="AX145" i="2"/>
  <c r="BA145" i="2"/>
  <c r="BC145" i="2"/>
  <c r="BB145" i="2"/>
  <c r="AX175" i="2"/>
  <c r="BB175" i="2"/>
  <c r="AX172" i="2"/>
  <c r="BA172" i="2"/>
  <c r="BC172" i="2"/>
  <c r="BB172" i="2"/>
  <c r="AX97" i="2"/>
  <c r="BA97" i="2"/>
  <c r="BC97" i="2"/>
  <c r="BB97" i="2"/>
  <c r="AX234" i="2"/>
  <c r="BA234" i="2"/>
  <c r="BC234" i="2"/>
  <c r="BB234" i="2"/>
  <c r="BB56" i="2"/>
  <c r="BD56" i="2"/>
  <c r="BE56" i="2"/>
  <c r="BD67" i="2"/>
  <c r="BE67" i="2"/>
  <c r="BA140" i="2"/>
  <c r="BC140" i="2"/>
  <c r="BA139" i="2"/>
  <c r="BC139" i="2"/>
  <c r="AX54" i="2"/>
  <c r="AX80" i="2"/>
  <c r="BB80" i="2"/>
  <c r="BA80" i="2"/>
  <c r="BC80" i="2"/>
  <c r="AX162" i="2"/>
  <c r="BB162" i="2"/>
  <c r="BA162" i="2"/>
  <c r="BC162" i="2"/>
  <c r="AX133" i="2"/>
  <c r="BA133" i="2"/>
  <c r="BC133" i="2"/>
  <c r="AX184" i="2"/>
  <c r="BA184" i="2"/>
  <c r="BC184" i="2"/>
  <c r="BB184" i="2"/>
  <c r="AX250" i="2"/>
  <c r="BB250" i="2"/>
  <c r="AX254" i="2"/>
  <c r="BA254" i="2"/>
  <c r="BC254" i="2"/>
  <c r="AX194" i="2"/>
  <c r="BA194" i="2"/>
  <c r="BC194" i="2"/>
  <c r="BB194" i="2"/>
  <c r="AX101" i="2"/>
  <c r="BB101" i="2"/>
  <c r="BA101" i="2"/>
  <c r="BC101" i="2"/>
  <c r="AX193" i="2"/>
  <c r="BA193" i="2"/>
  <c r="BC193" i="2"/>
  <c r="AX84" i="2"/>
  <c r="BB84" i="2"/>
  <c r="BA84" i="2"/>
  <c r="BC84" i="2"/>
  <c r="AX171" i="2"/>
  <c r="BB171" i="2"/>
  <c r="BA171" i="2"/>
  <c r="BC171" i="2"/>
  <c r="AX129" i="2"/>
  <c r="BA129" i="2"/>
  <c r="BC129" i="2"/>
  <c r="BB129" i="2"/>
  <c r="AX137" i="2"/>
  <c r="BA137" i="2"/>
  <c r="BC137" i="2"/>
  <c r="BB137" i="2"/>
  <c r="AX232" i="2"/>
  <c r="BB232" i="2"/>
  <c r="AX196" i="2"/>
  <c r="BB196" i="2"/>
  <c r="BA196" i="2"/>
  <c r="BC196" i="2"/>
  <c r="AX270" i="2"/>
  <c r="BA270" i="2"/>
  <c r="BC270" i="2"/>
  <c r="BB270" i="2"/>
  <c r="AX177" i="2"/>
  <c r="BA177" i="2"/>
  <c r="BC177" i="2"/>
  <c r="BB177" i="2"/>
  <c r="AX201" i="2"/>
  <c r="BB201" i="2"/>
  <c r="BA201" i="2"/>
  <c r="BC201" i="2"/>
  <c r="AX220" i="2"/>
  <c r="BB220" i="2"/>
  <c r="BA220" i="2"/>
  <c r="BC220" i="2"/>
  <c r="AX258" i="2"/>
  <c r="BA258" i="2"/>
  <c r="BC258" i="2"/>
  <c r="AX113" i="2"/>
  <c r="BA113" i="2"/>
  <c r="BC113" i="2"/>
  <c r="AX269" i="2"/>
  <c r="BB269" i="2"/>
  <c r="BA269" i="2"/>
  <c r="BC269" i="2"/>
  <c r="AX83" i="2"/>
  <c r="BA83" i="2"/>
  <c r="BC83" i="2"/>
  <c r="BB83" i="2"/>
  <c r="AX189" i="2"/>
  <c r="BA189" i="2"/>
  <c r="BC189" i="2"/>
  <c r="BB189" i="2"/>
  <c r="AX252" i="2"/>
  <c r="BA252" i="2"/>
  <c r="BC252" i="2"/>
  <c r="AX200" i="2"/>
  <c r="BB200" i="2"/>
  <c r="BA200" i="2"/>
  <c r="BC200" i="2"/>
  <c r="BA218" i="2"/>
  <c r="BC218" i="2"/>
  <c r="BA209" i="2"/>
  <c r="BC209" i="2"/>
  <c r="BB54" i="2"/>
  <c r="BD54" i="2"/>
  <c r="BE54" i="2"/>
  <c r="BB204" i="2"/>
  <c r="BB124" i="2"/>
  <c r="BA240" i="2"/>
  <c r="BC240" i="2"/>
  <c r="BA117" i="2"/>
  <c r="BC117" i="2"/>
  <c r="BA283" i="2"/>
  <c r="BC283" i="2"/>
  <c r="BD69" i="2"/>
  <c r="BE69" i="2"/>
  <c r="BD59" i="2"/>
  <c r="BE59" i="2"/>
  <c r="BA53" i="2"/>
  <c r="BC53" i="2"/>
  <c r="BD53" i="2"/>
  <c r="BE53" i="2"/>
  <c r="AX53" i="2"/>
  <c r="BA52" i="2"/>
  <c r="BC52" i="2"/>
  <c r="BD52" i="2"/>
  <c r="BE52" i="2"/>
  <c r="BB49" i="2"/>
  <c r="BD49" i="2"/>
  <c r="BE49" i="2"/>
  <c r="AX55" i="2"/>
  <c r="AX48" i="2"/>
  <c r="BA204" i="2"/>
  <c r="BC204" i="2"/>
  <c r="BB86" i="2"/>
  <c r="BA216" i="2"/>
  <c r="BC216" i="2"/>
  <c r="BB95" i="2"/>
  <c r="BA146" i="2"/>
  <c r="BC146" i="2"/>
  <c r="BA175" i="2"/>
  <c r="BC175" i="2"/>
  <c r="BA124" i="2"/>
  <c r="BC124" i="2"/>
  <c r="BB283" i="2"/>
  <c r="BA55" i="2"/>
  <c r="BC55" i="2"/>
  <c r="BD55" i="2"/>
  <c r="BE55" i="2"/>
  <c r="BB48" i="2"/>
  <c r="BD48" i="2"/>
  <c r="BE48" i="2"/>
  <c r="BB174" i="2"/>
  <c r="BB98" i="2"/>
  <c r="BB85" i="2"/>
  <c r="BB117" i="2"/>
  <c r="BA98" i="2"/>
  <c r="BC98" i="2"/>
  <c r="BA86" i="2"/>
  <c r="BC86" i="2"/>
  <c r="BB216" i="2"/>
  <c r="BA95" i="2"/>
  <c r="BC95" i="2"/>
  <c r="BB133" i="2"/>
  <c r="BB134" i="2"/>
  <c r="BB193" i="2"/>
  <c r="BB209" i="2"/>
  <c r="BA221" i="2"/>
  <c r="BC221" i="2"/>
  <c r="BA237" i="2"/>
  <c r="BC237" i="2"/>
  <c r="BB237" i="2"/>
  <c r="AX56" i="2"/>
  <c r="BD68" i="2"/>
  <c r="BE68" i="2"/>
  <c r="BD78" i="2"/>
  <c r="BE78" i="2"/>
  <c r="BD75" i="2"/>
  <c r="BE75" i="2"/>
  <c r="BD62" i="2"/>
  <c r="BE62" i="2"/>
  <c r="BD71" i="2"/>
  <c r="BE71" i="2"/>
  <c r="BD66" i="2"/>
  <c r="BE66" i="2"/>
  <c r="BD72" i="2"/>
  <c r="BE72" i="2"/>
  <c r="BD57" i="2"/>
  <c r="BE57" i="2"/>
  <c r="BA267" i="2"/>
  <c r="BC267" i="2"/>
  <c r="BB185" i="2"/>
  <c r="BA208" i="2"/>
  <c r="BC208" i="2"/>
  <c r="BB273" i="2"/>
  <c r="BA154" i="2"/>
  <c r="BC154" i="2"/>
  <c r="BB278" i="2"/>
  <c r="BB119" i="2"/>
  <c r="BA215" i="2"/>
  <c r="BC215" i="2"/>
  <c r="BA103" i="2"/>
  <c r="BC103" i="2"/>
  <c r="BA236" i="2"/>
  <c r="BC236" i="2"/>
  <c r="BA251" i="2"/>
  <c r="BC251" i="2"/>
  <c r="BB144" i="2"/>
  <c r="BB214" i="2"/>
  <c r="BB128" i="2"/>
  <c r="BA284" i="2"/>
  <c r="BC284" i="2"/>
  <c r="BB91" i="2"/>
  <c r="BA94" i="2"/>
  <c r="BC94" i="2"/>
  <c r="BA268" i="2"/>
  <c r="BC268" i="2"/>
  <c r="BB276" i="2"/>
  <c r="BA115" i="2"/>
  <c r="BC115" i="2"/>
  <c r="BB181" i="2"/>
  <c r="BA153" i="2"/>
  <c r="BC153" i="2"/>
  <c r="BA239" i="2"/>
  <c r="BC239" i="2"/>
  <c r="BA279" i="2"/>
  <c r="BC279" i="2"/>
  <c r="BB245" i="2"/>
  <c r="BB150" i="2"/>
  <c r="BB120" i="2"/>
  <c r="BA173" i="2"/>
  <c r="BC173" i="2"/>
  <c r="BB127" i="2"/>
  <c r="BB87" i="2"/>
  <c r="BA96" i="2"/>
  <c r="BC96" i="2"/>
  <c r="BB104" i="2"/>
  <c r="BB132" i="2"/>
  <c r="BB100" i="2"/>
  <c r="BB235" i="2"/>
  <c r="BA206" i="2"/>
  <c r="BC206" i="2"/>
  <c r="BB203" i="2"/>
  <c r="BA108" i="2"/>
  <c r="BC108" i="2"/>
  <c r="BB282" i="2"/>
  <c r="BB224" i="2"/>
  <c r="BA148" i="2"/>
  <c r="BC148" i="2"/>
  <c r="BA195" i="2"/>
  <c r="BC195" i="2"/>
  <c r="BA217" i="2"/>
  <c r="BC217" i="2"/>
  <c r="BB118" i="2"/>
  <c r="BA165" i="2"/>
  <c r="BC165" i="2"/>
  <c r="BB188" i="2"/>
  <c r="BB213" i="2"/>
  <c r="BA242" i="2"/>
  <c r="BC242" i="2"/>
  <c r="BB149" i="2"/>
  <c r="BA135" i="2"/>
  <c r="BC135" i="2"/>
  <c r="BB255" i="2"/>
  <c r="BA244" i="2"/>
  <c r="BC244" i="2"/>
  <c r="BB238" i="2"/>
  <c r="BB121" i="2"/>
  <c r="BA247" i="2"/>
  <c r="BC247" i="2"/>
  <c r="BA210" i="2"/>
  <c r="BC210" i="2"/>
  <c r="BA226" i="2"/>
  <c r="BC226" i="2"/>
  <c r="BB277" i="2"/>
  <c r="BB116" i="2"/>
  <c r="BB191" i="2"/>
  <c r="BA182" i="2"/>
  <c r="BC182" i="2"/>
  <c r="BB233" i="2"/>
  <c r="BA157" i="2"/>
  <c r="BC157" i="2"/>
  <c r="BA263" i="2"/>
  <c r="BC263" i="2"/>
  <c r="BB202" i="2"/>
  <c r="BA167" i="2"/>
  <c r="BC167" i="2"/>
  <c r="BA152" i="2"/>
  <c r="BC152" i="2"/>
  <c r="BB166" i="2"/>
  <c r="BA169" i="2"/>
  <c r="BC169" i="2"/>
  <c r="BA160" i="2"/>
  <c r="BC160" i="2"/>
  <c r="BB92" i="2"/>
  <c r="BB141" i="2"/>
  <c r="BA222" i="2"/>
  <c r="BC222" i="2"/>
  <c r="BB63" i="2"/>
  <c r="BB229" i="2"/>
  <c r="BA266" i="2"/>
  <c r="BC266" i="2"/>
  <c r="BB113" i="2"/>
  <c r="BA180" i="2"/>
  <c r="BC180" i="2"/>
  <c r="BB102" i="2"/>
  <c r="BB190" i="2"/>
  <c r="BA138" i="2"/>
  <c r="BC138" i="2"/>
  <c r="BB126" i="2"/>
  <c r="BB88" i="2"/>
  <c r="BA211" i="2"/>
  <c r="BC211" i="2"/>
  <c r="BB90" i="2"/>
  <c r="BB106" i="2"/>
  <c r="BA178" i="2"/>
  <c r="BC178" i="2"/>
  <c r="BB159" i="2"/>
  <c r="BA241" i="2"/>
  <c r="BC241" i="2"/>
  <c r="BB228" i="2"/>
  <c r="BD70" i="2"/>
  <c r="BE70" i="2"/>
  <c r="BA112" i="2"/>
  <c r="BC112" i="2"/>
  <c r="BB221" i="2"/>
  <c r="BB99" i="2"/>
  <c r="BD61" i="2"/>
  <c r="BE61" i="2"/>
  <c r="BA93" i="2"/>
  <c r="BC93" i="2"/>
  <c r="BB257" i="2"/>
  <c r="BB243" i="2"/>
  <c r="BB199" i="2"/>
  <c r="BB253" i="2"/>
  <c r="BB219" i="2"/>
  <c r="BB151" i="2"/>
  <c r="BB139" i="2"/>
  <c r="BA197" i="2"/>
  <c r="BC197" i="2"/>
  <c r="BA79" i="2"/>
  <c r="BC79" i="2"/>
  <c r="BD64" i="2"/>
  <c r="BE64" i="2"/>
  <c r="BD65" i="2"/>
  <c r="BE65" i="2"/>
  <c r="BA63" i="2"/>
  <c r="BC63" i="2"/>
  <c r="BA179" i="2"/>
  <c r="BC179" i="2"/>
  <c r="BB254" i="2"/>
  <c r="BA232" i="2"/>
  <c r="BC232" i="2"/>
  <c r="BD232" i="2"/>
  <c r="BE232" i="2"/>
  <c r="BB252" i="2"/>
  <c r="BB285" i="2"/>
  <c r="BD76" i="2"/>
  <c r="BE76" i="2"/>
  <c r="BB161" i="2"/>
  <c r="BB225" i="2"/>
  <c r="BB259" i="2"/>
  <c r="BB176" i="2"/>
  <c r="BB105" i="2"/>
  <c r="BB158" i="2"/>
  <c r="BA227" i="2"/>
  <c r="BC227" i="2"/>
  <c r="BA110" i="2"/>
  <c r="BC110" i="2"/>
  <c r="BB212" i="2"/>
  <c r="BA274" i="2"/>
  <c r="BC274" i="2"/>
  <c r="BA187" i="2"/>
  <c r="BC187" i="2"/>
  <c r="BA246" i="2"/>
  <c r="BC246" i="2"/>
  <c r="BA81" i="2"/>
  <c r="BC81" i="2"/>
  <c r="BA205" i="2"/>
  <c r="BC205" i="2"/>
  <c r="BA192" i="2"/>
  <c r="BC192" i="2"/>
  <c r="BB236" i="2"/>
  <c r="BA183" i="2"/>
  <c r="BC183" i="2"/>
  <c r="BA186" i="2"/>
  <c r="BC186" i="2"/>
  <c r="BB197" i="2"/>
  <c r="BB222" i="2"/>
  <c r="BB182" i="2"/>
  <c r="BA122" i="2"/>
  <c r="BC122" i="2"/>
  <c r="BA213" i="2"/>
  <c r="BC213" i="2"/>
  <c r="BA109" i="2"/>
  <c r="BC109" i="2"/>
  <c r="BB165" i="2"/>
  <c r="BA163" i="2"/>
  <c r="BC163" i="2"/>
  <c r="BA142" i="2"/>
  <c r="BC142" i="2"/>
  <c r="BB136" i="2"/>
  <c r="BB192" i="2"/>
  <c r="BA228" i="2"/>
  <c r="BC228" i="2"/>
  <c r="BD73" i="2"/>
  <c r="BE73" i="2"/>
  <c r="BB148" i="2"/>
  <c r="BA198" i="2"/>
  <c r="BC198" i="2"/>
  <c r="BA168" i="2"/>
  <c r="BC168" i="2"/>
  <c r="BB108" i="2"/>
  <c r="BA265" i="2"/>
  <c r="BC265" i="2"/>
  <c r="BD74" i="2"/>
  <c r="BE74" i="2"/>
  <c r="BA123" i="2"/>
  <c r="BC123" i="2"/>
  <c r="BA190" i="2"/>
  <c r="BC190" i="2"/>
  <c r="BA130" i="2"/>
  <c r="BC130" i="2"/>
  <c r="BA224" i="2"/>
  <c r="BC224" i="2"/>
  <c r="BB163" i="2"/>
  <c r="BD163" i="2"/>
  <c r="BE163" i="2"/>
  <c r="BA143" i="2"/>
  <c r="BC143" i="2"/>
  <c r="BB142" i="2"/>
  <c r="BA159" i="2"/>
  <c r="BC159" i="2"/>
  <c r="BA257" i="2"/>
  <c r="BC257" i="2"/>
  <c r="BB264" i="2"/>
  <c r="BB241" i="2"/>
  <c r="BA282" i="2"/>
  <c r="BC282" i="2"/>
  <c r="BB81" i="2"/>
  <c r="BA88" i="2"/>
  <c r="BC88" i="2"/>
  <c r="BB122" i="2"/>
  <c r="BB143" i="2"/>
  <c r="BA126" i="2"/>
  <c r="BC126" i="2"/>
  <c r="BA155" i="2"/>
  <c r="BC155" i="2"/>
  <c r="BA105" i="2"/>
  <c r="BC105" i="2"/>
  <c r="BB258" i="2"/>
  <c r="BA253" i="2"/>
  <c r="BC253" i="2"/>
  <c r="BA230" i="2"/>
  <c r="BC230" i="2"/>
  <c r="BB280" i="2"/>
  <c r="BB123" i="2"/>
  <c r="BA90" i="2"/>
  <c r="BC90" i="2"/>
  <c r="BB186" i="2"/>
  <c r="BB130" i="2"/>
  <c r="BA176" i="2"/>
  <c r="BC176" i="2"/>
  <c r="BB218" i="2"/>
  <c r="BB187" i="2"/>
  <c r="BB157" i="2"/>
  <c r="BA212" i="2"/>
  <c r="BC212" i="2"/>
  <c r="BB109" i="2"/>
  <c r="BA99" i="2"/>
  <c r="BC99" i="2"/>
  <c r="BB156" i="2"/>
  <c r="BA134" i="2"/>
  <c r="BC134" i="2"/>
  <c r="BB146" i="2"/>
  <c r="BB217" i="2"/>
  <c r="BA245" i="2"/>
  <c r="BC245" i="2"/>
  <c r="BB227" i="2"/>
  <c r="BB266" i="2"/>
  <c r="BA250" i="2"/>
  <c r="BC250" i="2"/>
  <c r="BA85" i="2"/>
  <c r="BC85" i="2"/>
  <c r="BA91" i="2"/>
  <c r="BC91" i="2"/>
  <c r="BA174" i="2"/>
  <c r="BC174" i="2"/>
  <c r="BB79" i="2"/>
  <c r="BB110" i="2"/>
  <c r="BB211" i="2"/>
  <c r="BA151" i="2"/>
  <c r="BC151" i="2"/>
  <c r="BA102" i="2"/>
  <c r="BC102" i="2"/>
  <c r="BA106" i="2"/>
  <c r="BC106" i="2"/>
  <c r="BB93" i="2"/>
  <c r="BB112" i="2"/>
  <c r="BA199" i="2"/>
  <c r="BC199" i="2"/>
  <c r="BB223" i="2"/>
  <c r="BA158" i="2"/>
  <c r="BC158" i="2"/>
  <c r="BB180" i="2"/>
  <c r="BB138" i="2"/>
  <c r="BA156" i="2"/>
  <c r="BC156" i="2"/>
  <c r="BB178" i="2"/>
  <c r="BA136" i="2"/>
  <c r="BC136" i="2"/>
  <c r="BA219" i="2"/>
  <c r="BC219" i="2"/>
  <c r="BA233" i="2"/>
  <c r="BC233" i="2"/>
  <c r="BB246" i="2"/>
  <c r="BB230" i="2"/>
  <c r="BB260" i="2"/>
  <c r="BA243" i="2"/>
  <c r="BC243" i="2"/>
  <c r="BA280" i="2"/>
  <c r="BC280" i="2"/>
  <c r="BB263" i="2"/>
  <c r="BA260" i="2"/>
  <c r="BC260" i="2"/>
  <c r="BA259" i="2"/>
  <c r="BC259" i="2"/>
  <c r="BB274" i="2"/>
  <c r="BB240" i="2"/>
  <c r="BD58" i="2"/>
  <c r="BE58" i="2"/>
  <c r="BD77" i="2"/>
  <c r="BE77" i="2"/>
  <c r="BB167" i="2"/>
  <c r="BB103" i="2"/>
  <c r="BA141" i="2"/>
  <c r="BC141" i="2"/>
  <c r="BB154" i="2"/>
  <c r="BB206" i="2"/>
  <c r="BA149" i="2"/>
  <c r="BC149" i="2"/>
  <c r="BB210" i="2"/>
  <c r="BB94" i="2"/>
  <c r="BA120" i="2"/>
  <c r="BC120" i="2"/>
  <c r="BB208" i="2"/>
  <c r="BB131" i="2"/>
  <c r="BA207" i="2"/>
  <c r="BC207" i="2"/>
  <c r="BA191" i="2"/>
  <c r="BC191" i="2"/>
  <c r="BB135" i="2"/>
  <c r="BA150" i="2"/>
  <c r="BC150" i="2"/>
  <c r="BA271" i="2"/>
  <c r="BC271" i="2"/>
  <c r="BB247" i="2"/>
  <c r="BA225" i="2"/>
  <c r="BC225" i="2"/>
  <c r="BA100" i="2"/>
  <c r="BC100" i="2"/>
  <c r="BA127" i="2"/>
  <c r="BC127" i="2"/>
  <c r="BA181" i="2"/>
  <c r="BC181" i="2"/>
  <c r="BB152" i="2"/>
  <c r="BB114" i="2"/>
  <c r="BA118" i="2"/>
  <c r="BC118" i="2"/>
  <c r="BB125" i="2"/>
  <c r="BA89" i="2"/>
  <c r="BC89" i="2"/>
  <c r="BA92" i="2"/>
  <c r="BC92" i="2"/>
  <c r="BA121" i="2"/>
  <c r="BC121" i="2"/>
  <c r="BA87" i="2"/>
  <c r="BC87" i="2"/>
  <c r="BB164" i="2"/>
  <c r="BA188" i="2"/>
  <c r="BC188" i="2"/>
  <c r="BB170" i="2"/>
  <c r="BB272" i="2"/>
  <c r="BA255" i="2"/>
  <c r="BC255" i="2"/>
  <c r="BA277" i="2"/>
  <c r="BC277" i="2"/>
  <c r="BA264" i="2"/>
  <c r="BC264" i="2"/>
  <c r="BA273" i="2"/>
  <c r="BC273" i="2"/>
  <c r="BB256" i="2"/>
  <c r="BB244" i="2"/>
  <c r="BA114" i="2"/>
  <c r="BC114" i="2"/>
  <c r="BB153" i="2"/>
  <c r="BA132" i="2"/>
  <c r="BC132" i="2"/>
  <c r="BB215" i="2"/>
  <c r="BA125" i="2"/>
  <c r="BC125" i="2"/>
  <c r="BA223" i="2"/>
  <c r="BC223" i="2"/>
  <c r="BB111" i="2"/>
  <c r="BA131" i="2"/>
  <c r="BC131" i="2"/>
  <c r="BB160" i="2"/>
  <c r="BA164" i="2"/>
  <c r="BC164" i="2"/>
  <c r="BB248" i="2"/>
  <c r="BB249" i="2"/>
  <c r="BA261" i="2"/>
  <c r="BC261" i="2"/>
  <c r="BA231" i="2"/>
  <c r="BC231" i="2"/>
  <c r="BB261" i="2"/>
  <c r="BB267" i="2"/>
  <c r="BB268" i="2"/>
  <c r="BA202" i="2"/>
  <c r="BC202" i="2"/>
  <c r="BB183" i="2"/>
  <c r="BB96" i="2"/>
  <c r="BB82" i="2"/>
  <c r="BA119" i="2"/>
  <c r="BC119" i="2"/>
  <c r="BB205" i="2"/>
  <c r="BA214" i="2"/>
  <c r="BC214" i="2"/>
  <c r="BB89" i="2"/>
  <c r="BB195" i="2"/>
  <c r="BB168" i="2"/>
  <c r="BB115" i="2"/>
  <c r="BB173" i="2"/>
  <c r="BA203" i="2"/>
  <c r="BC203" i="2"/>
  <c r="BB107" i="2"/>
  <c r="BB207" i="2"/>
  <c r="BB155" i="2"/>
  <c r="BA170" i="2"/>
  <c r="BC170" i="2"/>
  <c r="BA235" i="2"/>
  <c r="BC235" i="2"/>
  <c r="BA276" i="2"/>
  <c r="BC276" i="2"/>
  <c r="BA256" i="2"/>
  <c r="BC256" i="2"/>
  <c r="BA116" i="2"/>
  <c r="BC116" i="2"/>
  <c r="BA161" i="2"/>
  <c r="BC161" i="2"/>
  <c r="BA82" i="2"/>
  <c r="BC82" i="2"/>
  <c r="BA128" i="2"/>
  <c r="BC128" i="2"/>
  <c r="BB169" i="2"/>
  <c r="BB198" i="2"/>
  <c r="BA111" i="2"/>
  <c r="BC111" i="2"/>
  <c r="BA166" i="2"/>
  <c r="BC166" i="2"/>
  <c r="BA107" i="2"/>
  <c r="BC107" i="2"/>
  <c r="BA185" i="2"/>
  <c r="BC185" i="2"/>
  <c r="BA144" i="2"/>
  <c r="BC144" i="2"/>
  <c r="BA104" i="2"/>
  <c r="BC104" i="2"/>
  <c r="BB271" i="2"/>
  <c r="BB226" i="2"/>
  <c r="BA229" i="2"/>
  <c r="BC229" i="2"/>
  <c r="BA248" i="2"/>
  <c r="BC248" i="2"/>
  <c r="BA249" i="2"/>
  <c r="BC249" i="2"/>
  <c r="BB262" i="2"/>
  <c r="BA262" i="2"/>
  <c r="BC262" i="2"/>
  <c r="BB284" i="2"/>
  <c r="BB275" i="2"/>
  <c r="BA281" i="2"/>
  <c r="BC281" i="2"/>
  <c r="BA278" i="2"/>
  <c r="BC278" i="2"/>
  <c r="BB265" i="2"/>
  <c r="BB279" i="2"/>
  <c r="BB239" i="2"/>
  <c r="BB231" i="2"/>
  <c r="BB251" i="2"/>
  <c r="BA238" i="2"/>
  <c r="BC238" i="2"/>
  <c r="BA272" i="2"/>
  <c r="BC272" i="2"/>
  <c r="BB242" i="2"/>
  <c r="BA275" i="2"/>
  <c r="BC275" i="2"/>
  <c r="BB281" i="2"/>
  <c r="BD147" i="2"/>
  <c r="BE147" i="2"/>
  <c r="BD98" i="2"/>
  <c r="BE98" i="2"/>
  <c r="BD117" i="2"/>
  <c r="BE117" i="2"/>
  <c r="BD145" i="2"/>
  <c r="BE145" i="2"/>
  <c r="BD240" i="2"/>
  <c r="BE240" i="2"/>
  <c r="BD285" i="2"/>
  <c r="BE285" i="2"/>
  <c r="BD140" i="2"/>
  <c r="BE140" i="2"/>
  <c r="BD50" i="2"/>
  <c r="BE50" i="2"/>
  <c r="BD209" i="2"/>
  <c r="BE209" i="2"/>
  <c r="BD189" i="2"/>
  <c r="BE189" i="2"/>
  <c r="BD201" i="2"/>
  <c r="BE201" i="2"/>
  <c r="BD171" i="2"/>
  <c r="BE171" i="2"/>
  <c r="BD101" i="2"/>
  <c r="BE101" i="2"/>
  <c r="BD270" i="2"/>
  <c r="BE270" i="2"/>
  <c r="BD218" i="2"/>
  <c r="BE218" i="2"/>
  <c r="BD254" i="2"/>
  <c r="BE254" i="2"/>
  <c r="BD193" i="2"/>
  <c r="BE193" i="2"/>
  <c r="BD220" i="2"/>
  <c r="BE220" i="2"/>
  <c r="BD196" i="2"/>
  <c r="BE196" i="2"/>
  <c r="BD129" i="2"/>
  <c r="BE129" i="2"/>
  <c r="BD97" i="2"/>
  <c r="BE97" i="2"/>
  <c r="BD252" i="2"/>
  <c r="BE252" i="2"/>
  <c r="BD124" i="2"/>
  <c r="BE124" i="2"/>
  <c r="BD283" i="2"/>
  <c r="BE283" i="2"/>
  <c r="BD269" i="2"/>
  <c r="BE269" i="2"/>
  <c r="BD137" i="2"/>
  <c r="BE137" i="2"/>
  <c r="BD184" i="2"/>
  <c r="BE184" i="2"/>
  <c r="BD80" i="2"/>
  <c r="BE80" i="2"/>
  <c r="BD234" i="2"/>
  <c r="BE234" i="2"/>
  <c r="BD139" i="2"/>
  <c r="BE139" i="2"/>
  <c r="BD95" i="2"/>
  <c r="BE95" i="2"/>
  <c r="BD86" i="2"/>
  <c r="BE86" i="2"/>
  <c r="BD84" i="2"/>
  <c r="BE84" i="2"/>
  <c r="BD172" i="2"/>
  <c r="BE172" i="2"/>
  <c r="BD133" i="2"/>
  <c r="BE133" i="2"/>
  <c r="BD204" i="2"/>
  <c r="BE204" i="2"/>
  <c r="BD83" i="2"/>
  <c r="BE83" i="2"/>
  <c r="BD177" i="2"/>
  <c r="BE177" i="2"/>
  <c r="BD194" i="2"/>
  <c r="BE194" i="2"/>
  <c r="BD162" i="2"/>
  <c r="BE162" i="2"/>
  <c r="BD215" i="2"/>
  <c r="BE215" i="2"/>
  <c r="BD244" i="2"/>
  <c r="BE244" i="2"/>
  <c r="BD210" i="2"/>
  <c r="BE210" i="2"/>
  <c r="BD141" i="2"/>
  <c r="BE141" i="2"/>
  <c r="BD190" i="2"/>
  <c r="BE190" i="2"/>
  <c r="BD175" i="2"/>
  <c r="BE175" i="2"/>
  <c r="BD200" i="2"/>
  <c r="BE200" i="2"/>
  <c r="BD235" i="2"/>
  <c r="BE235" i="2"/>
  <c r="BD255" i="2"/>
  <c r="BE255" i="2"/>
  <c r="BD152" i="2"/>
  <c r="BE152" i="2"/>
  <c r="BD208" i="2"/>
  <c r="BE208" i="2"/>
  <c r="BD174" i="2"/>
  <c r="BE174" i="2"/>
  <c r="BD116" i="2"/>
  <c r="BE116" i="2"/>
  <c r="BD167" i="2"/>
  <c r="BE167" i="2"/>
  <c r="BD179" i="2"/>
  <c r="BE179" i="2"/>
  <c r="BD221" i="2"/>
  <c r="BE221" i="2"/>
  <c r="BD113" i="2"/>
  <c r="BE113" i="2"/>
  <c r="BD216" i="2"/>
  <c r="BE216" i="2"/>
  <c r="BD85" i="2"/>
  <c r="BE85" i="2"/>
  <c r="BD258" i="2"/>
  <c r="BE258" i="2"/>
  <c r="BD239" i="2"/>
  <c r="BE239" i="2"/>
  <c r="BD161" i="2"/>
  <c r="BE161" i="2"/>
  <c r="BD96" i="2"/>
  <c r="BE96" i="2"/>
  <c r="BD92" i="2"/>
  <c r="BE92" i="2"/>
  <c r="BD199" i="2"/>
  <c r="BE199" i="2"/>
  <c r="BD250" i="2"/>
  <c r="BE250" i="2"/>
  <c r="BD237" i="2"/>
  <c r="BE237" i="2"/>
  <c r="BD146" i="2"/>
  <c r="BE146" i="2"/>
  <c r="BD134" i="2"/>
  <c r="BE134" i="2"/>
  <c r="BD276" i="2"/>
  <c r="BE276" i="2"/>
  <c r="BD180" i="2"/>
  <c r="BE180" i="2"/>
  <c r="BD151" i="2"/>
  <c r="BE151" i="2"/>
  <c r="BD126" i="2"/>
  <c r="BE126" i="2"/>
  <c r="BD228" i="2"/>
  <c r="BE228" i="2"/>
  <c r="BD277" i="2"/>
  <c r="BE277" i="2"/>
  <c r="BD188" i="2"/>
  <c r="BE188" i="2"/>
  <c r="BD100" i="2"/>
  <c r="BE100" i="2"/>
  <c r="BD267" i="2"/>
  <c r="BE267" i="2"/>
  <c r="BD279" i="2"/>
  <c r="BE279" i="2"/>
  <c r="BD271" i="2"/>
  <c r="BE271" i="2"/>
  <c r="BD263" i="2"/>
  <c r="BE263" i="2"/>
  <c r="BD112" i="2"/>
  <c r="BE112" i="2"/>
  <c r="BD266" i="2"/>
  <c r="BE266" i="2"/>
  <c r="BD253" i="2"/>
  <c r="BE253" i="2"/>
  <c r="BD251" i="2"/>
  <c r="BE251" i="2"/>
  <c r="BD284" i="2"/>
  <c r="BE284" i="2"/>
  <c r="BD119" i="2"/>
  <c r="BE119" i="2"/>
  <c r="BD247" i="2"/>
  <c r="BE247" i="2"/>
  <c r="BD120" i="2"/>
  <c r="BE120" i="2"/>
  <c r="BD282" i="2"/>
  <c r="BE282" i="2"/>
  <c r="BD79" i="2"/>
  <c r="BE79" i="2"/>
  <c r="BD281" i="2"/>
  <c r="BE281" i="2"/>
  <c r="BD169" i="2"/>
  <c r="BE169" i="2"/>
  <c r="BD90" i="2"/>
  <c r="BE90" i="2"/>
  <c r="BD81" i="2"/>
  <c r="BE81" i="2"/>
  <c r="BD257" i="2"/>
  <c r="BE257" i="2"/>
  <c r="BD104" i="2"/>
  <c r="BE104" i="2"/>
  <c r="BD166" i="2"/>
  <c r="BE166" i="2"/>
  <c r="BD203" i="2"/>
  <c r="BE203" i="2"/>
  <c r="BD202" i="2"/>
  <c r="BE202" i="2"/>
  <c r="BD191" i="2"/>
  <c r="BE191" i="2"/>
  <c r="BD206" i="2"/>
  <c r="BE206" i="2"/>
  <c r="BD211" i="2"/>
  <c r="BE211" i="2"/>
  <c r="BD91" i="2"/>
  <c r="BE91" i="2"/>
  <c r="BD212" i="2"/>
  <c r="BE212" i="2"/>
  <c r="BD159" i="2"/>
  <c r="BE159" i="2"/>
  <c r="BD224" i="2"/>
  <c r="BE224" i="2"/>
  <c r="BD165" i="2"/>
  <c r="BE165" i="2"/>
  <c r="BD182" i="2"/>
  <c r="BE182" i="2"/>
  <c r="BD132" i="2"/>
  <c r="BE132" i="2"/>
  <c r="BD230" i="2"/>
  <c r="BE230" i="2"/>
  <c r="BD242" i="2"/>
  <c r="BE242" i="2"/>
  <c r="BD118" i="2"/>
  <c r="BE118" i="2"/>
  <c r="BD94" i="2"/>
  <c r="BE94" i="2"/>
  <c r="BD154" i="2"/>
  <c r="BE154" i="2"/>
  <c r="BD105" i="2"/>
  <c r="BE105" i="2"/>
  <c r="BD63" i="2"/>
  <c r="BE63" i="2"/>
  <c r="BD195" i="2"/>
  <c r="BE195" i="2"/>
  <c r="BD227" i="2"/>
  <c r="BE227" i="2"/>
  <c r="BD181" i="2"/>
  <c r="BE181" i="2"/>
  <c r="BD259" i="2"/>
  <c r="BE259" i="2"/>
  <c r="BD233" i="2"/>
  <c r="BE233" i="2"/>
  <c r="BD106" i="2"/>
  <c r="BE106" i="2"/>
  <c r="BD245" i="2"/>
  <c r="BE245" i="2"/>
  <c r="BD128" i="2"/>
  <c r="BE128" i="2"/>
  <c r="BD214" i="2"/>
  <c r="BE214" i="2"/>
  <c r="BD160" i="2"/>
  <c r="BE160" i="2"/>
  <c r="BD121" i="2"/>
  <c r="BE121" i="2"/>
  <c r="BD127" i="2"/>
  <c r="BE127" i="2"/>
  <c r="BD135" i="2"/>
  <c r="BE135" i="2"/>
  <c r="BD103" i="2"/>
  <c r="BE103" i="2"/>
  <c r="BD219" i="2"/>
  <c r="BE219" i="2"/>
  <c r="BD99" i="2"/>
  <c r="BE99" i="2"/>
  <c r="BD187" i="2"/>
  <c r="BE187" i="2"/>
  <c r="BD108" i="2"/>
  <c r="BE108" i="2"/>
  <c r="BD158" i="2"/>
  <c r="BE158" i="2"/>
  <c r="BD238" i="2"/>
  <c r="BE238" i="2"/>
  <c r="BD278" i="2"/>
  <c r="BE278" i="2"/>
  <c r="BD229" i="2"/>
  <c r="BE229" i="2"/>
  <c r="BD144" i="2"/>
  <c r="BE144" i="2"/>
  <c r="BD173" i="2"/>
  <c r="BE173" i="2"/>
  <c r="BD153" i="2"/>
  <c r="BE153" i="2"/>
  <c r="BD273" i="2"/>
  <c r="BE273" i="2"/>
  <c r="BD87" i="2"/>
  <c r="BE87" i="2"/>
  <c r="BD150" i="2"/>
  <c r="BE150" i="2"/>
  <c r="BD243" i="2"/>
  <c r="BE243" i="2"/>
  <c r="BD110" i="2"/>
  <c r="BE110" i="2"/>
  <c r="BD157" i="2"/>
  <c r="BE157" i="2"/>
  <c r="BD241" i="2"/>
  <c r="BE241" i="2"/>
  <c r="BD142" i="2"/>
  <c r="BE142" i="2"/>
  <c r="BD148" i="2"/>
  <c r="BE148" i="2"/>
  <c r="BD222" i="2"/>
  <c r="BE222" i="2"/>
  <c r="BD236" i="2"/>
  <c r="BE236" i="2"/>
  <c r="BD225" i="2"/>
  <c r="BE225" i="2"/>
  <c r="BD274" i="2"/>
  <c r="BE274" i="2"/>
  <c r="BD246" i="2"/>
  <c r="BE246" i="2"/>
  <c r="BD178" i="2"/>
  <c r="BE178" i="2"/>
  <c r="BD93" i="2"/>
  <c r="BE93" i="2"/>
  <c r="BD176" i="2"/>
  <c r="BE176" i="2"/>
  <c r="BD123" i="2"/>
  <c r="BE123" i="2"/>
  <c r="BD226" i="2"/>
  <c r="BE226" i="2"/>
  <c r="BD185" i="2"/>
  <c r="BE185" i="2"/>
  <c r="BD115" i="2"/>
  <c r="BE115" i="2"/>
  <c r="BD268" i="2"/>
  <c r="BE268" i="2"/>
  <c r="BD149" i="2"/>
  <c r="BE149" i="2"/>
  <c r="BD138" i="2"/>
  <c r="BE138" i="2"/>
  <c r="BD102" i="2"/>
  <c r="BE102" i="2"/>
  <c r="BD217" i="2"/>
  <c r="BE217" i="2"/>
  <c r="BD186" i="2"/>
  <c r="BE186" i="2"/>
  <c r="BD88" i="2"/>
  <c r="BE88" i="2"/>
  <c r="BD213" i="2"/>
  <c r="BE213" i="2"/>
  <c r="BD197" i="2"/>
  <c r="BE197" i="2"/>
  <c r="BD192" i="2"/>
  <c r="BE192" i="2"/>
  <c r="BD205" i="2"/>
  <c r="BE205" i="2"/>
  <c r="BD183" i="2"/>
  <c r="BE183" i="2"/>
  <c r="BD122" i="2"/>
  <c r="BE122" i="2"/>
  <c r="BD260" i="2"/>
  <c r="BE260" i="2"/>
  <c r="BD156" i="2"/>
  <c r="BE156" i="2"/>
  <c r="BD280" i="2"/>
  <c r="BE280" i="2"/>
  <c r="BD136" i="2"/>
  <c r="BE136" i="2"/>
  <c r="BD109" i="2"/>
  <c r="BE109" i="2"/>
  <c r="BD265" i="2"/>
  <c r="BE265" i="2"/>
  <c r="BD198" i="2"/>
  <c r="BE198" i="2"/>
  <c r="BD107" i="2"/>
  <c r="BE107" i="2"/>
  <c r="BD168" i="2"/>
  <c r="BE168" i="2"/>
  <c r="BD130" i="2"/>
  <c r="BE130" i="2"/>
  <c r="BD143" i="2"/>
  <c r="BE143" i="2"/>
  <c r="BD155" i="2"/>
  <c r="BE155" i="2"/>
  <c r="BD223" i="2"/>
  <c r="BE223" i="2"/>
  <c r="BD264" i="2"/>
  <c r="BE264" i="2"/>
  <c r="BD89" i="2"/>
  <c r="BE89" i="2"/>
  <c r="BD207" i="2"/>
  <c r="BE207" i="2"/>
  <c r="BD82" i="2"/>
  <c r="BE82" i="2"/>
  <c r="BD114" i="2"/>
  <c r="BE114" i="2"/>
  <c r="BD125" i="2"/>
  <c r="BE125" i="2"/>
  <c r="BD111" i="2"/>
  <c r="BE111" i="2"/>
  <c r="BD256" i="2"/>
  <c r="BE256" i="2"/>
  <c r="BD170" i="2"/>
  <c r="BE170" i="2"/>
  <c r="BD131" i="2"/>
  <c r="BE131" i="2"/>
  <c r="BD164" i="2"/>
  <c r="BE164" i="2"/>
  <c r="BD249" i="2"/>
  <c r="BE249" i="2"/>
  <c r="BD272" i="2"/>
  <c r="BE272" i="2"/>
  <c r="BD275" i="2"/>
  <c r="BE275" i="2"/>
  <c r="BD262" i="2"/>
  <c r="BE262" i="2"/>
  <c r="BD261" i="2"/>
  <c r="BE261" i="2"/>
  <c r="BD248" i="2"/>
  <c r="BE248" i="2"/>
  <c r="BD231" i="2"/>
  <c r="BE231" i="2"/>
  <c r="AL21" i="2"/>
  <c r="AP21" i="2"/>
  <c r="BH45" i="2"/>
  <c r="BK45" i="2"/>
  <c r="AX21" i="2"/>
  <c r="BJ45" i="2"/>
  <c r="AW21" i="2"/>
  <c r="BI45" i="2"/>
  <c r="AV21" i="2"/>
  <c r="AU21" i="2"/>
  <c r="T343" i="3"/>
  <c r="T342" i="3"/>
  <c r="T341" i="3"/>
  <c r="T340" i="3"/>
  <c r="T339" i="3"/>
  <c r="T338" i="3"/>
  <c r="T337" i="3"/>
  <c r="T336" i="3"/>
  <c r="T335" i="3"/>
  <c r="T334" i="3"/>
  <c r="T333" i="3"/>
  <c r="T332" i="3"/>
  <c r="T331" i="3"/>
  <c r="T330" i="3"/>
  <c r="T329" i="3"/>
  <c r="T328" i="3"/>
  <c r="T327" i="3"/>
  <c r="T326" i="3"/>
  <c r="T325" i="3"/>
  <c r="T324" i="3"/>
  <c r="T323" i="3"/>
  <c r="T322" i="3"/>
  <c r="T321" i="3"/>
  <c r="T320" i="3"/>
  <c r="T319" i="3"/>
  <c r="T318" i="3"/>
  <c r="T317" i="3"/>
  <c r="T316" i="3"/>
  <c r="T315" i="3"/>
  <c r="T314" i="3"/>
  <c r="T313" i="3"/>
  <c r="T312" i="3"/>
  <c r="T311" i="3"/>
  <c r="T310" i="3"/>
  <c r="T309" i="3"/>
  <c r="T308" i="3"/>
  <c r="T307" i="3"/>
  <c r="T306" i="3"/>
  <c r="T305" i="3"/>
  <c r="T304" i="3"/>
  <c r="T303" i="3"/>
  <c r="T302" i="3"/>
  <c r="T301" i="3"/>
  <c r="T300" i="3"/>
  <c r="T299" i="3"/>
  <c r="T298" i="3"/>
  <c r="T297" i="3"/>
  <c r="T296" i="3"/>
  <c r="T295" i="3"/>
  <c r="T294" i="3"/>
  <c r="T293" i="3"/>
  <c r="T292" i="3"/>
  <c r="T291" i="3"/>
  <c r="T290" i="3"/>
  <c r="T289" i="3"/>
  <c r="T288" i="3"/>
  <c r="T287" i="3"/>
  <c r="T286" i="3"/>
  <c r="T285" i="3"/>
  <c r="T284" i="3"/>
  <c r="T283" i="3"/>
  <c r="T282" i="3"/>
  <c r="T281" i="3"/>
  <c r="T280" i="3"/>
  <c r="T279" i="3"/>
  <c r="T278" i="3"/>
  <c r="T277" i="3"/>
  <c r="T276" i="3"/>
  <c r="T275" i="3"/>
  <c r="T274" i="3"/>
  <c r="T273" i="3"/>
  <c r="T272" i="3"/>
  <c r="T271" i="3"/>
  <c r="T270" i="3"/>
  <c r="T269" i="3"/>
  <c r="T268" i="3"/>
  <c r="T266" i="3"/>
  <c r="T265" i="3"/>
  <c r="T264" i="3"/>
  <c r="T263" i="3"/>
  <c r="T262" i="3"/>
  <c r="T261" i="3"/>
  <c r="T260" i="3"/>
  <c r="T259" i="3"/>
  <c r="T258" i="3"/>
  <c r="T257" i="3"/>
  <c r="T256" i="3"/>
  <c r="T255" i="3"/>
  <c r="T254" i="3"/>
  <c r="T253" i="3"/>
  <c r="T252" i="3"/>
  <c r="T251" i="3"/>
  <c r="T250" i="3"/>
  <c r="T267" i="3"/>
  <c r="B7" i="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PUBBUS000</author>
  </authors>
  <commentList>
    <comment ref="AC42" authorId="0" shapeId="0" xr:uid="{00000000-0006-0000-0100-000001000000}">
      <text>
        <r>
          <rPr>
            <sz val="18"/>
            <color indexed="81"/>
            <rFont val="Tahoma"/>
            <family val="2"/>
          </rPr>
          <t xml:space="preserve">Shape of NGL and Gas type curves meant that production for the first 11 months of those two type curves had to be added cell by cell, rounded to the nearest month.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Lab User</author>
  </authors>
  <commentList>
    <comment ref="N14" authorId="0" shapeId="0" xr:uid="{00000000-0006-0000-0300-000001000000}">
      <text>
        <r>
          <rPr>
            <b/>
            <sz val="9"/>
            <color indexed="81"/>
            <rFont val="Tahoma"/>
            <family val="2"/>
          </rPr>
          <t xml:space="preserve">Using last 7 quarters as we are assuming that the well is profitable and therefore Tc&gt;0
</t>
        </r>
      </text>
    </comment>
  </commentList>
</comments>
</file>

<file path=xl/sharedStrings.xml><?xml version="1.0" encoding="utf-8"?>
<sst xmlns="http://schemas.openxmlformats.org/spreadsheetml/2006/main" count="1704" uniqueCount="971">
  <si>
    <t>Net Asset Value: Yangarra Resources (TSX:YGR) Cardium Well</t>
  </si>
  <si>
    <t>1M</t>
  </si>
  <si>
    <t>CLH9 Comdty</t>
  </si>
  <si>
    <t>03/2019</t>
  </si>
  <si>
    <t>2M</t>
  </si>
  <si>
    <t>CLJ9 Comdty</t>
  </si>
  <si>
    <t>04/2019</t>
  </si>
  <si>
    <t>3M</t>
  </si>
  <si>
    <t>CLK9 Comdty</t>
  </si>
  <si>
    <t>05/2019</t>
  </si>
  <si>
    <t>4M</t>
  </si>
  <si>
    <t>CLM9 Comdty</t>
  </si>
  <si>
    <t>06/2019</t>
  </si>
  <si>
    <t>5M</t>
  </si>
  <si>
    <t>CLN9 Comdty</t>
  </si>
  <si>
    <t>07/2019</t>
  </si>
  <si>
    <t>6M</t>
  </si>
  <si>
    <t>CLQ9 Comdty</t>
  </si>
  <si>
    <t>08/2019</t>
  </si>
  <si>
    <t>7M</t>
  </si>
  <si>
    <t>CLU9 Comdty</t>
  </si>
  <si>
    <t>09/2019</t>
  </si>
  <si>
    <t>8M</t>
  </si>
  <si>
    <t>CLV9 Comdty</t>
  </si>
  <si>
    <t>10/2019</t>
  </si>
  <si>
    <t>9M</t>
  </si>
  <si>
    <t>CLX9 Comdty</t>
  </si>
  <si>
    <t>11/2019</t>
  </si>
  <si>
    <t>10M</t>
  </si>
  <si>
    <t>CLZ9 Comdty</t>
  </si>
  <si>
    <t>12/2019</t>
  </si>
  <si>
    <t>11M</t>
  </si>
  <si>
    <t>CLF0 Comdty</t>
  </si>
  <si>
    <t>01/2020</t>
  </si>
  <si>
    <t>CLG0 Comdty</t>
  </si>
  <si>
    <t>02/2020</t>
  </si>
  <si>
    <t>13M</t>
  </si>
  <si>
    <t>CLH0 Comdty</t>
  </si>
  <si>
    <t>03/2020</t>
  </si>
  <si>
    <t>14M</t>
  </si>
  <si>
    <t>CLJ0 Comdty</t>
  </si>
  <si>
    <t>04/2020</t>
  </si>
  <si>
    <t>15M</t>
  </si>
  <si>
    <t>CLK0 Comdty</t>
  </si>
  <si>
    <t>05/2020</t>
  </si>
  <si>
    <t>16M</t>
  </si>
  <si>
    <t>CLM0 Comdty</t>
  </si>
  <si>
    <t>06/2020</t>
  </si>
  <si>
    <t>17M</t>
  </si>
  <si>
    <t>CLN0 Comdty</t>
  </si>
  <si>
    <t>07/2020</t>
  </si>
  <si>
    <t>18M</t>
  </si>
  <si>
    <t>CLQ0 Comdty</t>
  </si>
  <si>
    <t>08/2020</t>
  </si>
  <si>
    <t>19M</t>
  </si>
  <si>
    <t>CLU0 Comdty</t>
  </si>
  <si>
    <t>09/2020</t>
  </si>
  <si>
    <t>20M</t>
  </si>
  <si>
    <t>CLV0 Comdty</t>
  </si>
  <si>
    <t>10/2020</t>
  </si>
  <si>
    <t>21M</t>
  </si>
  <si>
    <t>CLX0 Comdty</t>
  </si>
  <si>
    <t>11/2020</t>
  </si>
  <si>
    <t>22M</t>
  </si>
  <si>
    <t>CLZ0 Comdty</t>
  </si>
  <si>
    <t>12/2020</t>
  </si>
  <si>
    <t>23M</t>
  </si>
  <si>
    <t>CLF1 Comdty</t>
  </si>
  <si>
    <t>01/2021</t>
  </si>
  <si>
    <t>CLG1 Comdty</t>
  </si>
  <si>
    <t>02/2021</t>
  </si>
  <si>
    <t>25M</t>
  </si>
  <si>
    <t>CLH1 Comdty</t>
  </si>
  <si>
    <t>03/2021</t>
  </si>
  <si>
    <t>26M</t>
  </si>
  <si>
    <t>CLJ1 Comdty</t>
  </si>
  <si>
    <t>04/2021</t>
  </si>
  <si>
    <t>27M</t>
  </si>
  <si>
    <t>CLK1 Comdty</t>
  </si>
  <si>
    <t>05/2021</t>
  </si>
  <si>
    <t>28M</t>
  </si>
  <si>
    <t>CLM1 Comdty</t>
  </si>
  <si>
    <t>06/2021</t>
  </si>
  <si>
    <t>29M</t>
  </si>
  <si>
    <t>CLN1 Comdty</t>
  </si>
  <si>
    <t>07/2021</t>
  </si>
  <si>
    <t>30M</t>
  </si>
  <si>
    <t>CLQ1 Comdty</t>
  </si>
  <si>
    <t>08/2021</t>
  </si>
  <si>
    <t>31M</t>
  </si>
  <si>
    <t>CLU1 Comdty</t>
  </si>
  <si>
    <t>09/2021</t>
  </si>
  <si>
    <t>32M</t>
  </si>
  <si>
    <t>CLV1 Comdty</t>
  </si>
  <si>
    <t>10/2021</t>
  </si>
  <si>
    <t>33M</t>
  </si>
  <si>
    <t>CLX1 Comdty</t>
  </si>
  <si>
    <t>11/2021</t>
  </si>
  <si>
    <t>34M</t>
  </si>
  <si>
    <t>CLZ1 Comdty</t>
  </si>
  <si>
    <t>12/2021</t>
  </si>
  <si>
    <t>35M</t>
  </si>
  <si>
    <t>CLF2 Comdty</t>
  </si>
  <si>
    <t>01/2022</t>
  </si>
  <si>
    <t>CLG2 Comdty</t>
  </si>
  <si>
    <t>02/2022</t>
  </si>
  <si>
    <t>37M</t>
  </si>
  <si>
    <t>CLH2 Comdty</t>
  </si>
  <si>
    <t>03/2022</t>
  </si>
  <si>
    <t>38M</t>
  </si>
  <si>
    <t>CLJ2 Comdty</t>
  </si>
  <si>
    <t>04/2022</t>
  </si>
  <si>
    <t>39M</t>
  </si>
  <si>
    <t>CLK2 Comdty</t>
  </si>
  <si>
    <t>05/2022</t>
  </si>
  <si>
    <t>40M</t>
  </si>
  <si>
    <t>CLM2 Comdty</t>
  </si>
  <si>
    <t>06/2022</t>
  </si>
  <si>
    <t>41M</t>
  </si>
  <si>
    <t>CLN2 Comdty</t>
  </si>
  <si>
    <t>07/2022</t>
  </si>
  <si>
    <t>42M</t>
  </si>
  <si>
    <t>CLQ2 Comdty</t>
  </si>
  <si>
    <t>08/2022</t>
  </si>
  <si>
    <t>43M</t>
  </si>
  <si>
    <t>CLU2 Comdty</t>
  </si>
  <si>
    <t>09/2022</t>
  </si>
  <si>
    <t>44M</t>
  </si>
  <si>
    <t>CLV2 Comdty</t>
  </si>
  <si>
    <t>10/2022</t>
  </si>
  <si>
    <t>45M</t>
  </si>
  <si>
    <t>CLX2 Comdty</t>
  </si>
  <si>
    <t>11/2022</t>
  </si>
  <si>
    <t>46M</t>
  </si>
  <si>
    <t>CLZ2 Comdty</t>
  </si>
  <si>
    <t>12/2022</t>
  </si>
  <si>
    <t>47M</t>
  </si>
  <si>
    <t>CLF3 Comdty</t>
  </si>
  <si>
    <t>01/2023</t>
  </si>
  <si>
    <t>CLG3 Comdty</t>
  </si>
  <si>
    <t>02/2023</t>
  </si>
  <si>
    <t>49M</t>
  </si>
  <si>
    <t>CLH3 Comdty</t>
  </si>
  <si>
    <t>03/2023</t>
  </si>
  <si>
    <t>50M</t>
  </si>
  <si>
    <t>CLJ3 Comdty</t>
  </si>
  <si>
    <t>04/2023</t>
  </si>
  <si>
    <t>51M</t>
  </si>
  <si>
    <t>CLK3 Comdty</t>
  </si>
  <si>
    <t>05/2023</t>
  </si>
  <si>
    <t>52M</t>
  </si>
  <si>
    <t>CLM3 Comdty</t>
  </si>
  <si>
    <t>06/2023</t>
  </si>
  <si>
    <t>53M</t>
  </si>
  <si>
    <t>CLN3 Comdty</t>
  </si>
  <si>
    <t>07/2023</t>
  </si>
  <si>
    <t>54M</t>
  </si>
  <si>
    <t>CLQ3 Comdty</t>
  </si>
  <si>
    <t>08/2023</t>
  </si>
  <si>
    <t>55M</t>
  </si>
  <si>
    <t>CLU3 Comdty</t>
  </si>
  <si>
    <t>09/2023</t>
  </si>
  <si>
    <t>56M</t>
  </si>
  <si>
    <t>CLV3 Comdty</t>
  </si>
  <si>
    <t>10/2023</t>
  </si>
  <si>
    <t>57M</t>
  </si>
  <si>
    <t>CLX3 Comdty</t>
  </si>
  <si>
    <t>11/2023</t>
  </si>
  <si>
    <t>58M</t>
  </si>
  <si>
    <t>CLZ3 Comdty</t>
  </si>
  <si>
    <t>12/2023</t>
  </si>
  <si>
    <t>59M</t>
  </si>
  <si>
    <t>CLF4 Comdty</t>
  </si>
  <si>
    <t>01/2024</t>
  </si>
  <si>
    <t>CLG4 Comdty</t>
  </si>
  <si>
    <t>02/2024</t>
  </si>
  <si>
    <t>61M</t>
  </si>
  <si>
    <t>CLH4 Comdty</t>
  </si>
  <si>
    <t>03/2024</t>
  </si>
  <si>
    <t>62M</t>
  </si>
  <si>
    <t>CLJ4 Comdty</t>
  </si>
  <si>
    <t>04/2024</t>
  </si>
  <si>
    <t>63M</t>
  </si>
  <si>
    <t>CLK4 Comdty</t>
  </si>
  <si>
    <t>05/2024</t>
  </si>
  <si>
    <t>64M</t>
  </si>
  <si>
    <t>CLM4 Comdty</t>
  </si>
  <si>
    <t>06/2024</t>
  </si>
  <si>
    <t>65M</t>
  </si>
  <si>
    <t>CLN4 Comdty</t>
  </si>
  <si>
    <t>07/2024</t>
  </si>
  <si>
    <t>66M</t>
  </si>
  <si>
    <t>CLQ4 Comdty</t>
  </si>
  <si>
    <t>08/2024</t>
  </si>
  <si>
    <t>67M</t>
  </si>
  <si>
    <t>CLU4 Comdty</t>
  </si>
  <si>
    <t>09/2024</t>
  </si>
  <si>
    <t>68M</t>
  </si>
  <si>
    <t>CLV4 Comdty</t>
  </si>
  <si>
    <t>10/2024</t>
  </si>
  <si>
    <t>69M</t>
  </si>
  <si>
    <t>CLX4 Comdty</t>
  </si>
  <si>
    <t>11/2024</t>
  </si>
  <si>
    <t>70M</t>
  </si>
  <si>
    <t>CLZ4 Comdty</t>
  </si>
  <si>
    <t>12/2024</t>
  </si>
  <si>
    <t>71M</t>
  </si>
  <si>
    <t>CLF5 Comdty</t>
  </si>
  <si>
    <t>01/2025</t>
  </si>
  <si>
    <t>CLG5 Comdty</t>
  </si>
  <si>
    <t>02/2025</t>
  </si>
  <si>
    <t>73M</t>
  </si>
  <si>
    <t>CLH5 Comdty</t>
  </si>
  <si>
    <t>03/2025</t>
  </si>
  <si>
    <t>74M</t>
  </si>
  <si>
    <t>CLJ5 Comdty</t>
  </si>
  <si>
    <t>04/2025</t>
  </si>
  <si>
    <t>75M</t>
  </si>
  <si>
    <t>CLK5 Comdty</t>
  </si>
  <si>
    <t>05/2025</t>
  </si>
  <si>
    <t>76M</t>
  </si>
  <si>
    <t>CLM5 Comdty</t>
  </si>
  <si>
    <t>06/2025</t>
  </si>
  <si>
    <t>77M</t>
  </si>
  <si>
    <t>CLN5 Comdty</t>
  </si>
  <si>
    <t>07/2025</t>
  </si>
  <si>
    <t>78M</t>
  </si>
  <si>
    <t>CLQ5 Comdty</t>
  </si>
  <si>
    <t>08/2025</t>
  </si>
  <si>
    <t>79M</t>
  </si>
  <si>
    <t>CLU5 Comdty</t>
  </si>
  <si>
    <t>09/2025</t>
  </si>
  <si>
    <t>80M</t>
  </si>
  <si>
    <t>CLV5 Comdty</t>
  </si>
  <si>
    <t>10/2025</t>
  </si>
  <si>
    <t>81M</t>
  </si>
  <si>
    <t>CLX5 Comdty</t>
  </si>
  <si>
    <t>11/2025</t>
  </si>
  <si>
    <t>82M</t>
  </si>
  <si>
    <t>CLZ5 Comdty</t>
  </si>
  <si>
    <t>12/2025</t>
  </si>
  <si>
    <t>83M</t>
  </si>
  <si>
    <t>CLF6 Comdty</t>
  </si>
  <si>
    <t>01/2026</t>
  </si>
  <si>
    <t>CLG6 Comdty</t>
  </si>
  <si>
    <t>02/2026</t>
  </si>
  <si>
    <t>85M</t>
  </si>
  <si>
    <t>CLH6 Comdty</t>
  </si>
  <si>
    <t>03/2026</t>
  </si>
  <si>
    <t>86M</t>
  </si>
  <si>
    <t>CLJ6 Comdty</t>
  </si>
  <si>
    <t>04/2026</t>
  </si>
  <si>
    <t>87M</t>
  </si>
  <si>
    <t>CLK6 Comdty</t>
  </si>
  <si>
    <t>05/2026</t>
  </si>
  <si>
    <t>88M</t>
  </si>
  <si>
    <t>CLM6 Comdty</t>
  </si>
  <si>
    <t>06/2026</t>
  </si>
  <si>
    <t>89M</t>
  </si>
  <si>
    <t>CLN6 Comdty</t>
  </si>
  <si>
    <t>07/2026</t>
  </si>
  <si>
    <t>90M</t>
  </si>
  <si>
    <t>CLQ6 Comdty</t>
  </si>
  <si>
    <t>08/2026</t>
  </si>
  <si>
    <t>91M</t>
  </si>
  <si>
    <t>CLU6 Comdty</t>
  </si>
  <si>
    <t>09/2026</t>
  </si>
  <si>
    <t>92M</t>
  </si>
  <si>
    <t>CLV6 Comdty</t>
  </si>
  <si>
    <t>10/2026</t>
  </si>
  <si>
    <t>93M</t>
  </si>
  <si>
    <t>CLX6 Comdty</t>
  </si>
  <si>
    <t>11/2026</t>
  </si>
  <si>
    <t>94M</t>
  </si>
  <si>
    <t>CLZ6 Comdty</t>
  </si>
  <si>
    <t>12/2026</t>
  </si>
  <si>
    <t>95M</t>
  </si>
  <si>
    <t>CLF7 Comdty</t>
  </si>
  <si>
    <t>01/2027</t>
  </si>
  <si>
    <t>CLG7 Comdty</t>
  </si>
  <si>
    <t>02/2027</t>
  </si>
  <si>
    <t>97M</t>
  </si>
  <si>
    <t>CLH7 Comdty</t>
  </si>
  <si>
    <t>03/2027</t>
  </si>
  <si>
    <t>98M</t>
  </si>
  <si>
    <t>CLJ7 Comdty</t>
  </si>
  <si>
    <t>04/2027</t>
  </si>
  <si>
    <t>99M</t>
  </si>
  <si>
    <t>CLK7 Comdty</t>
  </si>
  <si>
    <t>05/2027</t>
  </si>
  <si>
    <t>100M</t>
  </si>
  <si>
    <t>CLM7 Comdty</t>
  </si>
  <si>
    <t>06/2027</t>
  </si>
  <si>
    <t>101M</t>
  </si>
  <si>
    <t>CLN7 Comdty</t>
  </si>
  <si>
    <t>07/2027</t>
  </si>
  <si>
    <t>102M</t>
  </si>
  <si>
    <t>CLQ7 Comdty</t>
  </si>
  <si>
    <t>08/2027</t>
  </si>
  <si>
    <t>103M</t>
  </si>
  <si>
    <t>CLU7 Comdty</t>
  </si>
  <si>
    <t>09/2027</t>
  </si>
  <si>
    <t>104M</t>
  </si>
  <si>
    <t>CLV7 Comdty</t>
  </si>
  <si>
    <t>10/2027</t>
  </si>
  <si>
    <t>105M</t>
  </si>
  <si>
    <t>CLX7 Comdty</t>
  </si>
  <si>
    <t>11/2027</t>
  </si>
  <si>
    <t>106M</t>
  </si>
  <si>
    <t>CLZ7 Comdty</t>
  </si>
  <si>
    <t>12/2027</t>
  </si>
  <si>
    <t>107M</t>
  </si>
  <si>
    <t>CLF8 Comdty</t>
  </si>
  <si>
    <t>01/2028</t>
  </si>
  <si>
    <t>CLG8 Comdty</t>
  </si>
  <si>
    <t>02/2028</t>
  </si>
  <si>
    <t>NGH19 Comdty</t>
  </si>
  <si>
    <t>NGJ19 Comdty</t>
  </si>
  <si>
    <t>NGK19 Comdty</t>
  </si>
  <si>
    <t>NGM19 Comdty</t>
  </si>
  <si>
    <t>NGN19 Comdty</t>
  </si>
  <si>
    <t>NGQ19 Comdty</t>
  </si>
  <si>
    <t>NGU19 Comdty</t>
  </si>
  <si>
    <t>NGV19 Comdty</t>
  </si>
  <si>
    <t>NGX19 Comdty</t>
  </si>
  <si>
    <t>NGZ19 Comdty</t>
  </si>
  <si>
    <t>NGF20 Comdty</t>
  </si>
  <si>
    <t>NGG20 Comdty</t>
  </si>
  <si>
    <t>NGH20 Comdty</t>
  </si>
  <si>
    <t>NGJ20 Comdty</t>
  </si>
  <si>
    <t>NGK20 Comdty</t>
  </si>
  <si>
    <t>NGM20 Comdty</t>
  </si>
  <si>
    <t>NGN20 Comdty</t>
  </si>
  <si>
    <t>NGQ20 Comdty</t>
  </si>
  <si>
    <t>NGU20 Comdty</t>
  </si>
  <si>
    <t>NGV20 Comdty</t>
  </si>
  <si>
    <t>NGX20 Comdty</t>
  </si>
  <si>
    <t>NGZ20 Comdty</t>
  </si>
  <si>
    <t>NGF21 Comdty</t>
  </si>
  <si>
    <t>NGG21 Comdty</t>
  </si>
  <si>
    <t>NGH21 Comdty</t>
  </si>
  <si>
    <t>NGJ21 Comdty</t>
  </si>
  <si>
    <t>NGK21 Comdty</t>
  </si>
  <si>
    <t>NGM21 Comdty</t>
  </si>
  <si>
    <t>NGN21 Comdty</t>
  </si>
  <si>
    <t>NGQ21 Comdty</t>
  </si>
  <si>
    <t>NGU21 Comdty</t>
  </si>
  <si>
    <t>NGV21 Comdty</t>
  </si>
  <si>
    <t>NGX21 Comdty</t>
  </si>
  <si>
    <t>NGZ21 Comdty</t>
  </si>
  <si>
    <t>NGF22 Comdty</t>
  </si>
  <si>
    <t>NGG22 Comdty</t>
  </si>
  <si>
    <t>NGH22 Comdty</t>
  </si>
  <si>
    <t>NGJ22 Comdty</t>
  </si>
  <si>
    <t>NGK22 Comdty</t>
  </si>
  <si>
    <t>NGM22 Comdty</t>
  </si>
  <si>
    <t>NGN22 Comdty</t>
  </si>
  <si>
    <t>NGQ22 Comdty</t>
  </si>
  <si>
    <t>NGU22 Comdty</t>
  </si>
  <si>
    <t>NGV22 Comdty</t>
  </si>
  <si>
    <t>NGX22 Comdty</t>
  </si>
  <si>
    <t>NGZ22 Comdty</t>
  </si>
  <si>
    <t>NGF23 Comdty</t>
  </si>
  <si>
    <t>NGG23 Comdty</t>
  </si>
  <si>
    <t>NGH23 Comdty</t>
  </si>
  <si>
    <t>NGJ23 Comdty</t>
  </si>
  <si>
    <t>NGK23 Comdty</t>
  </si>
  <si>
    <t>NGM23 Comdty</t>
  </si>
  <si>
    <t>NGN23 Comdty</t>
  </si>
  <si>
    <t>NGQ23 Comdty</t>
  </si>
  <si>
    <t>NGU23 Comdty</t>
  </si>
  <si>
    <t>NGV23 Comdty</t>
  </si>
  <si>
    <t>NGX23 Comdty</t>
  </si>
  <si>
    <t>NGZ23 Comdty</t>
  </si>
  <si>
    <t>NGF24 Comdty</t>
  </si>
  <si>
    <t>NGG24 Comdty</t>
  </si>
  <si>
    <t>NGH24 Comdty</t>
  </si>
  <si>
    <t>NGJ24 Comdty</t>
  </si>
  <si>
    <t>NGK24 Comdty</t>
  </si>
  <si>
    <t>NGM24 Comdty</t>
  </si>
  <si>
    <t>NGN24 Comdty</t>
  </si>
  <si>
    <t>NGQ24 Comdty</t>
  </si>
  <si>
    <t>NGU24 Comdty</t>
  </si>
  <si>
    <t>NGV24 Comdty</t>
  </si>
  <si>
    <t>NGX24 Comdty</t>
  </si>
  <si>
    <t>NGZ24 Comdty</t>
  </si>
  <si>
    <t>NGF25 Comdty</t>
  </si>
  <si>
    <t>NGG25 Comdty</t>
  </si>
  <si>
    <t>NGH25 Comdty</t>
  </si>
  <si>
    <t>NGJ25 Comdty</t>
  </si>
  <si>
    <t>NGK25 Comdty</t>
  </si>
  <si>
    <t>NGM25 Comdty</t>
  </si>
  <si>
    <t>NGN25 Comdty</t>
  </si>
  <si>
    <t>NGQ25 Comdty</t>
  </si>
  <si>
    <t>NGU25 Comdty</t>
  </si>
  <si>
    <t>NGV25 Comdty</t>
  </si>
  <si>
    <t>NGX25 Comdty</t>
  </si>
  <si>
    <t>NGZ25 Comdty</t>
  </si>
  <si>
    <t>NGF26 Comdty</t>
  </si>
  <si>
    <t>NGG26 Comdty</t>
  </si>
  <si>
    <t>NGH26 Comdty</t>
  </si>
  <si>
    <t>NGJ26 Comdty</t>
  </si>
  <si>
    <t>NGK26 Comdty</t>
  </si>
  <si>
    <t>NGM26 Comdty</t>
  </si>
  <si>
    <t>NGN26 Comdty</t>
  </si>
  <si>
    <t>NGQ26 Comdty</t>
  </si>
  <si>
    <t>NGU26 Comdty</t>
  </si>
  <si>
    <t>NGV26 Comdty</t>
  </si>
  <si>
    <t>NGX26 Comdty</t>
  </si>
  <si>
    <t>NGZ26 Comdty</t>
  </si>
  <si>
    <t>NGF27 Comdty</t>
  </si>
  <si>
    <t>NGG27 Comdty</t>
  </si>
  <si>
    <t>NGH27 Comdty</t>
  </si>
  <si>
    <t>NGJ27 Comdty</t>
  </si>
  <si>
    <t>NGK27 Comdty</t>
  </si>
  <si>
    <t>NGM27 Comdty</t>
  </si>
  <si>
    <t>NGN27 Comdty</t>
  </si>
  <si>
    <t>NGQ27 Comdty</t>
  </si>
  <si>
    <t>NGU27 Comdty</t>
  </si>
  <si>
    <t>NGV27 Comdty</t>
  </si>
  <si>
    <t>NGX27 Comdty</t>
  </si>
  <si>
    <t>NGZ27 Comdty</t>
  </si>
  <si>
    <t>NGF28 Comdty</t>
  </si>
  <si>
    <t>NGG28 Comdty</t>
  </si>
  <si>
    <t>109M</t>
  </si>
  <si>
    <t>NGH28 Comdty</t>
  </si>
  <si>
    <t>03/2028</t>
  </si>
  <si>
    <t>110M</t>
  </si>
  <si>
    <t>NGJ28 Comdty</t>
  </si>
  <si>
    <t>04/2028</t>
  </si>
  <si>
    <t>111M</t>
  </si>
  <si>
    <t>NGK28 Comdty</t>
  </si>
  <si>
    <t>05/2028</t>
  </si>
  <si>
    <t>112M</t>
  </si>
  <si>
    <t>NGM28 Comdty</t>
  </si>
  <si>
    <t>06/2028</t>
  </si>
  <si>
    <t>113M</t>
  </si>
  <si>
    <t>NGN28 Comdty</t>
  </si>
  <si>
    <t>07/2028</t>
  </si>
  <si>
    <t>114M</t>
  </si>
  <si>
    <t>NGQ28 Comdty</t>
  </si>
  <si>
    <t>08/2028</t>
  </si>
  <si>
    <t>115M</t>
  </si>
  <si>
    <t>NGU28 Comdty</t>
  </si>
  <si>
    <t>09/2028</t>
  </si>
  <si>
    <t>116M</t>
  </si>
  <si>
    <t>NGV28 Comdty</t>
  </si>
  <si>
    <t>10/2028</t>
  </si>
  <si>
    <t>117M</t>
  </si>
  <si>
    <t>NGX28 Comdty</t>
  </si>
  <si>
    <t>11/2028</t>
  </si>
  <si>
    <t>118M</t>
  </si>
  <si>
    <t>NGZ28 Comdty</t>
  </si>
  <si>
    <t>12/2028</t>
  </si>
  <si>
    <t>119M</t>
  </si>
  <si>
    <t>NGF29 Comdty</t>
  </si>
  <si>
    <t>01/2029</t>
  </si>
  <si>
    <t>NGG29 Comdty</t>
  </si>
  <si>
    <t>02/2029</t>
  </si>
  <si>
    <t>121M</t>
  </si>
  <si>
    <t>NGH29 Comdty</t>
  </si>
  <si>
    <t>03/2029</t>
  </si>
  <si>
    <t>122M</t>
  </si>
  <si>
    <t>NGJ29 Comdty</t>
  </si>
  <si>
    <t>04/2029</t>
  </si>
  <si>
    <t>123M</t>
  </si>
  <si>
    <t>NGK29 Comdty</t>
  </si>
  <si>
    <t>05/2029</t>
  </si>
  <si>
    <t>124M</t>
  </si>
  <si>
    <t>NGM29 Comdty</t>
  </si>
  <si>
    <t>06/2029</t>
  </si>
  <si>
    <t>125M</t>
  </si>
  <si>
    <t>NGN29 Comdty</t>
  </si>
  <si>
    <t>07/2029</t>
  </si>
  <si>
    <t>126M</t>
  </si>
  <si>
    <t>NGQ29 Comdty</t>
  </si>
  <si>
    <t>08/2029</t>
  </si>
  <si>
    <t>127M</t>
  </si>
  <si>
    <t>NGU29 Comdty</t>
  </si>
  <si>
    <t>09/2029</t>
  </si>
  <si>
    <t>128M</t>
  </si>
  <si>
    <t>NGV29 Comdty</t>
  </si>
  <si>
    <t>10/2029</t>
  </si>
  <si>
    <t>129M</t>
  </si>
  <si>
    <t>NGX29 Comdty</t>
  </si>
  <si>
    <t>11/2029</t>
  </si>
  <si>
    <t>130M</t>
  </si>
  <si>
    <t>NGZ29 Comdty</t>
  </si>
  <si>
    <t>12/2029</t>
  </si>
  <si>
    <t>131M</t>
  </si>
  <si>
    <t>NGF30 Comdty</t>
  </si>
  <si>
    <t>01/2030</t>
  </si>
  <si>
    <t>NGG30 Comdty</t>
  </si>
  <si>
    <t>02/2030</t>
  </si>
  <si>
    <t>133M</t>
  </si>
  <si>
    <t>NGH30 Comdty</t>
  </si>
  <si>
    <t>03/2030</t>
  </si>
  <si>
    <t>134M</t>
  </si>
  <si>
    <t>NGJ30 Comdty</t>
  </si>
  <si>
    <t>04/2030</t>
  </si>
  <si>
    <t>135M</t>
  </si>
  <si>
    <t>NGK30 Comdty</t>
  </si>
  <si>
    <t>05/2030</t>
  </si>
  <si>
    <t>136M</t>
  </si>
  <si>
    <t>NGM30 Comdty</t>
  </si>
  <si>
    <t>06/2030</t>
  </si>
  <si>
    <t>137M</t>
  </si>
  <si>
    <t>NGN30 Comdty</t>
  </si>
  <si>
    <t>07/2030</t>
  </si>
  <si>
    <t>138M</t>
  </si>
  <si>
    <t>NGQ30 Comdty</t>
  </si>
  <si>
    <t>08/2030</t>
  </si>
  <si>
    <t>139M</t>
  </si>
  <si>
    <t>NGU30 Comdty</t>
  </si>
  <si>
    <t>09/2030</t>
  </si>
  <si>
    <t>140M</t>
  </si>
  <si>
    <t>NGV30 Comdty</t>
  </si>
  <si>
    <t>10/2030</t>
  </si>
  <si>
    <t>141M</t>
  </si>
  <si>
    <t>NGX30 Comdty</t>
  </si>
  <si>
    <t>11/2030</t>
  </si>
  <si>
    <t>142M</t>
  </si>
  <si>
    <t>NGZ30 Comdty</t>
  </si>
  <si>
    <t>12/2030</t>
  </si>
  <si>
    <t>143M</t>
  </si>
  <si>
    <t>NGF31 Comdty</t>
  </si>
  <si>
    <t>01/2031</t>
  </si>
  <si>
    <t>NGG31 Comdty</t>
  </si>
  <si>
    <t>02/2031</t>
  </si>
  <si>
    <t>145M</t>
  </si>
  <si>
    <t>NGH31 Comdty</t>
  </si>
  <si>
    <t>03/2031</t>
  </si>
  <si>
    <t>146M</t>
  </si>
  <si>
    <t>NGJ31 Comdty</t>
  </si>
  <si>
    <t>04/2031</t>
  </si>
  <si>
    <t>147M</t>
  </si>
  <si>
    <t>NGK31 Comdty</t>
  </si>
  <si>
    <t>05/2031</t>
  </si>
  <si>
    <t>148M</t>
  </si>
  <si>
    <t>NGM31 Comdty</t>
  </si>
  <si>
    <t>06/2031</t>
  </si>
  <si>
    <t>149M</t>
  </si>
  <si>
    <t>NGN31 Comdty</t>
  </si>
  <si>
    <t>07/2031</t>
  </si>
  <si>
    <t>150M</t>
  </si>
  <si>
    <t>NGQ31 Comdty</t>
  </si>
  <si>
    <t>08/2031</t>
  </si>
  <si>
    <t>151M</t>
  </si>
  <si>
    <t>NGU31 Comdty</t>
  </si>
  <si>
    <t>09/2031</t>
  </si>
  <si>
    <t>152M</t>
  </si>
  <si>
    <t>NGV31 Comdty</t>
  </si>
  <si>
    <t>10/2031</t>
  </si>
  <si>
    <t>153M</t>
  </si>
  <si>
    <t>NGX31 Comdty</t>
  </si>
  <si>
    <t>11/2031</t>
  </si>
  <si>
    <t>154M</t>
  </si>
  <si>
    <t>NGZ31 Comdty</t>
  </si>
  <si>
    <t>12/2031</t>
  </si>
  <si>
    <t>12M</t>
  </si>
  <si>
    <t>24M</t>
  </si>
  <si>
    <t>36M</t>
  </si>
  <si>
    <t>48M</t>
  </si>
  <si>
    <t>60M</t>
  </si>
  <si>
    <t>84M</t>
  </si>
  <si>
    <t>96M</t>
  </si>
  <si>
    <t>108M</t>
  </si>
  <si>
    <t>CAD/USD</t>
  </si>
  <si>
    <t>Deloitte</t>
  </si>
  <si>
    <t>Ethane</t>
  </si>
  <si>
    <t>Propane</t>
  </si>
  <si>
    <t>Butane</t>
  </si>
  <si>
    <t>$USD/Bbl</t>
  </si>
  <si>
    <t>WTI Forward Strip (Feb 20)</t>
  </si>
  <si>
    <t>Henry Hub Forward Strip (Feb 20)</t>
  </si>
  <si>
    <t>$USD/Mcf</t>
  </si>
  <si>
    <t>Growth Rate</t>
  </si>
  <si>
    <t>120M</t>
  </si>
  <si>
    <t>132M</t>
  </si>
  <si>
    <t>144M</t>
  </si>
  <si>
    <t>12/2032</t>
  </si>
  <si>
    <t>12/2033</t>
  </si>
  <si>
    <t>12/2034</t>
  </si>
  <si>
    <t>12/2035</t>
  </si>
  <si>
    <t>12/2036</t>
  </si>
  <si>
    <t>12/2037</t>
  </si>
  <si>
    <t>12/2038</t>
  </si>
  <si>
    <t>11/2032</t>
  </si>
  <si>
    <t>11/2033</t>
  </si>
  <si>
    <t>11/2034</t>
  </si>
  <si>
    <t>01/2032</t>
  </si>
  <si>
    <t>02/2032</t>
  </si>
  <si>
    <t>03/2032</t>
  </si>
  <si>
    <t>04/2032</t>
  </si>
  <si>
    <t>05/2032</t>
  </si>
  <si>
    <t>06/2032</t>
  </si>
  <si>
    <t>07/2032</t>
  </si>
  <si>
    <t>08/2032</t>
  </si>
  <si>
    <t>09/2032</t>
  </si>
  <si>
    <t>10/2032</t>
  </si>
  <si>
    <t>01/2033</t>
  </si>
  <si>
    <t>02/2033</t>
  </si>
  <si>
    <t>03/2033</t>
  </si>
  <si>
    <t>04/2033</t>
  </si>
  <si>
    <t>05/2033</t>
  </si>
  <si>
    <t>06/2033</t>
  </si>
  <si>
    <t>07/2033</t>
  </si>
  <si>
    <t>08/2033</t>
  </si>
  <si>
    <t>09/2033</t>
  </si>
  <si>
    <t>10/2033</t>
  </si>
  <si>
    <t>01/2034</t>
  </si>
  <si>
    <t>02/2034</t>
  </si>
  <si>
    <t>03/2034</t>
  </si>
  <si>
    <t>04/2034</t>
  </si>
  <si>
    <t>05/2034</t>
  </si>
  <si>
    <t>06/2034</t>
  </si>
  <si>
    <t>07/2034</t>
  </si>
  <si>
    <t>08/2034</t>
  </si>
  <si>
    <t>09/2034</t>
  </si>
  <si>
    <t>10/2034</t>
  </si>
  <si>
    <t>01/2035</t>
  </si>
  <si>
    <t>02/2035</t>
  </si>
  <si>
    <t>03/2035</t>
  </si>
  <si>
    <t>04/2035</t>
  </si>
  <si>
    <t>05/2035</t>
  </si>
  <si>
    <t>06/2035</t>
  </si>
  <si>
    <t>07/2035</t>
  </si>
  <si>
    <t>08/2035</t>
  </si>
  <si>
    <t>09/2035</t>
  </si>
  <si>
    <t>10/2035</t>
  </si>
  <si>
    <t>11/2035</t>
  </si>
  <si>
    <t>01/2036</t>
  </si>
  <si>
    <t>02/2036</t>
  </si>
  <si>
    <t>03/2036</t>
  </si>
  <si>
    <t>04/2036</t>
  </si>
  <si>
    <t>05/2036</t>
  </si>
  <si>
    <t>06/2036</t>
  </si>
  <si>
    <t>07/2036</t>
  </si>
  <si>
    <t>08/2036</t>
  </si>
  <si>
    <t>09/2036</t>
  </si>
  <si>
    <t>10/2036</t>
  </si>
  <si>
    <t>11/2036</t>
  </si>
  <si>
    <t>01/2037</t>
  </si>
  <si>
    <t>02/2037</t>
  </si>
  <si>
    <t>03/2037</t>
  </si>
  <si>
    <t>04/2037</t>
  </si>
  <si>
    <t>05/2037</t>
  </si>
  <si>
    <t>06/2037</t>
  </si>
  <si>
    <t>07/2037</t>
  </si>
  <si>
    <t>08/2037</t>
  </si>
  <si>
    <t>09/2037</t>
  </si>
  <si>
    <t>10/2037</t>
  </si>
  <si>
    <t>11/2037</t>
  </si>
  <si>
    <t>01/2038</t>
  </si>
  <si>
    <t>02/2038</t>
  </si>
  <si>
    <t>03/2038</t>
  </si>
  <si>
    <t>04/2038</t>
  </si>
  <si>
    <t>05/2038</t>
  </si>
  <si>
    <t>06/2038</t>
  </si>
  <si>
    <t>07/2038</t>
  </si>
  <si>
    <t>08/2038</t>
  </si>
  <si>
    <t>09/2038</t>
  </si>
  <si>
    <t>10/2038</t>
  </si>
  <si>
    <t>11/2038</t>
  </si>
  <si>
    <t>01/2039</t>
  </si>
  <si>
    <t>02/2039</t>
  </si>
  <si>
    <t>03/2039</t>
  </si>
  <si>
    <t>04/2039</t>
  </si>
  <si>
    <t>05/2039</t>
  </si>
  <si>
    <t>06/2039</t>
  </si>
  <si>
    <t>07/2039</t>
  </si>
  <si>
    <t>Realized Pricing</t>
  </si>
  <si>
    <t>WTI</t>
  </si>
  <si>
    <t>Q318</t>
  </si>
  <si>
    <t>AECO Gas</t>
  </si>
  <si>
    <t>Realized price</t>
  </si>
  <si>
    <t xml:space="preserve">Realized Price </t>
  </si>
  <si>
    <t>Q218</t>
  </si>
  <si>
    <t>CDN/USD</t>
  </si>
  <si>
    <t>Q118</t>
  </si>
  <si>
    <t>Q217</t>
  </si>
  <si>
    <t>NGL Realized Price</t>
  </si>
  <si>
    <t>Q317</t>
  </si>
  <si>
    <t>Q117</t>
  </si>
  <si>
    <t>CDN</t>
  </si>
  <si>
    <t>Q416</t>
  </si>
  <si>
    <t>Production costs</t>
  </si>
  <si>
    <t>Transportation Cost</t>
  </si>
  <si>
    <t>Historical corporate tax rate</t>
  </si>
  <si>
    <t>Solve for the "</t>
  </si>
  <si>
    <t>PIR</t>
  </si>
  <si>
    <t>X</t>
  </si>
  <si>
    <t>Y</t>
  </si>
  <si>
    <t>A</t>
  </si>
  <si>
    <t>B</t>
  </si>
  <si>
    <t>Sum of squared errors</t>
  </si>
  <si>
    <t>Errors</t>
  </si>
  <si>
    <t>Time (Months)</t>
  </si>
  <si>
    <t>Realized Prices</t>
  </si>
  <si>
    <t>Royalties</t>
  </si>
  <si>
    <t>Pretax Income</t>
  </si>
  <si>
    <t>Net Income</t>
  </si>
  <si>
    <t>Averages</t>
  </si>
  <si>
    <t>Netback</t>
  </si>
  <si>
    <t>C*</t>
  </si>
  <si>
    <t>Liquids Production</t>
  </si>
  <si>
    <t>6 to 1</t>
  </si>
  <si>
    <t>Bbl's to mcf</t>
  </si>
  <si>
    <t>Gas Production (mcf/d)</t>
  </si>
  <si>
    <t>Liquids Production (Bbls/d)</t>
  </si>
  <si>
    <t xml:space="preserve">Production Projections </t>
  </si>
  <si>
    <t>Years</t>
  </si>
  <si>
    <t>Months</t>
  </si>
  <si>
    <t>Daily production (Bbl/d)</t>
  </si>
  <si>
    <t>y=a*x^b (solver)</t>
  </si>
  <si>
    <t>Cumulative Production (Bbls)</t>
  </si>
  <si>
    <t>Daily production (Mcf/d)</t>
  </si>
  <si>
    <t>Monthly production (Mcf)</t>
  </si>
  <si>
    <t>Monthly production (Bbl)</t>
  </si>
  <si>
    <t>Gas</t>
  </si>
  <si>
    <t>Cumulative Production (Mcf)</t>
  </si>
  <si>
    <t>15 years</t>
  </si>
  <si>
    <t>10 years</t>
  </si>
  <si>
    <t>Royalty Expense</t>
  </si>
  <si>
    <t>Sales Price</t>
  </si>
  <si>
    <t>(on a $/BOE basis)</t>
  </si>
  <si>
    <t>ACCI</t>
  </si>
  <si>
    <t>TMD</t>
  </si>
  <si>
    <t xml:space="preserve">C* </t>
  </si>
  <si>
    <t>IP90</t>
  </si>
  <si>
    <t>Yangarra Realized Pricing</t>
  </si>
  <si>
    <t>Liquids Pricing ($/Bbl)</t>
  </si>
  <si>
    <t>Oil Price ($/Bbl)</t>
  </si>
  <si>
    <t>Yangarra NGL Breakdown ($USD/Bbl)</t>
  </si>
  <si>
    <t xml:space="preserve">Oil </t>
  </si>
  <si>
    <t>Natural Gas Liquids</t>
  </si>
  <si>
    <t>Natural Gas</t>
  </si>
  <si>
    <t>YR1 Decline Rate</t>
  </si>
  <si>
    <t>Decline Rate</t>
  </si>
  <si>
    <t>2 year averages</t>
  </si>
  <si>
    <t>Strip Pricing</t>
  </si>
  <si>
    <t>Well Cost / DCET</t>
  </si>
  <si>
    <t>Realized price USD</t>
  </si>
  <si>
    <t>Realized price %</t>
  </si>
  <si>
    <t>Average realized discount/premium to AECO</t>
  </si>
  <si>
    <t>Date</t>
  </si>
  <si>
    <t>Last Price</t>
  </si>
  <si>
    <t>Henry Hub</t>
  </si>
  <si>
    <t>AECO</t>
  </si>
  <si>
    <t>Basis</t>
  </si>
  <si>
    <t>Discount Rate</t>
  </si>
  <si>
    <t>WTI Oil ($US/Bbl)</t>
  </si>
  <si>
    <t>Henry Hub Gas ($US/Mmbtu)</t>
  </si>
  <si>
    <t>12/2039</t>
  </si>
  <si>
    <t>08/2039</t>
  </si>
  <si>
    <t>09/2039</t>
  </si>
  <si>
    <t>10/2039</t>
  </si>
  <si>
    <t>11/2039</t>
  </si>
  <si>
    <t>01/2040</t>
  </si>
  <si>
    <t>NGL ($US/Bbl)</t>
  </si>
  <si>
    <t>Month 1</t>
  </si>
  <si>
    <t>Month 2</t>
  </si>
  <si>
    <t>Month 3</t>
  </si>
  <si>
    <t>Field Netback</t>
  </si>
  <si>
    <t>Cash Flow</t>
  </si>
  <si>
    <t>Month 4</t>
  </si>
  <si>
    <t>Month 6</t>
  </si>
  <si>
    <t>Month 7</t>
  </si>
  <si>
    <t>Month 8</t>
  </si>
  <si>
    <t>Month 10</t>
  </si>
  <si>
    <t>Month 9</t>
  </si>
  <si>
    <t>Month 11</t>
  </si>
  <si>
    <t>Month 5</t>
  </si>
  <si>
    <t>Gas Revenue</t>
  </si>
  <si>
    <t>Liquids Revenue</t>
  </si>
  <si>
    <t>Oil Revenue</t>
  </si>
  <si>
    <t>Mcf to Bbl</t>
  </si>
  <si>
    <t>Monthly Revenue</t>
  </si>
  <si>
    <t>Cost inflation per year</t>
  </si>
  <si>
    <t>Year</t>
  </si>
  <si>
    <t>Month</t>
  </si>
  <si>
    <t>ARO</t>
  </si>
  <si>
    <t xml:space="preserve">Transportation </t>
  </si>
  <si>
    <t xml:space="preserve">Operating </t>
  </si>
  <si>
    <t xml:space="preserve">Sales </t>
  </si>
  <si>
    <t>Price ($/Boe)</t>
  </si>
  <si>
    <t xml:space="preserve">Royalty </t>
  </si>
  <si>
    <t>Costs ($/Boe)</t>
  </si>
  <si>
    <t xml:space="preserve"> ($/Boe)</t>
  </si>
  <si>
    <t>Corporate Tax Rate</t>
  </si>
  <si>
    <t xml:space="preserve">PV of </t>
  </si>
  <si>
    <t xml:space="preserve">Royalty Cost </t>
  </si>
  <si>
    <t>Oil ($/Bbl)</t>
  </si>
  <si>
    <t xml:space="preserve">After Tax </t>
  </si>
  <si>
    <t>First 11 Months</t>
  </si>
  <si>
    <t>Total Production (Boe)</t>
  </si>
  <si>
    <t xml:space="preserve">Undepreciated </t>
  </si>
  <si>
    <t>Capital Cost</t>
  </si>
  <si>
    <t xml:space="preserve">DCET </t>
  </si>
  <si>
    <t>(Capital Costs)</t>
  </si>
  <si>
    <t>P1</t>
  </si>
  <si>
    <t>P2</t>
  </si>
  <si>
    <t>P3</t>
  </si>
  <si>
    <t>Royalty Parameters</t>
  </si>
  <si>
    <t>Oil Production (Bbl)</t>
  </si>
  <si>
    <t>Liquids Production (Bbl)</t>
  </si>
  <si>
    <t>Gas Production (Bbl)</t>
  </si>
  <si>
    <t>Quantity Adjustment</t>
  </si>
  <si>
    <t>P&lt;=251.70</t>
  </si>
  <si>
    <t>251.70&lt;P&lt;=409.02</t>
  </si>
  <si>
    <t>409.02&lt;P&lt;=723.64</t>
  </si>
  <si>
    <t>723.64&lt;P</t>
  </si>
  <si>
    <t>Max</t>
  </si>
  <si>
    <t>((P-251.70)*0.00071+0.100000)*100</t>
  </si>
  <si>
    <t>((P-409.02)*0.00039+0.21170)*100</t>
  </si>
  <si>
    <t>((PP-723.64)*0.00020+0.33440)*100</t>
  </si>
  <si>
    <t>Payout Month</t>
  </si>
  <si>
    <t>Price Component</t>
  </si>
  <si>
    <t>Realized Pricing ($C/Bbl)</t>
  </si>
  <si>
    <t>Post Payout Month</t>
  </si>
  <si>
    <t>Monthly Royalty Payments</t>
  </si>
  <si>
    <t>Royalty (%)</t>
  </si>
  <si>
    <t>Oil Royalties ($/Bbl)</t>
  </si>
  <si>
    <t>Mcf to m3</t>
  </si>
  <si>
    <t>P&lt;=2.40</t>
  </si>
  <si>
    <t>2.4&lt;P&lt;=3.00</t>
  </si>
  <si>
    <t>3.00&lt;P&lt;=6.75</t>
  </si>
  <si>
    <t>6.75&lt;P</t>
  </si>
  <si>
    <t>((P-2.40)*0.06000+0.05000)</t>
  </si>
  <si>
    <t>((P-3.00)*0.04250+0.086000)</t>
  </si>
  <si>
    <t>((P-6.75)*0.02250+0.24538)</t>
  </si>
  <si>
    <t>Monthly m^3</t>
  </si>
  <si>
    <t>e^3m^3
Monthly</t>
  </si>
  <si>
    <t>GJ Monthly</t>
  </si>
  <si>
    <t>C$/GJ</t>
  </si>
  <si>
    <t>m3 to GJ</t>
  </si>
  <si>
    <t>Royalty Price Component</t>
  </si>
  <si>
    <t>Price Component Calculation</t>
  </si>
  <si>
    <t>p&lt;=2.4</t>
  </si>
  <si>
    <t>2.4 &lt; P &lt;= 3.00</t>
  </si>
  <si>
    <t>3.00 &lt; P &lt;=6.75</t>
  </si>
  <si>
    <t>6.75 &lt; P</t>
  </si>
  <si>
    <t>Gas Pricing</t>
  </si>
  <si>
    <t>$/MCF</t>
  </si>
  <si>
    <t>$/GJ</t>
  </si>
  <si>
    <t>$CDN/Bbl</t>
  </si>
  <si>
    <t>$CDN/GJ</t>
  </si>
  <si>
    <t>Mcf per GJ</t>
  </si>
  <si>
    <t>Royalty Quantity Adjustment</t>
  </si>
  <si>
    <t>Total Revenue</t>
  </si>
  <si>
    <t>R%</t>
  </si>
  <si>
    <t>Royalty Payments</t>
  </si>
  <si>
    <t>Quantity Level</t>
  </si>
  <si>
    <t>Total Royalty %</t>
  </si>
  <si>
    <t>Post-Payout Month</t>
  </si>
  <si>
    <t>R Payments ($/mcf)</t>
  </si>
  <si>
    <t>Gas Liquid Volume Conversion</t>
  </si>
  <si>
    <t>Ethane Density</t>
  </si>
  <si>
    <t>Liquid</t>
  </si>
  <si>
    <t>Ethane as % of NGLs</t>
  </si>
  <si>
    <t>Liquid m^3 Monthly</t>
  </si>
  <si>
    <t>Gas m^3 Monthly</t>
  </si>
  <si>
    <t>Gas e^3m^3/monthly</t>
  </si>
  <si>
    <t>Bbl to m^3</t>
  </si>
  <si>
    <t>Total R%</t>
  </si>
  <si>
    <t>Ethane Average</t>
  </si>
  <si>
    <t>Ethan $C/GJ</t>
  </si>
  <si>
    <t>Ethane Energy per Barrel</t>
  </si>
  <si>
    <t>Barrel to GJ</t>
  </si>
  <si>
    <t>BTU/Barrel</t>
  </si>
  <si>
    <t>GJ/Barrel</t>
  </si>
  <si>
    <t>Ethane Price $C/GJ</t>
  </si>
  <si>
    <t>$/bbl</t>
  </si>
  <si>
    <t>Royalty Payments ($/Bbl)</t>
  </si>
  <si>
    <t>Gas ($/Mcf)</t>
  </si>
  <si>
    <t>Ethane ($/Bbl)</t>
  </si>
  <si>
    <t>Royalty Cost</t>
  </si>
  <si>
    <t>Butane ($/Bbl)</t>
  </si>
  <si>
    <t>Propane ($/Bbl)</t>
  </si>
  <si>
    <t>10% Risked NAV</t>
  </si>
  <si>
    <t>20% Risked NAV</t>
  </si>
  <si>
    <t>30% Risked NAV</t>
  </si>
  <si>
    <t>Butane % of NGL's</t>
  </si>
  <si>
    <t>Daily Production (Bbl/d)</t>
  </si>
  <si>
    <t>Monthly Production (Bbls)</t>
  </si>
  <si>
    <t>M^3 Monthly</t>
  </si>
  <si>
    <t>Butane Price per m^3</t>
  </si>
  <si>
    <t xml:space="preserve">Price Component </t>
  </si>
  <si>
    <t xml:space="preserve">Quantity Adjustment </t>
  </si>
  <si>
    <t>P&lt;= 176.19</t>
  </si>
  <si>
    <t>176.19&lt;P&lt;=286.31</t>
  </si>
  <si>
    <t>286.31&lt;P&lt;=506.55</t>
  </si>
  <si>
    <t>506.55&lt;P</t>
  </si>
  <si>
    <t>Maxiumum</t>
  </si>
  <si>
    <t>((P-176.19)*0.00101+0.10000)</t>
  </si>
  <si>
    <t>((P-286.31)*0.00055+0.21122)</t>
  </si>
  <si>
    <t>((P-506.55)*0.00031+0.33235)</t>
  </si>
  <si>
    <t>P&lt;=176.19</t>
  </si>
  <si>
    <t>Butane Royalties ($/Bbl)</t>
  </si>
  <si>
    <t>Unrisked NAV</t>
  </si>
  <si>
    <t>Propane as % of NGL's</t>
  </si>
  <si>
    <t>P&lt;88.10</t>
  </si>
  <si>
    <t>88.10&lt;P&lt;=143.16</t>
  </si>
  <si>
    <t>143.16&lt;P&lt;=253.28</t>
  </si>
  <si>
    <t>253.28&lt;P</t>
  </si>
  <si>
    <t>((P-88.10)*0.00202+0.10000)</t>
  </si>
  <si>
    <t>((P-143.16)*0.00111+0.21122)</t>
  </si>
  <si>
    <t>((P-253.28)*0.00059+0.33347)</t>
  </si>
  <si>
    <t>Propane Price per m^3</t>
  </si>
  <si>
    <t>Royalty 1</t>
  </si>
  <si>
    <t>Royalty 2</t>
  </si>
  <si>
    <t>NET ASSET VALUE</t>
  </si>
  <si>
    <t xml:space="preserve">Monthly </t>
  </si>
  <si>
    <t>Revenue</t>
  </si>
  <si>
    <t xml:space="preserve">Taxable </t>
  </si>
  <si>
    <t>Income</t>
  </si>
  <si>
    <t xml:space="preserve">Cash </t>
  </si>
  <si>
    <t>Taxes</t>
  </si>
  <si>
    <t>8 Year Well Life as cumulative production nears EUR (rounded to 8 years)</t>
  </si>
  <si>
    <t>Risk Factors applied in 10% increments</t>
  </si>
  <si>
    <t>*Determined with Solver</t>
  </si>
  <si>
    <t>PV CF</t>
  </si>
  <si>
    <t>DCET</t>
  </si>
  <si>
    <t>PV ARO</t>
  </si>
  <si>
    <t>(ARO+PVCF/DCET)</t>
  </si>
  <si>
    <t>YGR Realized Price</t>
  </si>
  <si>
    <t xml:space="preserve">YGR Realized Price </t>
  </si>
  <si>
    <t>Gas Price ($/GJ)</t>
  </si>
  <si>
    <t>Initial Long Term Price</t>
  </si>
  <si>
    <t xml:space="preserve">Average AECO - Henry </t>
  </si>
  <si>
    <t>Hub Basis ($US)</t>
  </si>
  <si>
    <t>Average realized discount/premium to WTI</t>
  </si>
  <si>
    <t>Well Life</t>
  </si>
  <si>
    <t>Gas Production (Boe)</t>
  </si>
  <si>
    <t>EUR (Boe)</t>
  </si>
  <si>
    <t>Base Case</t>
  </si>
  <si>
    <t>Gas (Boe)</t>
  </si>
  <si>
    <t>Liquids (Bbl)</t>
  </si>
  <si>
    <t>Oil (Bbl)</t>
  </si>
  <si>
    <t>% Liquids</t>
  </si>
  <si>
    <t>IP 30</t>
  </si>
  <si>
    <t>% Oil</t>
  </si>
  <si>
    <t>% Gas</t>
  </si>
  <si>
    <t>% NGL's</t>
  </si>
  <si>
    <t>NGL Production (Bbl)</t>
  </si>
  <si>
    <t>Average realized discount/premium to NGL (Mont Belvieu)</t>
  </si>
  <si>
    <t xml:space="preserve">Realized Prices </t>
  </si>
  <si>
    <t>Oil in US$ is 94% of WTI</t>
  </si>
  <si>
    <t>NGL bbl is 90% of Deloite Mont Belvieu spot</t>
  </si>
  <si>
    <t>10% Discount Rate applied</t>
  </si>
  <si>
    <t>Realized gas price is 107% of AECO</t>
  </si>
  <si>
    <t>2% variable cost inflation per year (operating costs + transportation costs)</t>
  </si>
  <si>
    <t>Capital Cost Calculation</t>
  </si>
  <si>
    <t>ACCI is 0.95 in 2019</t>
  </si>
  <si>
    <t>Total Measured Depth total length of the vertical and lateral length</t>
  </si>
  <si>
    <t>$1MM Asset Retirement Obligation at start of year 9 (Orphan Well Association had budget of $235MM to clean up 700 wells, $336,000 per well. $336,000 FV in 9 years at a 10% interest rate is $800,000)</t>
  </si>
  <si>
    <t xml:space="preserve">Production </t>
  </si>
  <si>
    <t>Boe</t>
  </si>
  <si>
    <t xml:space="preserve">CCA </t>
  </si>
  <si>
    <t>Tax Shield</t>
  </si>
  <si>
    <t xml:space="preserve">C * of a Cardium Bioturbated Well - Willesden Green </t>
  </si>
  <si>
    <t>Y is 1.39-(0.04*(TMD/Vertical Depth))</t>
  </si>
  <si>
    <t>Total Vertical Depth (TVD)</t>
  </si>
  <si>
    <t>Total Lateral Length (TLL)</t>
  </si>
  <si>
    <t>Total Proppant  Placed (TPP)</t>
  </si>
  <si>
    <t>Bbl/m^3</t>
  </si>
  <si>
    <t>Monthly Production (m^3)</t>
  </si>
  <si>
    <t>Oil Price (m^3)</t>
  </si>
  <si>
    <t>PIR of 1.09x</t>
  </si>
  <si>
    <t>Implied IRR of 57%</t>
  </si>
  <si>
    <t>9 years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</si>
</sst>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6">
    <numFmt numFmtId="6" formatCode="&quot;$&quot;#,##0;[Red]\-&quot;$&quot;#,##0"/>
    <numFmt numFmtId="8" formatCode="&quot;$&quot;#,##0.00;[Red]\-&quot;$&quot;#,##0.00"/>
    <numFmt numFmtId="44" formatCode="_-&quot;$&quot;* #,##0.00_-;\-&quot;$&quot;* #,##0.00_-;_-&quot;$&quot;* &quot;-&quot;??_-;_-@_-"/>
    <numFmt numFmtId="43" formatCode="_-* #,##0.00_-;\-* #,##0.00_-;_-* &quot;-&quot;??_-;_-@_-"/>
    <numFmt numFmtId="164" formatCode="_(&quot;$&quot;* #,##0.00_);_(&quot;$&quot;* \(#,##0.00\);_(&quot;$&quot;* &quot;-&quot;??_);_(@_)"/>
    <numFmt numFmtId="165" formatCode="0.00_)"/>
    <numFmt numFmtId="166" formatCode="0.0_)"/>
    <numFmt numFmtId="167" formatCode="0.000_)"/>
    <numFmt numFmtId="168" formatCode="_-* #,##0_-;\-* #,##0_-;_-* &quot;-&quot;??_-;_-@_-"/>
    <numFmt numFmtId="169" formatCode="0.0%"/>
    <numFmt numFmtId="170" formatCode="0.0"/>
    <numFmt numFmtId="171" formatCode="0.000"/>
    <numFmt numFmtId="172" formatCode="&quot;$&quot;#,##0.00"/>
    <numFmt numFmtId="173" formatCode="_-[$$-1009]* #,##0.00_-;\-[$$-1009]* #,##0.00_-;_-[$$-1009]* &quot;-&quot;??_-;_-@_-"/>
    <numFmt numFmtId="174" formatCode="0.0000"/>
    <numFmt numFmtId="175" formatCode="0.00000"/>
  </numFmts>
  <fonts count="29">
    <font>
      <sz val="12"/>
      <color theme="1"/>
      <name val="Calibri"/>
      <family val="2"/>
      <scheme val="minor"/>
    </font>
    <font>
      <sz val="12"/>
      <color theme="1"/>
      <name val="Calibri"/>
      <family val="2"/>
      <scheme val="minor"/>
    </font>
    <font>
      <b/>
      <sz val="12"/>
      <color theme="1"/>
      <name val="Calibri"/>
      <family val="2"/>
      <scheme val="minor"/>
    </font>
    <font>
      <sz val="18"/>
      <color theme="1"/>
      <name val="Calibri"/>
      <family val="2"/>
      <scheme val="minor"/>
    </font>
    <font>
      <b/>
      <sz val="11"/>
      <color indexed="9"/>
      <name val="Calibri"/>
      <family val="2"/>
    </font>
    <font>
      <sz val="16"/>
      <color theme="1"/>
      <name val="Calibri (Body)_x0000_"/>
    </font>
    <font>
      <b/>
      <sz val="14"/>
      <color theme="1"/>
      <name val="Calibri"/>
      <family val="2"/>
      <scheme val="minor"/>
    </font>
    <font>
      <b/>
      <sz val="14"/>
      <color indexed="9"/>
      <name val="Calibri"/>
      <family val="2"/>
      <scheme val="minor"/>
    </font>
    <font>
      <b/>
      <sz val="18"/>
      <color theme="1"/>
      <name val="Calibri"/>
      <family val="2"/>
      <scheme val="minor"/>
    </font>
    <font>
      <sz val="12"/>
      <name val="Arial MT"/>
    </font>
    <font>
      <b/>
      <sz val="10"/>
      <name val="Arial"/>
      <family val="2"/>
    </font>
    <font>
      <b/>
      <sz val="16"/>
      <color theme="1"/>
      <name val="Calibri"/>
      <family val="2"/>
      <scheme val="minor"/>
    </font>
    <font>
      <sz val="12"/>
      <name val="Arial"/>
      <family val="2"/>
    </font>
    <font>
      <b/>
      <sz val="12"/>
      <name val="Arial"/>
      <family val="2"/>
    </font>
    <font>
      <u/>
      <sz val="12"/>
      <name val="Arial"/>
      <family val="2"/>
    </font>
    <font>
      <sz val="16"/>
      <color theme="1"/>
      <name val="Calibri"/>
      <family val="2"/>
      <scheme val="minor"/>
    </font>
    <font>
      <sz val="12"/>
      <color rgb="FFFF0000"/>
      <name val="Calibri"/>
      <family val="2"/>
      <scheme val="minor"/>
    </font>
    <font>
      <u/>
      <sz val="12"/>
      <color theme="10"/>
      <name val="Calibri"/>
      <family val="2"/>
      <scheme val="minor"/>
    </font>
    <font>
      <b/>
      <sz val="14"/>
      <color theme="1"/>
      <name val="Calibri  "/>
    </font>
    <font>
      <b/>
      <sz val="16"/>
      <name val="Calibri  "/>
    </font>
    <font>
      <sz val="12"/>
      <name val="Calibri"/>
      <family val="2"/>
      <scheme val="minor"/>
    </font>
    <font>
      <i/>
      <sz val="12"/>
      <color theme="1"/>
      <name val="Calibri"/>
      <family val="2"/>
      <scheme val="minor"/>
    </font>
    <font>
      <b/>
      <sz val="9"/>
      <color indexed="81"/>
      <name val="Tahoma"/>
      <family val="2"/>
    </font>
    <font>
      <b/>
      <sz val="72"/>
      <color theme="1"/>
      <name val="Calibri"/>
      <family val="2"/>
      <scheme val="minor"/>
    </font>
    <font>
      <sz val="18"/>
      <color indexed="81"/>
      <name val="Tahoma"/>
      <family val="2"/>
    </font>
    <font>
      <sz val="72"/>
      <color theme="1"/>
      <name val="Calibri"/>
      <family val="2"/>
      <scheme val="minor"/>
    </font>
    <font>
      <b/>
      <sz val="20"/>
      <color theme="1"/>
      <name val="Calibri"/>
      <family val="2"/>
      <scheme val="minor"/>
    </font>
    <font>
      <b/>
      <sz val="36"/>
      <color theme="1"/>
      <name val="Calibri"/>
      <family val="2"/>
      <scheme val="minor"/>
    </font>
    <font>
      <b/>
      <u/>
      <sz val="12"/>
      <color theme="1"/>
      <name val="Calibri"/>
      <family val="2"/>
      <scheme val="minor"/>
    </font>
  </fonts>
  <fills count="16">
    <fill>
      <patternFill patternType="none"/>
    </fill>
    <fill>
      <patternFill patternType="gray125"/>
    </fill>
    <fill>
      <patternFill patternType="solid">
        <fgColor theme="0" tint="-0.249977111117893"/>
        <bgColor indexed="64"/>
      </patternFill>
    </fill>
    <fill>
      <patternFill patternType="solid">
        <fgColor theme="0" tint="-0.34998626667073579"/>
        <bgColor indexed="64"/>
      </patternFill>
    </fill>
    <fill>
      <patternFill patternType="solid">
        <fgColor rgb="FF4F81BD"/>
        <bgColor indexed="64"/>
      </patternFill>
    </fill>
    <fill>
      <patternFill patternType="solid">
        <fgColor rgb="FF0070C0"/>
        <bgColor indexed="64"/>
      </patternFill>
    </fill>
    <fill>
      <patternFill patternType="solid">
        <fgColor rgb="FFFFFF00"/>
        <bgColor indexed="64"/>
      </patternFill>
    </fill>
    <fill>
      <patternFill patternType="solid">
        <fgColor rgb="FF00B0F0"/>
        <bgColor indexed="64"/>
      </patternFill>
    </fill>
    <fill>
      <patternFill patternType="solid">
        <fgColor rgb="FFFF0000"/>
        <bgColor indexed="64"/>
      </patternFill>
    </fill>
    <fill>
      <patternFill patternType="solid">
        <fgColor rgb="FFFFC000"/>
        <bgColor indexed="64"/>
      </patternFill>
    </fill>
    <fill>
      <patternFill patternType="solid">
        <fgColor rgb="FF00B050"/>
        <bgColor indexed="64"/>
      </patternFill>
    </fill>
    <fill>
      <patternFill patternType="solid">
        <fgColor theme="5" tint="0.39997558519241921"/>
        <bgColor indexed="64"/>
      </patternFill>
    </fill>
    <fill>
      <patternFill patternType="solid">
        <fgColor theme="0" tint="-0.14999847407452621"/>
        <bgColor indexed="64"/>
      </patternFill>
    </fill>
    <fill>
      <patternFill patternType="solid">
        <fgColor theme="5"/>
        <bgColor indexed="64"/>
      </patternFill>
    </fill>
    <fill>
      <patternFill patternType="solid">
        <fgColor rgb="FFC00000"/>
        <bgColor indexed="64"/>
      </patternFill>
    </fill>
    <fill>
      <patternFill patternType="solid">
        <fgColor theme="0" tint="-4.9989318521683403E-2"/>
        <bgColor indexed="64"/>
      </patternFill>
    </fill>
  </fills>
  <borders count="24">
    <border>
      <left/>
      <right/>
      <top/>
      <bottom/>
      <diagonal/>
    </border>
    <border>
      <left/>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diagonal/>
    </border>
    <border>
      <left/>
      <right/>
      <top/>
      <bottom style="double">
        <color indexed="64"/>
      </bottom>
      <diagonal/>
    </border>
    <border>
      <left/>
      <right style="thin">
        <color indexed="64"/>
      </right>
      <top/>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8">
    <xf numFmtId="0" fontId="0" fillId="0" borderId="0"/>
    <xf numFmtId="164" fontId="1" fillId="0" borderId="0" applyFont="0" applyFill="0" applyBorder="0" applyAlignment="0" applyProtection="0"/>
    <xf numFmtId="0" fontId="4" fillId="4" borderId="0"/>
    <xf numFmtId="0" fontId="9" fillId="0" borderId="0"/>
    <xf numFmtId="165" fontId="9" fillId="0" borderId="0"/>
    <xf numFmtId="9" fontId="1" fillId="0" borderId="0" applyFont="0" applyFill="0" applyBorder="0" applyAlignment="0" applyProtection="0"/>
    <xf numFmtId="43" fontId="1" fillId="0" borderId="0" applyFont="0" applyFill="0" applyBorder="0" applyAlignment="0" applyProtection="0"/>
    <xf numFmtId="0" fontId="17" fillId="0" borderId="0" applyNumberFormat="0" applyFill="0" applyBorder="0" applyAlignment="0" applyProtection="0"/>
  </cellStyleXfs>
  <cellXfs count="319">
    <xf numFmtId="0" fontId="0" fillId="0" borderId="0" xfId="0"/>
    <xf numFmtId="0" fontId="0" fillId="0" borderId="0" xfId="0" applyAlignment="1">
      <alignment horizontal="center"/>
    </xf>
    <xf numFmtId="164" fontId="0" fillId="0" borderId="0" xfId="1" applyFont="1"/>
    <xf numFmtId="0" fontId="0" fillId="0" borderId="0" xfId="0" applyFill="1"/>
    <xf numFmtId="0" fontId="3" fillId="0" borderId="0" xfId="0" applyFont="1" applyFill="1" applyAlignment="1">
      <alignment horizontal="center"/>
    </xf>
    <xf numFmtId="0" fontId="2" fillId="0" borderId="0" xfId="0" applyFont="1" applyFill="1" applyAlignment="1">
      <alignment horizontal="center" vertical="center"/>
    </xf>
    <xf numFmtId="164" fontId="0" fillId="0" borderId="0" xfId="1" applyFont="1" applyAlignment="1">
      <alignment horizontal="center"/>
    </xf>
    <xf numFmtId="0" fontId="6" fillId="0" borderId="0" xfId="2" applyNumberFormat="1" applyFont="1" applyFill="1" applyBorder="1" applyAlignment="1" applyProtection="1">
      <alignment horizontal="center" vertical="center"/>
    </xf>
    <xf numFmtId="0" fontId="7" fillId="0" borderId="0" xfId="2" applyNumberFormat="1" applyFont="1" applyFill="1" applyBorder="1" applyAlignment="1" applyProtection="1">
      <alignment horizontal="center" vertical="center"/>
    </xf>
    <xf numFmtId="0" fontId="5" fillId="0" borderId="0" xfId="0" applyFont="1" applyFill="1" applyAlignment="1">
      <alignment vertical="center"/>
    </xf>
    <xf numFmtId="0" fontId="6" fillId="0" borderId="0" xfId="0" applyFont="1" applyFill="1" applyAlignment="1">
      <alignment vertical="center"/>
    </xf>
    <xf numFmtId="0" fontId="10" fillId="0" borderId="0" xfId="3" applyNumberFormat="1" applyFont="1" applyFill="1" applyBorder="1" applyAlignment="1">
      <alignment horizontal="center" wrapText="1"/>
    </xf>
    <xf numFmtId="9" fontId="0" fillId="0" borderId="0" xfId="0" applyNumberFormat="1" applyAlignment="1">
      <alignment horizontal="center"/>
    </xf>
    <xf numFmtId="0" fontId="6" fillId="5" borderId="0" xfId="0" applyFont="1" applyFill="1" applyAlignment="1">
      <alignment horizontal="center" vertical="center"/>
    </xf>
    <xf numFmtId="164" fontId="0" fillId="6" borderId="0" xfId="1" applyFont="1" applyFill="1"/>
    <xf numFmtId="166" fontId="12" fillId="0" borderId="0" xfId="3" applyNumberFormat="1" applyFont="1" applyFill="1" applyBorder="1" applyAlignment="1" applyProtection="1">
      <alignment horizontal="right" indent="2"/>
    </xf>
    <xf numFmtId="167" fontId="12" fillId="0" borderId="0" xfId="3" applyNumberFormat="1" applyFont="1" applyFill="1" applyBorder="1" applyAlignment="1" applyProtection="1">
      <alignment horizontal="right" indent="2"/>
    </xf>
    <xf numFmtId="166" fontId="12" fillId="0" borderId="0" xfId="4" applyNumberFormat="1" applyFont="1" applyFill="1" applyBorder="1" applyAlignment="1" applyProtection="1">
      <alignment horizontal="right" indent="2"/>
    </xf>
    <xf numFmtId="167" fontId="12" fillId="0" borderId="0" xfId="4" applyNumberFormat="1" applyFont="1" applyFill="1" applyBorder="1" applyAlignment="1" applyProtection="1">
      <alignment horizontal="right" indent="2"/>
    </xf>
    <xf numFmtId="164" fontId="0" fillId="0" borderId="0" xfId="1" applyFont="1" applyFill="1"/>
    <xf numFmtId="165" fontId="10" fillId="0" borderId="0" xfId="3" applyNumberFormat="1" applyFont="1" applyFill="1" applyBorder="1"/>
    <xf numFmtId="165" fontId="10" fillId="0" borderId="0" xfId="3" applyNumberFormat="1" applyFont="1" applyFill="1" applyBorder="1" applyAlignment="1">
      <alignment horizontal="center"/>
    </xf>
    <xf numFmtId="165" fontId="10" fillId="0" borderId="0" xfId="4" applyFont="1" applyFill="1" applyBorder="1" applyAlignment="1">
      <alignment horizontal="center"/>
    </xf>
    <xf numFmtId="0" fontId="10" fillId="0" borderId="0" xfId="4" applyNumberFormat="1" applyFont="1" applyFill="1" applyBorder="1" applyAlignment="1">
      <alignment horizontal="center" wrapText="1"/>
    </xf>
    <xf numFmtId="165" fontId="14" fillId="0" borderId="0" xfId="3" applyNumberFormat="1" applyFont="1" applyFill="1" applyBorder="1"/>
    <xf numFmtId="165" fontId="12" fillId="0" borderId="0" xfId="4" quotePrefix="1" applyFont="1" applyFill="1" applyBorder="1" applyAlignment="1">
      <alignment horizontal="center"/>
    </xf>
    <xf numFmtId="165" fontId="12" fillId="0" borderId="0" xfId="4" applyFont="1" applyFill="1" applyBorder="1" applyAlignment="1">
      <alignment horizontal="center"/>
    </xf>
    <xf numFmtId="165" fontId="12" fillId="0" borderId="0" xfId="3" applyNumberFormat="1" applyFont="1" applyFill="1" applyBorder="1"/>
    <xf numFmtId="165" fontId="13" fillId="0" borderId="0" xfId="3" applyNumberFormat="1" applyFont="1" applyFill="1" applyBorder="1"/>
    <xf numFmtId="165" fontId="12" fillId="0" borderId="0" xfId="3" applyNumberFormat="1" applyFont="1" applyFill="1" applyBorder="1" applyAlignment="1" applyProtection="1">
      <alignment horizontal="right" indent="2"/>
    </xf>
    <xf numFmtId="165" fontId="9" fillId="0" borderId="0" xfId="3" applyNumberFormat="1" applyFill="1" applyBorder="1" applyAlignment="1">
      <alignment horizontal="right" indent="2"/>
    </xf>
    <xf numFmtId="165" fontId="12" fillId="0" borderId="0" xfId="3" applyNumberFormat="1" applyFont="1" applyFill="1" applyBorder="1" applyAlignment="1" applyProtection="1">
      <alignment horizontal="center"/>
    </xf>
    <xf numFmtId="165" fontId="9" fillId="0" borderId="0" xfId="3" applyNumberFormat="1" applyFill="1"/>
    <xf numFmtId="0" fontId="0" fillId="0" borderId="0" xfId="0" applyBorder="1"/>
    <xf numFmtId="0" fontId="3" fillId="0" borderId="0" xfId="0" applyFont="1" applyFill="1" applyBorder="1" applyAlignment="1">
      <alignment horizontal="center"/>
    </xf>
    <xf numFmtId="0" fontId="2" fillId="0" borderId="0" xfId="0" applyFont="1"/>
    <xf numFmtId="0" fontId="2" fillId="0" borderId="0" xfId="0" applyFont="1" applyAlignment="1">
      <alignment horizontal="center"/>
    </xf>
    <xf numFmtId="164" fontId="2" fillId="0" borderId="0" xfId="1" applyFont="1" applyAlignment="1">
      <alignment horizontal="center"/>
    </xf>
    <xf numFmtId="9" fontId="0" fillId="0" borderId="0" xfId="5" applyFont="1"/>
    <xf numFmtId="2" fontId="0" fillId="0" borderId="0" xfId="0" applyNumberFormat="1"/>
    <xf numFmtId="9" fontId="0" fillId="0" borderId="0" xfId="5" applyFont="1" applyAlignment="1">
      <alignment horizontal="center"/>
    </xf>
    <xf numFmtId="9" fontId="0" fillId="6" borderId="0" xfId="5" applyFont="1" applyFill="1" applyAlignment="1">
      <alignment horizontal="center"/>
    </xf>
    <xf numFmtId="0" fontId="0" fillId="6" borderId="0" xfId="0" applyFill="1"/>
    <xf numFmtId="0" fontId="0" fillId="0" borderId="1" xfId="0" applyBorder="1" applyAlignment="1">
      <alignment horizontal="center"/>
    </xf>
    <xf numFmtId="0" fontId="0" fillId="0" borderId="1" xfId="0" applyBorder="1"/>
    <xf numFmtId="0" fontId="0" fillId="5" borderId="0" xfId="0" applyFill="1"/>
    <xf numFmtId="0" fontId="2" fillId="0" borderId="0" xfId="0" applyFont="1" applyAlignment="1">
      <alignment horizontal="center"/>
    </xf>
    <xf numFmtId="0" fontId="0" fillId="0" borderId="0" xfId="0" applyFont="1"/>
    <xf numFmtId="15" fontId="2" fillId="0" borderId="0" xfId="0" applyNumberFormat="1" applyFont="1" applyAlignment="1">
      <alignment horizontal="center"/>
    </xf>
    <xf numFmtId="0" fontId="0" fillId="0" borderId="0" xfId="0" applyAlignment="1"/>
    <xf numFmtId="0" fontId="2" fillId="0" borderId="1" xfId="0" applyFont="1" applyBorder="1" applyAlignment="1">
      <alignment horizontal="center"/>
    </xf>
    <xf numFmtId="2" fontId="0" fillId="0" borderId="0" xfId="0" applyNumberFormat="1" applyAlignment="1">
      <alignment horizontal="center"/>
    </xf>
    <xf numFmtId="0" fontId="2" fillId="0" borderId="0" xfId="0" applyFont="1" applyAlignment="1">
      <alignment horizontal="center" vertical="center"/>
    </xf>
    <xf numFmtId="2" fontId="0" fillId="0" borderId="0" xfId="0" applyNumberFormat="1" applyBorder="1"/>
    <xf numFmtId="2" fontId="0" fillId="0" borderId="1" xfId="0" applyNumberFormat="1" applyBorder="1" applyAlignment="1">
      <alignment horizontal="center"/>
    </xf>
    <xf numFmtId="2" fontId="0" fillId="0" borderId="1" xfId="0" applyNumberFormat="1" applyBorder="1"/>
    <xf numFmtId="0" fontId="2" fillId="0" borderId="0" xfId="0" applyFont="1" applyAlignment="1">
      <alignment horizontal="center"/>
    </xf>
    <xf numFmtId="0" fontId="2" fillId="0" borderId="0" xfId="0" applyFont="1" applyAlignment="1">
      <alignment horizontal="left" indent="1"/>
    </xf>
    <xf numFmtId="0" fontId="17" fillId="0" borderId="0" xfId="7"/>
    <xf numFmtId="16" fontId="0" fillId="6" borderId="4" xfId="0" applyNumberFormat="1" applyFill="1" applyBorder="1" applyAlignment="1">
      <alignment horizontal="center"/>
    </xf>
    <xf numFmtId="2" fontId="2" fillId="0" borderId="0" xfId="0" applyNumberFormat="1" applyFont="1" applyAlignment="1">
      <alignment horizontal="center"/>
    </xf>
    <xf numFmtId="164" fontId="0" fillId="0" borderId="0" xfId="0" applyNumberFormat="1"/>
    <xf numFmtId="164" fontId="10" fillId="0" borderId="0" xfId="1" applyFont="1" applyFill="1" applyBorder="1" applyAlignment="1">
      <alignment horizontal="center" vertical="center" wrapText="1"/>
    </xf>
    <xf numFmtId="0" fontId="8" fillId="0" borderId="0" xfId="0" applyFont="1" applyFill="1" applyBorder="1" applyAlignment="1">
      <alignment horizontal="center" vertical="center"/>
    </xf>
    <xf numFmtId="0" fontId="0" fillId="0" borderId="0" xfId="0" applyFont="1" applyAlignment="1">
      <alignment horizontal="center" vertical="center"/>
    </xf>
    <xf numFmtId="2" fontId="0" fillId="0" borderId="0" xfId="0" applyNumberFormat="1" applyFont="1" applyAlignment="1">
      <alignment horizontal="center" vertical="center"/>
    </xf>
    <xf numFmtId="2" fontId="0" fillId="0" borderId="0" xfId="0" applyNumberFormat="1" applyFont="1" applyBorder="1" applyAlignment="1">
      <alignment horizontal="center" vertical="center"/>
    </xf>
    <xf numFmtId="10" fontId="0" fillId="6" borderId="0" xfId="5" applyNumberFormat="1" applyFont="1" applyFill="1" applyAlignment="1">
      <alignment horizontal="center"/>
    </xf>
    <xf numFmtId="0" fontId="3" fillId="0" borderId="0" xfId="0" applyFont="1" applyFill="1" applyBorder="1" applyAlignment="1">
      <alignment horizontal="center"/>
    </xf>
    <xf numFmtId="0" fontId="2" fillId="0" borderId="0" xfId="0" applyFont="1" applyAlignment="1">
      <alignment horizontal="center"/>
    </xf>
    <xf numFmtId="0" fontId="0" fillId="0" borderId="0" xfId="0" applyFill="1" applyBorder="1" applyAlignment="1">
      <alignment horizontal="center"/>
    </xf>
    <xf numFmtId="0" fontId="2" fillId="0" borderId="0" xfId="0" applyFont="1" applyAlignment="1">
      <alignment horizontal="center"/>
    </xf>
    <xf numFmtId="8" fontId="0" fillId="0" borderId="0" xfId="0" applyNumberFormat="1"/>
    <xf numFmtId="8" fontId="0" fillId="6" borderId="0" xfId="0" applyNumberFormat="1" applyFill="1" applyAlignment="1">
      <alignment horizontal="center"/>
    </xf>
    <xf numFmtId="0" fontId="2" fillId="0" borderId="3" xfId="0" applyFont="1" applyBorder="1" applyAlignment="1">
      <alignment horizontal="center"/>
    </xf>
    <xf numFmtId="10" fontId="0" fillId="6" borderId="0" xfId="0" applyNumberFormat="1" applyFill="1"/>
    <xf numFmtId="0" fontId="16" fillId="0" borderId="0" xfId="0" applyFont="1" applyAlignment="1">
      <alignment horizontal="center"/>
    </xf>
    <xf numFmtId="0" fontId="2" fillId="0" borderId="0" xfId="0" applyFont="1" applyBorder="1"/>
    <xf numFmtId="168" fontId="0" fillId="0" borderId="0" xfId="6" applyNumberFormat="1" applyFont="1" applyAlignment="1">
      <alignment horizontal="center"/>
    </xf>
    <xf numFmtId="0" fontId="2" fillId="0" borderId="0" xfId="0" applyFont="1" applyAlignment="1"/>
    <xf numFmtId="10" fontId="0" fillId="0" borderId="0" xfId="1" applyNumberFormat="1" applyFont="1"/>
    <xf numFmtId="10" fontId="0" fillId="6" borderId="0" xfId="0" applyNumberFormat="1" applyFill="1" applyAlignment="1">
      <alignment horizontal="center"/>
    </xf>
    <xf numFmtId="9" fontId="0" fillId="6" borderId="0" xfId="0" applyNumberFormat="1" applyFill="1" applyAlignment="1">
      <alignment horizontal="center"/>
    </xf>
    <xf numFmtId="0" fontId="18" fillId="5" borderId="0" xfId="0" applyFont="1" applyFill="1" applyAlignment="1">
      <alignment horizontal="center" vertical="center"/>
    </xf>
    <xf numFmtId="0" fontId="0" fillId="0" borderId="0" xfId="0" applyFont="1" applyAlignment="1">
      <alignment horizontal="center"/>
    </xf>
    <xf numFmtId="8" fontId="0" fillId="0" borderId="0" xfId="0" applyNumberFormat="1" applyAlignment="1">
      <alignment horizontal="center"/>
    </xf>
    <xf numFmtId="14" fontId="0" fillId="0" borderId="0" xfId="0" applyNumberFormat="1" applyAlignment="1">
      <alignment horizontal="center"/>
    </xf>
    <xf numFmtId="14" fontId="0" fillId="0" borderId="0" xfId="0" applyNumberFormat="1"/>
    <xf numFmtId="0" fontId="2" fillId="0" borderId="1" xfId="0" applyFont="1" applyBorder="1"/>
    <xf numFmtId="0" fontId="0" fillId="0" borderId="9" xfId="0" applyBorder="1"/>
    <xf numFmtId="14" fontId="0" fillId="0" borderId="9" xfId="0" applyNumberFormat="1" applyBorder="1" applyAlignment="1">
      <alignment horizontal="center"/>
    </xf>
    <xf numFmtId="0" fontId="18" fillId="0" borderId="0" xfId="0" applyFont="1" applyFill="1" applyAlignment="1">
      <alignment horizontal="center" vertical="center"/>
    </xf>
    <xf numFmtId="164" fontId="0" fillId="6" borderId="0" xfId="1" applyFont="1" applyFill="1" applyAlignment="1">
      <alignment horizontal="center"/>
    </xf>
    <xf numFmtId="164" fontId="0" fillId="7" borderId="0" xfId="1" applyFont="1" applyFill="1" applyAlignment="1">
      <alignment horizontal="center"/>
    </xf>
    <xf numFmtId="2" fontId="0" fillId="0" borderId="0" xfId="0" applyNumberFormat="1" applyFont="1" applyAlignment="1">
      <alignment horizontal="center"/>
    </xf>
    <xf numFmtId="169" fontId="0" fillId="0" borderId="0" xfId="0" applyNumberFormat="1" applyAlignment="1">
      <alignment horizontal="center"/>
    </xf>
    <xf numFmtId="2" fontId="0" fillId="0" borderId="0" xfId="0" applyNumberFormat="1" applyFont="1" applyFill="1" applyAlignment="1">
      <alignment horizontal="center" vertical="center"/>
    </xf>
    <xf numFmtId="169" fontId="0" fillId="0" borderId="0" xfId="0" applyNumberFormat="1" applyFill="1" applyAlignment="1">
      <alignment horizontal="center"/>
    </xf>
    <xf numFmtId="0" fontId="0" fillId="0" borderId="0" xfId="0" applyFill="1" applyAlignment="1">
      <alignment horizontal="center"/>
    </xf>
    <xf numFmtId="2" fontId="0" fillId="0" borderId="0" xfId="0" applyNumberFormat="1" applyFont="1" applyFill="1" applyAlignment="1">
      <alignment horizontal="center"/>
    </xf>
    <xf numFmtId="8" fontId="0" fillId="0" borderId="0" xfId="0" applyNumberFormat="1" applyFill="1"/>
    <xf numFmtId="0" fontId="8" fillId="2" borderId="2" xfId="0" applyFont="1" applyFill="1" applyBorder="1" applyAlignment="1">
      <alignment horizontal="center" vertical="center"/>
    </xf>
    <xf numFmtId="0" fontId="11" fillId="2" borderId="2" xfId="0" applyFont="1" applyFill="1" applyBorder="1" applyAlignment="1">
      <alignment horizontal="center" vertical="center"/>
    </xf>
    <xf numFmtId="172" fontId="10" fillId="0" borderId="0" xfId="3" applyNumberFormat="1" applyFont="1" applyFill="1" applyBorder="1" applyAlignment="1">
      <alignment horizontal="center" vertical="center"/>
    </xf>
    <xf numFmtId="172" fontId="10" fillId="0" borderId="0" xfId="1" applyNumberFormat="1" applyFont="1" applyFill="1" applyBorder="1" applyAlignment="1">
      <alignment horizontal="center" vertical="center" wrapText="1"/>
    </xf>
    <xf numFmtId="8" fontId="0" fillId="0" borderId="0" xfId="0" applyNumberFormat="1" applyFont="1" applyAlignment="1">
      <alignment horizontal="center"/>
    </xf>
    <xf numFmtId="0" fontId="0" fillId="0" borderId="0" xfId="0" applyFont="1" applyBorder="1"/>
    <xf numFmtId="0" fontId="0" fillId="0" borderId="0" xfId="0" applyFont="1" applyFill="1"/>
    <xf numFmtId="165" fontId="9" fillId="0" borderId="0" xfId="3" applyNumberFormat="1" applyFont="1" applyFill="1"/>
    <xf numFmtId="170" fontId="0" fillId="0" borderId="0" xfId="0" applyNumberFormat="1" applyFont="1" applyAlignment="1">
      <alignment horizontal="center" vertical="center"/>
    </xf>
    <xf numFmtId="170" fontId="0" fillId="0" borderId="0" xfId="0" applyNumberFormat="1" applyFont="1" applyFill="1" applyAlignment="1">
      <alignment horizontal="center" vertical="center"/>
    </xf>
    <xf numFmtId="170" fontId="0" fillId="0" borderId="0" xfId="0" applyNumberFormat="1" applyFont="1" applyBorder="1" applyAlignment="1">
      <alignment horizontal="center" vertical="center"/>
    </xf>
    <xf numFmtId="170" fontId="0" fillId="0" borderId="0" xfId="0" applyNumberFormat="1" applyFont="1" applyAlignment="1">
      <alignment horizontal="center"/>
    </xf>
    <xf numFmtId="171" fontId="0" fillId="0" borderId="0" xfId="0" applyNumberFormat="1" applyFont="1" applyAlignment="1">
      <alignment horizontal="center"/>
    </xf>
    <xf numFmtId="171" fontId="0" fillId="0" borderId="0" xfId="0" applyNumberFormat="1" applyFont="1" applyFill="1" applyAlignment="1">
      <alignment horizontal="center"/>
    </xf>
    <xf numFmtId="0" fontId="0" fillId="0" borderId="0" xfId="0" applyAlignment="1">
      <alignment vertical="center"/>
    </xf>
    <xf numFmtId="1" fontId="0" fillId="0" borderId="0" xfId="0" applyNumberFormat="1" applyFont="1" applyAlignment="1">
      <alignment horizontal="center" vertical="center"/>
    </xf>
    <xf numFmtId="0" fontId="21" fillId="0" borderId="0" xfId="0" applyFont="1" applyFill="1" applyAlignment="1">
      <alignment horizontal="center"/>
    </xf>
    <xf numFmtId="0" fontId="2" fillId="0" borderId="12" xfId="0" applyFont="1" applyBorder="1" applyAlignment="1">
      <alignment horizontal="center"/>
    </xf>
    <xf numFmtId="0" fontId="2" fillId="0" borderId="13" xfId="0" applyFont="1" applyBorder="1" applyAlignment="1">
      <alignment horizontal="center"/>
    </xf>
    <xf numFmtId="0" fontId="21" fillId="13" borderId="0" xfId="0" applyFont="1" applyFill="1" applyAlignment="1">
      <alignment horizontal="center"/>
    </xf>
    <xf numFmtId="0" fontId="21" fillId="9" borderId="0" xfId="0" applyFont="1" applyFill="1" applyAlignment="1">
      <alignment horizontal="center"/>
    </xf>
    <xf numFmtId="169" fontId="21" fillId="9" borderId="0" xfId="0" applyNumberFormat="1" applyFont="1" applyFill="1" applyAlignment="1">
      <alignment horizontal="center"/>
    </xf>
    <xf numFmtId="0" fontId="21" fillId="8" borderId="0" xfId="0" applyFont="1" applyFill="1" applyAlignment="1">
      <alignment horizontal="center" vertical="center"/>
    </xf>
    <xf numFmtId="0" fontId="21" fillId="8" borderId="0" xfId="0" applyFont="1" applyFill="1" applyAlignment="1">
      <alignment horizontal="center"/>
    </xf>
    <xf numFmtId="0" fontId="21" fillId="8" borderId="0" xfId="0" applyFont="1" applyFill="1"/>
    <xf numFmtId="8" fontId="21" fillId="0" borderId="0" xfId="0" applyNumberFormat="1" applyFont="1" applyFill="1" applyBorder="1"/>
    <xf numFmtId="1" fontId="0" fillId="0" borderId="0" xfId="0" applyNumberFormat="1" applyFont="1" applyBorder="1" applyAlignment="1">
      <alignment horizontal="center" vertical="center"/>
    </xf>
    <xf numFmtId="1" fontId="0" fillId="0" borderId="0" xfId="0" applyNumberFormat="1" applyFont="1" applyAlignment="1">
      <alignment horizontal="center"/>
    </xf>
    <xf numFmtId="0" fontId="2" fillId="0" borderId="0" xfId="0" applyFont="1" applyBorder="1" applyAlignment="1">
      <alignment horizontal="center"/>
    </xf>
    <xf numFmtId="8" fontId="21" fillId="0" borderId="0" xfId="0" applyNumberFormat="1" applyFont="1" applyFill="1" applyBorder="1" applyAlignment="1">
      <alignment horizontal="center"/>
    </xf>
    <xf numFmtId="0" fontId="2" fillId="0" borderId="0" xfId="0" applyFont="1" applyFill="1" applyBorder="1" applyAlignment="1">
      <alignment horizontal="center" vertical="center"/>
    </xf>
    <xf numFmtId="0" fontId="0" fillId="0" borderId="0" xfId="0" applyFill="1" applyBorder="1"/>
    <xf numFmtId="8" fontId="0" fillId="0" borderId="0" xfId="0" applyNumberFormat="1" applyFill="1" applyAlignment="1">
      <alignment horizontal="center"/>
    </xf>
    <xf numFmtId="169" fontId="15" fillId="10" borderId="0" xfId="0" applyNumberFormat="1" applyFont="1" applyFill="1" applyBorder="1" applyAlignment="1">
      <alignment horizontal="center" vertical="center"/>
    </xf>
    <xf numFmtId="168" fontId="0" fillId="0" borderId="0" xfId="0" applyNumberFormat="1" applyFont="1" applyAlignment="1">
      <alignment horizontal="center"/>
    </xf>
    <xf numFmtId="3" fontId="0" fillId="0" borderId="0" xfId="0" applyNumberFormat="1" applyAlignment="1">
      <alignment horizontal="center"/>
    </xf>
    <xf numFmtId="3" fontId="0" fillId="0" borderId="0" xfId="0" applyNumberFormat="1" applyFont="1" applyAlignment="1">
      <alignment horizontal="center"/>
    </xf>
    <xf numFmtId="10" fontId="0" fillId="0" borderId="0" xfId="5" applyNumberFormat="1" applyFont="1" applyAlignment="1">
      <alignment horizontal="center"/>
    </xf>
    <xf numFmtId="0" fontId="0" fillId="0" borderId="15" xfId="0" applyFill="1" applyBorder="1" applyAlignment="1">
      <alignment horizontal="center"/>
    </xf>
    <xf numFmtId="0" fontId="2" fillId="0" borderId="14" xfId="0" applyFont="1" applyFill="1" applyBorder="1" applyAlignment="1">
      <alignment horizontal="center"/>
    </xf>
    <xf numFmtId="0" fontId="0" fillId="0" borderId="0" xfId="0" applyBorder="1" applyAlignment="1">
      <alignment horizontal="center"/>
    </xf>
    <xf numFmtId="170" fontId="0" fillId="0" borderId="10" xfId="0" applyNumberFormat="1" applyFont="1" applyFill="1" applyBorder="1" applyAlignment="1">
      <alignment horizontal="center"/>
    </xf>
    <xf numFmtId="170" fontId="0" fillId="0" borderId="17" xfId="0" applyNumberFormat="1" applyFont="1" applyFill="1" applyBorder="1" applyAlignment="1">
      <alignment horizontal="center"/>
    </xf>
    <xf numFmtId="8" fontId="21" fillId="0" borderId="17" xfId="0" applyNumberFormat="1" applyFont="1" applyFill="1" applyBorder="1" applyAlignment="1">
      <alignment horizontal="center"/>
    </xf>
    <xf numFmtId="170" fontId="0" fillId="0" borderId="0" xfId="0" applyNumberFormat="1" applyFill="1" applyAlignment="1">
      <alignment horizontal="center"/>
    </xf>
    <xf numFmtId="1" fontId="0" fillId="0" borderId="0" xfId="0" applyNumberFormat="1" applyFill="1" applyAlignment="1">
      <alignment horizontal="center"/>
    </xf>
    <xf numFmtId="0" fontId="23" fillId="0" borderId="0" xfId="0" applyFont="1" applyBorder="1" applyAlignment="1">
      <alignment horizontal="center" vertical="center"/>
    </xf>
    <xf numFmtId="0" fontId="2" fillId="0" borderId="0" xfId="0" applyFont="1" applyAlignment="1">
      <alignment horizontal="center"/>
    </xf>
    <xf numFmtId="0" fontId="2" fillId="0" borderId="0" xfId="0" applyFont="1" applyAlignment="1">
      <alignment horizontal="center"/>
    </xf>
    <xf numFmtId="165" fontId="10" fillId="5" borderId="0" xfId="3" applyNumberFormat="1" applyFont="1" applyFill="1" applyBorder="1" applyAlignment="1">
      <alignment horizontal="center" vertical="center"/>
    </xf>
    <xf numFmtId="165" fontId="10" fillId="5" borderId="0" xfId="4" applyFont="1" applyFill="1" applyBorder="1" applyAlignment="1">
      <alignment horizontal="center" vertical="center"/>
    </xf>
    <xf numFmtId="0" fontId="0" fillId="0" borderId="0" xfId="0" applyNumberFormat="1" applyAlignment="1"/>
    <xf numFmtId="170" fontId="0" fillId="0" borderId="0" xfId="0" applyNumberFormat="1" applyAlignment="1">
      <alignment horizontal="center"/>
    </xf>
    <xf numFmtId="0" fontId="2" fillId="0" borderId="0" xfId="0" applyFont="1" applyAlignment="1">
      <alignment horizontal="right"/>
    </xf>
    <xf numFmtId="171" fontId="0" fillId="0" borderId="0" xfId="0" applyNumberFormat="1" applyAlignment="1">
      <alignment horizontal="center"/>
    </xf>
    <xf numFmtId="0" fontId="2" fillId="0" borderId="0" xfId="0" applyFont="1" applyBorder="1" applyAlignment="1">
      <alignment horizontal="center" vertical="center"/>
    </xf>
    <xf numFmtId="171" fontId="0" fillId="0" borderId="0" xfId="0" applyNumberFormat="1"/>
    <xf numFmtId="9" fontId="2" fillId="0" borderId="0" xfId="5" applyFont="1" applyAlignment="1"/>
    <xf numFmtId="0" fontId="0" fillId="0" borderId="0" xfId="0" applyAlignment="1">
      <alignment horizontal="center"/>
    </xf>
    <xf numFmtId="0" fontId="0" fillId="0" borderId="0" xfId="0" applyAlignment="1">
      <alignment wrapText="1"/>
    </xf>
    <xf numFmtId="44" fontId="0" fillId="0" borderId="0" xfId="0" applyNumberFormat="1"/>
    <xf numFmtId="172" fontId="0" fillId="0" borderId="0" xfId="0" applyNumberFormat="1" applyFill="1" applyAlignment="1">
      <alignment horizontal="center"/>
    </xf>
    <xf numFmtId="0" fontId="2" fillId="0" borderId="0" xfId="0" applyFont="1" applyAlignment="1">
      <alignment horizontal="center"/>
    </xf>
    <xf numFmtId="0" fontId="0" fillId="0" borderId="0" xfId="0" applyAlignment="1">
      <alignment horizontal="center"/>
    </xf>
    <xf numFmtId="173" fontId="0" fillId="0" borderId="0" xfId="0" applyNumberFormat="1"/>
    <xf numFmtId="1" fontId="0" fillId="0" borderId="1" xfId="0" applyNumberFormat="1" applyFill="1" applyBorder="1" applyAlignment="1">
      <alignment horizontal="center"/>
    </xf>
    <xf numFmtId="8" fontId="0" fillId="0" borderId="1" xfId="0" applyNumberFormat="1" applyFill="1" applyBorder="1" applyAlignment="1">
      <alignment horizontal="center"/>
    </xf>
    <xf numFmtId="172" fontId="0" fillId="0" borderId="1" xfId="0" applyNumberFormat="1" applyFill="1" applyBorder="1" applyAlignment="1">
      <alignment horizontal="center"/>
    </xf>
    <xf numFmtId="44" fontId="0" fillId="0" borderId="0" xfId="0" applyNumberFormat="1" applyAlignment="1">
      <alignment horizontal="center"/>
    </xf>
    <xf numFmtId="10" fontId="0" fillId="0" borderId="0" xfId="0" applyNumberFormat="1" applyAlignment="1">
      <alignment horizontal="center"/>
    </xf>
    <xf numFmtId="164" fontId="0" fillId="0" borderId="0" xfId="1" applyNumberFormat="1" applyFont="1" applyAlignment="1">
      <alignment horizontal="center"/>
    </xf>
    <xf numFmtId="0" fontId="2" fillId="0" borderId="0" xfId="0" applyFont="1" applyAlignment="1">
      <alignment vertical="center"/>
    </xf>
    <xf numFmtId="164" fontId="0" fillId="0" borderId="0" xfId="0" applyNumberFormat="1" applyAlignment="1">
      <alignment horizontal="center"/>
    </xf>
    <xf numFmtId="8" fontId="0" fillId="0" borderId="0" xfId="0" applyNumberFormat="1" applyFill="1" applyBorder="1" applyAlignment="1">
      <alignment horizontal="center"/>
    </xf>
    <xf numFmtId="8" fontId="9" fillId="0" borderId="0" xfId="3" applyNumberFormat="1" applyFont="1" applyFill="1" applyAlignment="1">
      <alignment horizontal="center"/>
    </xf>
    <xf numFmtId="170" fontId="2" fillId="0" borderId="0" xfId="0" applyNumberFormat="1" applyFont="1" applyFill="1" applyAlignment="1">
      <alignment horizontal="center" vertical="center"/>
    </xf>
    <xf numFmtId="0" fontId="2" fillId="0" borderId="0" xfId="0" applyFont="1" applyFill="1"/>
    <xf numFmtId="1" fontId="2" fillId="0" borderId="0" xfId="0" applyNumberFormat="1" applyFont="1" applyFill="1" applyAlignment="1">
      <alignment horizontal="center" vertical="center"/>
    </xf>
    <xf numFmtId="2" fontId="2" fillId="0" borderId="0" xfId="0" applyNumberFormat="1" applyFont="1" applyFill="1" applyAlignment="1">
      <alignment horizontal="center" vertical="center"/>
    </xf>
    <xf numFmtId="169" fontId="2" fillId="0" borderId="0" xfId="0" applyNumberFormat="1" applyFont="1" applyFill="1" applyAlignment="1">
      <alignment horizontal="center"/>
    </xf>
    <xf numFmtId="0" fontId="2" fillId="0" borderId="0" xfId="0" applyFont="1" applyFill="1" applyAlignment="1">
      <alignment horizontal="center"/>
    </xf>
    <xf numFmtId="170" fontId="2" fillId="0" borderId="0" xfId="0" applyNumberFormat="1" applyFont="1" applyFill="1" applyAlignment="1">
      <alignment horizontal="center"/>
    </xf>
    <xf numFmtId="1" fontId="2" fillId="0" borderId="0" xfId="0" applyNumberFormat="1" applyFont="1" applyFill="1" applyAlignment="1">
      <alignment horizontal="center"/>
    </xf>
    <xf numFmtId="2" fontId="2" fillId="0" borderId="0" xfId="0" applyNumberFormat="1" applyFont="1" applyFill="1" applyAlignment="1">
      <alignment horizontal="center"/>
    </xf>
    <xf numFmtId="174" fontId="0" fillId="0" borderId="0" xfId="0" applyNumberFormat="1" applyFill="1"/>
    <xf numFmtId="0" fontId="11" fillId="0" borderId="0" xfId="0" applyFont="1" applyBorder="1" applyAlignment="1">
      <alignment horizontal="center" vertical="center"/>
    </xf>
    <xf numFmtId="8" fontId="8" fillId="0" borderId="0" xfId="0" applyNumberFormat="1" applyFont="1" applyBorder="1" applyAlignment="1">
      <alignment horizontal="center" vertical="center"/>
    </xf>
    <xf numFmtId="0" fontId="21" fillId="0" borderId="0" xfId="0" applyFont="1" applyFill="1" applyAlignment="1">
      <alignment horizontal="center" vertical="center"/>
    </xf>
    <xf numFmtId="0" fontId="21" fillId="0" borderId="0" xfId="0" applyFont="1" applyFill="1"/>
    <xf numFmtId="169" fontId="21" fillId="0" borderId="0" xfId="0" applyNumberFormat="1" applyFont="1" applyFill="1" applyAlignment="1">
      <alignment horizontal="center"/>
    </xf>
    <xf numFmtId="8" fontId="0" fillId="15" borderId="12" xfId="0" applyNumberFormat="1" applyFont="1" applyFill="1" applyBorder="1" applyAlignment="1">
      <alignment horizontal="center"/>
    </xf>
    <xf numFmtId="170" fontId="0" fillId="15" borderId="13" xfId="0" applyNumberFormat="1" applyFont="1" applyFill="1" applyBorder="1" applyAlignment="1">
      <alignment horizontal="center"/>
    </xf>
    <xf numFmtId="8" fontId="0" fillId="15" borderId="15" xfId="0" applyNumberFormat="1" applyFont="1" applyFill="1" applyBorder="1" applyAlignment="1">
      <alignment horizontal="center"/>
    </xf>
    <xf numFmtId="170" fontId="0" fillId="15" borderId="0" xfId="0" applyNumberFormat="1" applyFont="1" applyFill="1" applyBorder="1" applyAlignment="1">
      <alignment horizontal="center"/>
    </xf>
    <xf numFmtId="8" fontId="0" fillId="15" borderId="16" xfId="0" applyNumberFormat="1" applyFont="1" applyFill="1" applyBorder="1" applyAlignment="1">
      <alignment horizontal="center"/>
    </xf>
    <xf numFmtId="170" fontId="0" fillId="15" borderId="11" xfId="0" applyNumberFormat="1" applyFont="1" applyFill="1" applyBorder="1" applyAlignment="1">
      <alignment horizontal="center"/>
    </xf>
    <xf numFmtId="8" fontId="0" fillId="2" borderId="13" xfId="0" applyNumberFormat="1" applyFont="1" applyFill="1" applyBorder="1" applyAlignment="1">
      <alignment horizontal="center"/>
    </xf>
    <xf numFmtId="2" fontId="0" fillId="2" borderId="13" xfId="0" applyNumberFormat="1" applyFont="1" applyFill="1" applyBorder="1" applyAlignment="1">
      <alignment horizontal="center"/>
    </xf>
    <xf numFmtId="8" fontId="0" fillId="2" borderId="0" xfId="0" applyNumberFormat="1" applyFont="1" applyFill="1" applyBorder="1" applyAlignment="1">
      <alignment horizontal="center"/>
    </xf>
    <xf numFmtId="2" fontId="0" fillId="2" borderId="0" xfId="0" applyNumberFormat="1" applyFont="1" applyFill="1" applyBorder="1" applyAlignment="1">
      <alignment horizontal="center"/>
    </xf>
    <xf numFmtId="8" fontId="0" fillId="2" borderId="11" xfId="0" applyNumberFormat="1" applyFont="1" applyFill="1" applyBorder="1" applyAlignment="1">
      <alignment horizontal="center"/>
    </xf>
    <xf numFmtId="2" fontId="0" fillId="2" borderId="11" xfId="0" applyNumberFormat="1" applyFont="1" applyFill="1" applyBorder="1" applyAlignment="1">
      <alignment horizontal="center"/>
    </xf>
    <xf numFmtId="8" fontId="0" fillId="3" borderId="13" xfId="0" applyNumberFormat="1" applyFont="1" applyFill="1" applyBorder="1" applyAlignment="1">
      <alignment horizontal="center"/>
    </xf>
    <xf numFmtId="170" fontId="0" fillId="3" borderId="13" xfId="0" applyNumberFormat="1" applyFont="1" applyFill="1" applyBorder="1" applyAlignment="1">
      <alignment horizontal="center"/>
    </xf>
    <xf numFmtId="8" fontId="0" fillId="3" borderId="0" xfId="0" applyNumberFormat="1" applyFont="1" applyFill="1" applyBorder="1" applyAlignment="1">
      <alignment horizontal="center"/>
    </xf>
    <xf numFmtId="170" fontId="0" fillId="3" borderId="0" xfId="0" applyNumberFormat="1" applyFont="1" applyFill="1" applyBorder="1" applyAlignment="1">
      <alignment horizontal="center"/>
    </xf>
    <xf numFmtId="8" fontId="0" fillId="3" borderId="11" xfId="0" applyNumberFormat="1" applyFont="1" applyFill="1" applyBorder="1" applyAlignment="1">
      <alignment horizontal="center"/>
    </xf>
    <xf numFmtId="170" fontId="0" fillId="3" borderId="11" xfId="0" applyNumberFormat="1" applyFont="1" applyFill="1" applyBorder="1" applyAlignment="1">
      <alignment horizontal="center"/>
    </xf>
    <xf numFmtId="0" fontId="21" fillId="0" borderId="0" xfId="0" applyFont="1"/>
    <xf numFmtId="0" fontId="0" fillId="0" borderId="0" xfId="0" applyFont="1" applyFill="1" applyAlignment="1">
      <alignment horizontal="center"/>
    </xf>
    <xf numFmtId="172" fontId="2" fillId="0" borderId="0" xfId="1" applyNumberFormat="1" applyFont="1" applyFill="1" applyAlignment="1"/>
    <xf numFmtId="172" fontId="0" fillId="14" borderId="0" xfId="0" applyNumberFormat="1" applyFill="1"/>
    <xf numFmtId="169" fontId="0" fillId="6" borderId="0" xfId="0" applyNumberFormat="1" applyFill="1" applyAlignment="1">
      <alignment horizontal="center"/>
    </xf>
    <xf numFmtId="0" fontId="0" fillId="6" borderId="0" xfId="0" applyFont="1" applyFill="1" applyAlignment="1">
      <alignment horizontal="center"/>
    </xf>
    <xf numFmtId="10" fontId="0" fillId="6" borderId="0" xfId="0" applyNumberFormat="1" applyFont="1" applyFill="1" applyAlignment="1">
      <alignment horizontal="center"/>
    </xf>
    <xf numFmtId="8" fontId="0" fillId="10" borderId="0" xfId="0" applyNumberFormat="1" applyFill="1" applyAlignment="1">
      <alignment horizontal="center"/>
    </xf>
    <xf numFmtId="172" fontId="0" fillId="14" borderId="0" xfId="0" applyNumberFormat="1" applyFont="1" applyFill="1" applyAlignment="1">
      <alignment horizontal="center"/>
    </xf>
    <xf numFmtId="9" fontId="23" fillId="0" borderId="0" xfId="0" applyNumberFormat="1" applyFont="1" applyBorder="1" applyAlignment="1">
      <alignment horizontal="center" vertical="center"/>
    </xf>
    <xf numFmtId="0" fontId="25" fillId="0" borderId="0" xfId="0" applyFont="1" applyBorder="1" applyAlignment="1">
      <alignment horizontal="center" vertical="center"/>
    </xf>
    <xf numFmtId="0" fontId="8" fillId="0" borderId="0" xfId="0" applyFont="1" applyBorder="1" applyAlignment="1">
      <alignment horizontal="center" vertical="center"/>
    </xf>
    <xf numFmtId="8" fontId="15" fillId="0" borderId="0" xfId="0" applyNumberFormat="1" applyFont="1" applyBorder="1" applyAlignment="1">
      <alignment horizontal="center" vertical="center"/>
    </xf>
    <xf numFmtId="0" fontId="15" fillId="0" borderId="0" xfId="0" applyFont="1" applyBorder="1" applyAlignment="1">
      <alignment horizontal="center" vertical="center"/>
    </xf>
    <xf numFmtId="172" fontId="15" fillId="0" borderId="0" xfId="0" applyNumberFormat="1" applyFont="1" applyBorder="1" applyAlignment="1">
      <alignment horizontal="center" vertical="center"/>
    </xf>
    <xf numFmtId="2" fontId="15" fillId="0" borderId="0" xfId="0" applyNumberFormat="1" applyFont="1" applyBorder="1" applyAlignment="1">
      <alignment horizontal="center" vertical="center"/>
    </xf>
    <xf numFmtId="44" fontId="0" fillId="6" borderId="0" xfId="1" applyNumberFormat="1" applyFont="1" applyFill="1" applyAlignment="1">
      <alignment horizontal="center"/>
    </xf>
    <xf numFmtId="44" fontId="20" fillId="6" borderId="0" xfId="1" applyNumberFormat="1" applyFont="1" applyFill="1" applyAlignment="1">
      <alignment horizontal="center"/>
    </xf>
    <xf numFmtId="44" fontId="20" fillId="7" borderId="0" xfId="1" applyNumberFormat="1" applyFont="1" applyFill="1" applyAlignment="1">
      <alignment horizontal="center"/>
    </xf>
    <xf numFmtId="44" fontId="0" fillId="7" borderId="0" xfId="0" applyNumberFormat="1" applyFont="1" applyFill="1"/>
    <xf numFmtId="44" fontId="0" fillId="6" borderId="0" xfId="1" applyNumberFormat="1" applyFont="1" applyFill="1"/>
    <xf numFmtId="44" fontId="20" fillId="6" borderId="0" xfId="1" applyNumberFormat="1" applyFont="1" applyFill="1" applyBorder="1" applyAlignment="1">
      <alignment horizontal="center" wrapText="1"/>
    </xf>
    <xf numFmtId="44" fontId="20" fillId="6" borderId="0" xfId="1" applyNumberFormat="1" applyFont="1" applyFill="1"/>
    <xf numFmtId="44" fontId="0" fillId="7" borderId="0" xfId="1" applyNumberFormat="1" applyFont="1" applyFill="1"/>
    <xf numFmtId="44" fontId="20" fillId="11" borderId="0" xfId="1" applyNumberFormat="1" applyFont="1" applyFill="1" applyBorder="1" applyAlignment="1">
      <alignment horizontal="center" vertical="center" wrapText="1"/>
    </xf>
    <xf numFmtId="44" fontId="20" fillId="11" borderId="0" xfId="1" applyNumberFormat="1" applyFont="1" applyFill="1" applyBorder="1" applyAlignment="1">
      <alignment vertical="center" wrapText="1"/>
    </xf>
    <xf numFmtId="0" fontId="6" fillId="0" borderId="0" xfId="0" applyFont="1" applyFill="1" applyAlignment="1">
      <alignment horizontal="center" vertical="center"/>
    </xf>
    <xf numFmtId="164" fontId="0" fillId="0" borderId="0" xfId="1" applyFont="1" applyFill="1" applyAlignment="1"/>
    <xf numFmtId="2" fontId="0" fillId="0" borderId="0" xfId="0" applyNumberFormat="1" applyFill="1" applyAlignment="1">
      <alignment horizontal="center"/>
    </xf>
    <xf numFmtId="1" fontId="2" fillId="0" borderId="0" xfId="0" applyNumberFormat="1" applyFont="1" applyAlignment="1">
      <alignment horizontal="center"/>
    </xf>
    <xf numFmtId="169" fontId="0" fillId="0" borderId="0" xfId="0" applyNumberFormat="1" applyBorder="1" applyAlignment="1">
      <alignment horizontal="center"/>
    </xf>
    <xf numFmtId="9" fontId="0" fillId="0" borderId="0" xfId="0" applyNumberFormat="1" applyFont="1" applyAlignment="1">
      <alignment horizontal="center"/>
    </xf>
    <xf numFmtId="8" fontId="20" fillId="11" borderId="0" xfId="1" applyNumberFormat="1" applyFont="1" applyFill="1" applyBorder="1" applyAlignment="1">
      <alignment horizontal="center" vertical="center" wrapText="1"/>
    </xf>
    <xf numFmtId="2" fontId="0" fillId="0" borderId="0" xfId="0" applyNumberFormat="1" applyFill="1"/>
    <xf numFmtId="2" fontId="0" fillId="0" borderId="0" xfId="0" applyNumberFormat="1" applyAlignment="1">
      <alignment horizontal="center" vertical="center"/>
    </xf>
    <xf numFmtId="0" fontId="0" fillId="0" borderId="0" xfId="0" applyFont="1" applyAlignment="1">
      <alignment horizontal="left"/>
    </xf>
    <xf numFmtId="0" fontId="2" fillId="0" borderId="0" xfId="0" applyFont="1" applyAlignment="1">
      <alignment horizontal="left"/>
    </xf>
    <xf numFmtId="0" fontId="2" fillId="0" borderId="0" xfId="0" applyFont="1" applyAlignment="1">
      <alignment horizontal="center"/>
    </xf>
    <xf numFmtId="0" fontId="0" fillId="0" borderId="0" xfId="0" applyAlignment="1">
      <alignment horizontal="center"/>
    </xf>
    <xf numFmtId="0" fontId="2" fillId="0" borderId="0" xfId="0" applyFont="1" applyAlignment="1">
      <alignment horizontal="center"/>
    </xf>
    <xf numFmtId="0" fontId="0" fillId="0" borderId="0" xfId="0" applyAlignment="1">
      <alignment horizontal="center"/>
    </xf>
    <xf numFmtId="169" fontId="0" fillId="0" borderId="0" xfId="5" applyNumberFormat="1" applyFont="1" applyFill="1"/>
    <xf numFmtId="169" fontId="2" fillId="0" borderId="0" xfId="5" applyNumberFormat="1" applyFont="1" applyFill="1"/>
    <xf numFmtId="175" fontId="0" fillId="0" borderId="0" xfId="0" applyNumberFormat="1" applyAlignment="1">
      <alignment horizontal="center"/>
    </xf>
    <xf numFmtId="0" fontId="20" fillId="0" borderId="0" xfId="0" applyFont="1" applyAlignment="1">
      <alignment horizontal="center"/>
    </xf>
    <xf numFmtId="0" fontId="0" fillId="0" borderId="0" xfId="5" applyNumberFormat="1" applyFont="1" applyAlignment="1">
      <alignment horizontal="center"/>
    </xf>
    <xf numFmtId="172" fontId="0" fillId="0" borderId="0" xfId="0" applyNumberFormat="1" applyAlignment="1">
      <alignment horizontal="center"/>
    </xf>
    <xf numFmtId="0" fontId="23" fillId="0" borderId="0" xfId="0" applyFont="1" applyFill="1" applyBorder="1" applyAlignment="1">
      <alignment horizontal="center" vertical="center"/>
    </xf>
    <xf numFmtId="170" fontId="0" fillId="0" borderId="0" xfId="0" applyNumberFormat="1" applyFont="1" applyFill="1" applyAlignment="1">
      <alignment horizontal="center"/>
    </xf>
    <xf numFmtId="8" fontId="8" fillId="0" borderId="0" xfId="0" applyNumberFormat="1" applyFont="1" applyFill="1" applyBorder="1" applyAlignment="1">
      <alignment horizontal="center" vertical="center"/>
    </xf>
    <xf numFmtId="0" fontId="20" fillId="0" borderId="0" xfId="0" applyFont="1" applyFill="1"/>
    <xf numFmtId="8" fontId="16" fillId="0" borderId="0" xfId="0" applyNumberFormat="1" applyFont="1"/>
    <xf numFmtId="6" fontId="0" fillId="0" borderId="0" xfId="0" applyNumberFormat="1"/>
    <xf numFmtId="0" fontId="2" fillId="0" borderId="0" xfId="0" applyFont="1" applyAlignment="1">
      <alignment horizontal="center"/>
    </xf>
    <xf numFmtId="164" fontId="2" fillId="0" borderId="0" xfId="1" applyFont="1" applyBorder="1" applyAlignment="1">
      <alignment horizontal="center" vertical="center"/>
    </xf>
    <xf numFmtId="0" fontId="2" fillId="0" borderId="0" xfId="0" applyFont="1" applyAlignment="1">
      <alignment horizontal="center"/>
    </xf>
    <xf numFmtId="0" fontId="0" fillId="0" borderId="0" xfId="0" applyAlignment="1">
      <alignment horizontal="center"/>
    </xf>
    <xf numFmtId="0" fontId="26" fillId="0" borderId="0" xfId="0" applyFont="1" applyAlignment="1">
      <alignment horizontal="center"/>
    </xf>
    <xf numFmtId="0" fontId="26" fillId="0" borderId="0" xfId="0" applyFont="1"/>
    <xf numFmtId="2" fontId="0" fillId="6" borderId="0" xfId="0" applyNumberFormat="1" applyFill="1" applyAlignment="1">
      <alignment horizontal="center"/>
    </xf>
    <xf numFmtId="2" fontId="0" fillId="0" borderId="0" xfId="0" applyNumberFormat="1" applyBorder="1" applyAlignment="1">
      <alignment horizontal="center"/>
    </xf>
    <xf numFmtId="2" fontId="0" fillId="0" borderId="0" xfId="0" applyNumberFormat="1" applyFill="1" applyBorder="1" applyAlignment="1">
      <alignment horizontal="center"/>
    </xf>
    <xf numFmtId="164" fontId="0" fillId="0" borderId="0" xfId="1" applyFont="1" applyAlignment="1">
      <alignment horizontal="center" vertical="center"/>
    </xf>
    <xf numFmtId="0" fontId="0" fillId="0" borderId="0" xfId="0" applyAlignment="1">
      <alignment horizontal="center" vertical="center"/>
    </xf>
    <xf numFmtId="0" fontId="28" fillId="0" borderId="0" xfId="0" applyFont="1"/>
    <xf numFmtId="170" fontId="0" fillId="0" borderId="0" xfId="0" applyNumberFormat="1" applyFont="1" applyBorder="1" applyAlignment="1">
      <alignment horizontal="center"/>
    </xf>
    <xf numFmtId="1" fontId="0" fillId="0" borderId="0" xfId="0" applyNumberFormat="1" applyFont="1" applyBorder="1" applyAlignment="1">
      <alignment horizontal="center"/>
    </xf>
    <xf numFmtId="2" fontId="0" fillId="0" borderId="0" xfId="0" applyNumberFormat="1" applyFont="1" applyBorder="1" applyAlignment="1">
      <alignment horizontal="center"/>
    </xf>
    <xf numFmtId="169" fontId="0" fillId="0" borderId="0" xfId="5" applyNumberFormat="1" applyFont="1" applyFill="1" applyBorder="1"/>
    <xf numFmtId="170" fontId="0" fillId="0" borderId="13" xfId="0" applyNumberFormat="1" applyFont="1" applyBorder="1" applyAlignment="1">
      <alignment horizontal="center" vertical="center"/>
    </xf>
    <xf numFmtId="2" fontId="0" fillId="0" borderId="13" xfId="0" applyNumberFormat="1" applyFont="1" applyBorder="1" applyAlignment="1">
      <alignment horizontal="center" vertical="center"/>
    </xf>
    <xf numFmtId="1" fontId="0" fillId="0" borderId="13" xfId="0" applyNumberFormat="1" applyFont="1" applyBorder="1" applyAlignment="1">
      <alignment horizontal="center" vertical="center"/>
    </xf>
    <xf numFmtId="169" fontId="0" fillId="0" borderId="13" xfId="0" applyNumberFormat="1" applyBorder="1" applyAlignment="1">
      <alignment horizontal="center"/>
    </xf>
    <xf numFmtId="0" fontId="0" fillId="0" borderId="13" xfId="0" applyBorder="1"/>
    <xf numFmtId="169" fontId="0" fillId="0" borderId="13" xfId="5" applyNumberFormat="1" applyFont="1" applyFill="1" applyBorder="1"/>
    <xf numFmtId="170" fontId="0" fillId="0" borderId="13" xfId="0" applyNumberFormat="1" applyFont="1" applyBorder="1" applyAlignment="1">
      <alignment horizontal="center"/>
    </xf>
    <xf numFmtId="1" fontId="0" fillId="0" borderId="13" xfId="0" applyNumberFormat="1" applyFont="1" applyBorder="1" applyAlignment="1">
      <alignment horizontal="center"/>
    </xf>
    <xf numFmtId="2" fontId="0" fillId="0" borderId="13" xfId="0" applyNumberFormat="1" applyFont="1" applyBorder="1" applyAlignment="1">
      <alignment horizontal="center"/>
    </xf>
    <xf numFmtId="0" fontId="2" fillId="0" borderId="0" xfId="0" applyFont="1" applyBorder="1" applyAlignment="1">
      <alignment horizontal="center"/>
    </xf>
    <xf numFmtId="0" fontId="27" fillId="3" borderId="5" xfId="0" applyFont="1" applyFill="1" applyBorder="1" applyAlignment="1">
      <alignment horizontal="center" vertical="center"/>
    </xf>
    <xf numFmtId="0" fontId="27" fillId="3" borderId="6" xfId="0" applyFont="1" applyFill="1" applyBorder="1" applyAlignment="1">
      <alignment horizontal="center" vertical="center"/>
    </xf>
    <xf numFmtId="0" fontId="27" fillId="3" borderId="7" xfId="0" applyFont="1" applyFill="1" applyBorder="1" applyAlignment="1">
      <alignment horizontal="center" vertical="center"/>
    </xf>
    <xf numFmtId="0" fontId="25" fillId="0" borderId="18" xfId="0" applyFont="1" applyBorder="1" applyAlignment="1">
      <alignment horizontal="center" vertical="center"/>
    </xf>
    <xf numFmtId="0" fontId="25" fillId="0" borderId="8" xfId="0" applyFont="1" applyBorder="1" applyAlignment="1">
      <alignment horizontal="center" vertical="center"/>
    </xf>
    <xf numFmtId="0" fontId="25" fillId="0" borderId="19" xfId="0" applyFont="1" applyBorder="1" applyAlignment="1">
      <alignment horizontal="center" vertical="center"/>
    </xf>
    <xf numFmtId="0" fontId="25" fillId="0" borderId="20" xfId="0" applyFont="1" applyBorder="1" applyAlignment="1">
      <alignment horizontal="center" vertical="center"/>
    </xf>
    <xf numFmtId="0" fontId="25" fillId="0" borderId="0" xfId="0" applyFont="1" applyBorder="1" applyAlignment="1">
      <alignment horizontal="center" vertical="center"/>
    </xf>
    <xf numFmtId="0" fontId="25" fillId="0" borderId="21" xfId="0" applyFont="1" applyBorder="1" applyAlignment="1">
      <alignment horizontal="center" vertical="center"/>
    </xf>
    <xf numFmtId="0" fontId="25" fillId="0" borderId="22" xfId="0" applyFont="1" applyBorder="1" applyAlignment="1">
      <alignment horizontal="center" vertical="center"/>
    </xf>
    <xf numFmtId="0" fontId="25" fillId="0" borderId="1" xfId="0" applyFont="1" applyBorder="1" applyAlignment="1">
      <alignment horizontal="center" vertical="center"/>
    </xf>
    <xf numFmtId="0" fontId="25" fillId="0" borderId="23" xfId="0" applyFont="1" applyBorder="1" applyAlignment="1">
      <alignment horizontal="center" vertical="center"/>
    </xf>
    <xf numFmtId="165" fontId="19" fillId="12" borderId="5" xfId="3" applyNumberFormat="1" applyFont="1" applyFill="1" applyBorder="1" applyAlignment="1">
      <alignment horizontal="center" vertical="center"/>
    </xf>
    <xf numFmtId="165" fontId="19" fillId="12" borderId="6" xfId="3" applyNumberFormat="1" applyFont="1" applyFill="1" applyBorder="1" applyAlignment="1">
      <alignment horizontal="center" vertical="center"/>
    </xf>
    <xf numFmtId="165" fontId="19" fillId="12" borderId="7" xfId="3" applyNumberFormat="1" applyFont="1" applyFill="1" applyBorder="1" applyAlignment="1">
      <alignment horizontal="center" vertical="center"/>
    </xf>
    <xf numFmtId="0" fontId="8" fillId="2" borderId="5" xfId="0" applyFont="1" applyFill="1" applyBorder="1" applyAlignment="1">
      <alignment horizontal="center" vertical="center"/>
    </xf>
    <xf numFmtId="0" fontId="8" fillId="2" borderId="6" xfId="0" applyFont="1" applyFill="1" applyBorder="1" applyAlignment="1">
      <alignment horizontal="center" vertical="center"/>
    </xf>
    <xf numFmtId="0" fontId="8" fillId="2" borderId="7" xfId="0" applyFont="1" applyFill="1" applyBorder="1" applyAlignment="1">
      <alignment horizontal="center" vertical="center"/>
    </xf>
    <xf numFmtId="0" fontId="11" fillId="2" borderId="5" xfId="0" applyFont="1" applyFill="1" applyBorder="1" applyAlignment="1">
      <alignment horizontal="center" vertical="center"/>
    </xf>
    <xf numFmtId="0" fontId="11" fillId="2" borderId="6" xfId="0" applyFont="1" applyFill="1" applyBorder="1" applyAlignment="1">
      <alignment horizontal="center" vertical="center"/>
    </xf>
    <xf numFmtId="0" fontId="11" fillId="2" borderId="7" xfId="0" applyFont="1" applyFill="1" applyBorder="1" applyAlignment="1">
      <alignment horizontal="center" vertical="center"/>
    </xf>
    <xf numFmtId="165" fontId="10" fillId="0" borderId="8" xfId="3" applyNumberFormat="1" applyFont="1" applyFill="1" applyBorder="1" applyAlignment="1">
      <alignment horizontal="center"/>
    </xf>
    <xf numFmtId="0" fontId="6" fillId="5" borderId="0" xfId="2" applyNumberFormat="1" applyFont="1" applyFill="1" applyBorder="1" applyAlignment="1" applyProtection="1">
      <alignment horizontal="center" vertical="center"/>
    </xf>
    <xf numFmtId="0" fontId="7" fillId="5" borderId="0" xfId="2" applyNumberFormat="1" applyFont="1" applyFill="1" applyBorder="1" applyAlignment="1" applyProtection="1">
      <alignment horizontal="center" vertical="center"/>
    </xf>
    <xf numFmtId="0" fontId="3" fillId="0" borderId="0" xfId="0" applyFont="1" applyFill="1" applyBorder="1" applyAlignment="1">
      <alignment horizontal="center"/>
    </xf>
    <xf numFmtId="0" fontId="2" fillId="0" borderId="0" xfId="0" applyFont="1" applyFill="1" applyBorder="1" applyAlignment="1">
      <alignment horizontal="center"/>
    </xf>
    <xf numFmtId="0" fontId="6" fillId="5" borderId="0" xfId="0" applyFont="1" applyFill="1" applyAlignment="1">
      <alignment horizontal="center" vertical="center"/>
    </xf>
    <xf numFmtId="0" fontId="2" fillId="0" borderId="0" xfId="0" applyFont="1" applyAlignment="1">
      <alignment horizontal="center"/>
    </xf>
    <xf numFmtId="0" fontId="2" fillId="0" borderId="0" xfId="0" applyFont="1" applyAlignment="1">
      <alignment horizontal="center" vertical="center"/>
    </xf>
    <xf numFmtId="0" fontId="2" fillId="0" borderId="11" xfId="0" applyFont="1" applyBorder="1" applyAlignment="1">
      <alignment horizontal="center"/>
    </xf>
    <xf numFmtId="0" fontId="0" fillId="0" borderId="0" xfId="0" applyAlignment="1">
      <alignment horizontal="center"/>
    </xf>
  </cellXfs>
  <cellStyles count="8">
    <cellStyle name="blp_column_header" xfId="2" xr:uid="{00000000-0005-0000-0000-000000000000}"/>
    <cellStyle name="Comma" xfId="6" builtinId="3"/>
    <cellStyle name="Currency" xfId="1" builtinId="4"/>
    <cellStyle name="Hyperlink" xfId="7" builtinId="8"/>
    <cellStyle name="Normal" xfId="0" builtinId="0"/>
    <cellStyle name="Normal_pr2009-01-01" xfId="3" xr:uid="{00000000-0005-0000-0000-000005000000}"/>
    <cellStyle name="Normal_pr2009-01-01 2" xfId="4" xr:uid="{00000000-0005-0000-0000-000006000000}"/>
    <cellStyle name="Percent" xfId="5" builtinId="5"/>
  </cellStyles>
  <dxfs count="1">
    <dxf>
      <fill>
        <patternFill patternType="solid">
          <fgColor theme="0"/>
          <bgColor theme="8"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1.xml"/><Relationship Id="rId25"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3.xml.rels><?xml version="1.0" encoding="UTF-8" standalone="yes"?>
<Relationships xmlns="http://schemas.openxmlformats.org/package/2006/relationships"><Relationship Id="rId1" Type="http://schemas.openxmlformats.org/officeDocument/2006/relationships/themeOverride" Target="../theme/themeOverride1.xml"/></Relationships>
</file>

<file path=xl/charts/_rels/chart4.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5.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spPr>
            <a:ln w="19050" cap="rnd">
              <a:solidFill>
                <a:schemeClr val="accent1"/>
              </a:solidFill>
              <a:round/>
            </a:ln>
            <a:effectLst/>
          </c:spPr>
          <c:marker>
            <c:symbol val="none"/>
          </c:marker>
          <c:cat>
            <c:numRef>
              <c:f>'[1]Oil Production'!$B$7:$B$261</c:f>
              <c:numCache>
                <c:formatCode>General</c:formatCode>
                <c:ptCount val="255"/>
                <c:pt idx="0">
                  <c:v>243.78363670856345</c:v>
                </c:pt>
                <c:pt idx="1">
                  <c:v>182.67840003098269</c:v>
                </c:pt>
                <c:pt idx="2">
                  <c:v>154.30544362643755</c:v>
                </c:pt>
                <c:pt idx="3">
                  <c:v>136.88940852816268</c:v>
                </c:pt>
                <c:pt idx="4">
                  <c:v>124.74601198856659</c:v>
                </c:pt>
                <c:pt idx="5">
                  <c:v>115.62823468519711</c:v>
                </c:pt>
                <c:pt idx="6">
                  <c:v>108.44118777864109</c:v>
                </c:pt>
                <c:pt idx="7">
                  <c:v>102.57759080445241</c:v>
                </c:pt>
                <c:pt idx="8">
                  <c:v>97.669270399867315</c:v>
                </c:pt>
                <c:pt idx="9">
                  <c:v>93.477979851289291</c:v>
                </c:pt>
                <c:pt idx="10">
                  <c:v>89.841654418063442</c:v>
                </c:pt>
                <c:pt idx="11">
                  <c:v>86.645605898276415</c:v>
                </c:pt>
                <c:pt idx="12">
                  <c:v>83.806025336714384</c:v>
                </c:pt>
                <c:pt idx="13">
                  <c:v>81.260017892602249</c:v>
                </c:pt>
                <c:pt idx="14">
                  <c:v>78.959314006527435</c:v>
                </c:pt>
                <c:pt idx="15">
                  <c:v>76.866152380817155</c:v>
                </c:pt>
                <c:pt idx="16">
                  <c:v>74.95049938593634</c:v>
                </c:pt>
                <c:pt idx="17">
                  <c:v>73.188119964634339</c:v>
                </c:pt>
                <c:pt idx="18">
                  <c:v>71.559207628030549</c:v>
                </c:pt>
                <c:pt idx="19">
                  <c:v>70.047391317639324</c:v>
                </c:pt>
                <c:pt idx="20">
                  <c:v>68.639002245933966</c:v>
                </c:pt>
                <c:pt idx="21">
                  <c:v>67.322523803550183</c:v>
                </c:pt>
                <c:pt idx="22">
                  <c:v>66.088172764198234</c:v>
                </c:pt>
                <c:pt idx="23">
                  <c:v>64.927576226678752</c:v>
                </c:pt>
                <c:pt idx="24">
                  <c:v>63.833519415640758</c:v>
                </c:pt>
                <c:pt idx="25">
                  <c:v>62.799746644887094</c:v>
                </c:pt>
                <c:pt idx="26">
                  <c:v>61.820802664203661</c:v>
                </c:pt>
                <c:pt idx="27">
                  <c:v>60.891905033214876</c:v>
                </c:pt>
                <c:pt idx="28">
                  <c:v>60.008840584260781</c:v>
                </c:pt>
                <c:pt idx="29">
                  <c:v>59.167880769208764</c:v>
                </c:pt>
                <c:pt idx="30">
                  <c:v>58.365711942813306</c:v>
                </c:pt>
                <c:pt idx="31">
                  <c:v>57.599377558929241</c:v>
                </c:pt>
                <c:pt idx="32">
                  <c:v>56.866229941779373</c:v>
                </c:pt>
                <c:pt idx="33">
                  <c:v>56.163889809036739</c:v>
                </c:pt>
                <c:pt idx="34">
                  <c:v>55.490212113213488</c:v>
                </c:pt>
                <c:pt idx="35">
                  <c:v>54.843257065683815</c:v>
                </c:pt>
                <c:pt idx="36">
                  <c:v>54.221265437190631</c:v>
                </c:pt>
                <c:pt idx="37">
                  <c:v>53.622637406960614</c:v>
                </c:pt>
                <c:pt idx="38">
                  <c:v>53.04591437205319</c:v>
                </c:pt>
                <c:pt idx="39">
                  <c:v>52.489763238489772</c:v>
                </c:pt>
                <c:pt idx="40">
                  <c:v>51.952962802900331</c:v>
                </c:pt>
                <c:pt idx="41">
                  <c:v>51.434391903013996</c:v>
                </c:pt>
                <c:pt idx="42">
                  <c:v>50.933019071192632</c:v>
                </c:pt>
                <c:pt idx="43">
                  <c:v>50.447893470317936</c:v>
                </c:pt>
                <c:pt idx="44">
                  <c:v>49.978136927959021</c:v>
                </c:pt>
                <c:pt idx="45">
                  <c:v>49.522936914620296</c:v>
                </c:pt>
                <c:pt idx="46">
                  <c:v>49.081540336358316</c:v>
                </c:pt>
                <c:pt idx="47">
                  <c:v>48.653248032224063</c:v>
                </c:pt>
                <c:pt idx="48">
                  <c:v>48.23740988366928</c:v>
                </c:pt>
                <c:pt idx="49">
                  <c:v>47.833420456912485</c:v>
                </c:pt>
                <c:pt idx="50">
                  <c:v>47.440715110817322</c:v>
                </c:pt>
                <c:pt idx="51">
                  <c:v>47.058766512510793</c:v>
                </c:pt>
                <c:pt idx="52">
                  <c:v>46.687081511099564</c:v>
                </c:pt>
                <c:pt idx="53">
                  <c:v>46.325198326697745</c:v>
                </c:pt>
                <c:pt idx="54">
                  <c:v>45.972684017781383</c:v>
                </c:pt>
                <c:pt idx="55">
                  <c:v>45.629132194808591</c:v>
                </c:pt>
                <c:pt idx="56">
                  <c:v>45.29416095223808</c:v>
                </c:pt>
                <c:pt idx="57">
                  <c:v>44.967410994660838</c:v>
                </c:pt>
                <c:pt idx="58">
                  <c:v>44.648543935827298</c:v>
                </c:pt>
                <c:pt idx="59">
                  <c:v>44.337240751989029</c:v>
                </c:pt>
                <c:pt idx="60">
                  <c:v>44.033200373243048</c:v>
                </c:pt>
                <c:pt idx="61">
                  <c:v>43.73613839852861</c:v>
                </c:pt>
                <c:pt idx="62">
                  <c:v>43.445785921622686</c:v>
                </c:pt>
                <c:pt idx="63">
                  <c:v>43.161888456954287</c:v>
                </c:pt>
                <c:pt idx="64">
                  <c:v>42.884204955338795</c:v>
                </c:pt>
                <c:pt idx="65">
                  <c:v>42.612506900851024</c:v>
                </c:pt>
                <c:pt idx="66">
                  <c:v>42.346577481032071</c:v>
                </c:pt>
                <c:pt idx="67">
                  <c:v>42.086210823479924</c:v>
                </c:pt>
                <c:pt idx="68">
                  <c:v>41.831211292624211</c:v>
                </c:pt>
                <c:pt idx="69">
                  <c:v>41.581392841144748</c:v>
                </c:pt>
                <c:pt idx="70">
                  <c:v>41.336578411075351</c:v>
                </c:pt>
                <c:pt idx="71">
                  <c:v>41.096599380146493</c:v>
                </c:pt>
                <c:pt idx="72">
                  <c:v>40.861295049374426</c:v>
                </c:pt>
                <c:pt idx="73">
                  <c:v>40.630512168306097</c:v>
                </c:pt>
                <c:pt idx="74">
                  <c:v>40.404104494685576</c:v>
                </c:pt>
                <c:pt idx="75">
                  <c:v>40.181932385624272</c:v>
                </c:pt>
                <c:pt idx="76">
                  <c:v>39.963862417640144</c:v>
                </c:pt>
                <c:pt idx="77">
                  <c:v>39.749767033181648</c:v>
                </c:pt>
                <c:pt idx="78">
                  <c:v>39.53952421147725</c:v>
                </c:pt>
                <c:pt idx="79">
                  <c:v>39.333017161752664</c:v>
                </c:pt>
                <c:pt idx="80">
                  <c:v>39.130134037036903</c:v>
                </c:pt>
                <c:pt idx="81">
                  <c:v>38.930767666940824</c:v>
                </c:pt>
                <c:pt idx="82">
                  <c:v>38.734815307935719</c:v>
                </c:pt>
                <c:pt idx="83">
                  <c:v>38.542178409790999</c:v>
                </c:pt>
                <c:pt idx="84">
                  <c:v>38.352762396946538</c:v>
                </c:pt>
                <c:pt idx="85">
                  <c:v>38.16647646370172</c:v>
                </c:pt>
                <c:pt idx="86">
                  <c:v>37.983233382198797</c:v>
                </c:pt>
                <c:pt idx="87">
                  <c:v>37.802949322264389</c:v>
                </c:pt>
                <c:pt idx="88">
                  <c:v>37.625543682251518</c:v>
                </c:pt>
                <c:pt idx="89">
                  <c:v>37.450938930095198</c:v>
                </c:pt>
                <c:pt idx="90">
                  <c:v>37.279060453859252</c:v>
                </c:pt>
                <c:pt idx="91">
                  <c:v>37.10983642111011</c:v>
                </c:pt>
                <c:pt idx="92">
                  <c:v>36.943197646506803</c:v>
                </c:pt>
                <c:pt idx="93">
                  <c:v>36.779077467044445</c:v>
                </c:pt>
                <c:pt idx="94">
                  <c:v>36.617411624432677</c:v>
                </c:pt>
                <c:pt idx="95">
                  <c:v>36.458138154130843</c:v>
                </c:pt>
                <c:pt idx="96">
                  <c:v>36.301197280598082</c:v>
                </c:pt>
                <c:pt idx="97">
                  <c:v>36.14653131835027</c:v>
                </c:pt>
                <c:pt idx="98">
                  <c:v>35.994084578446362</c:v>
                </c:pt>
                <c:pt idx="99">
                  <c:v>35.843803280054608</c:v>
                </c:pt>
                <c:pt idx="100">
                  <c:v>35.695635466775215</c:v>
                </c:pt>
                <c:pt idx="101">
                  <c:v>35.549530927419077</c:v>
                </c:pt>
                <c:pt idx="102">
                  <c:v>35.405441120964475</c:v>
                </c:pt>
                <c:pt idx="103">
                  <c:v>35.263319105433148</c:v>
                </c:pt>
                <c:pt idx="104">
                  <c:v>35.123119470445374</c:v>
                </c:pt>
                <c:pt idx="105">
                  <c:v>34.984798273231078</c:v>
                </c:pt>
                <c:pt idx="106">
                  <c:v>34.848312977888888</c:v>
                </c:pt>
                <c:pt idx="107">
                  <c:v>34.713622397699801</c:v>
                </c:pt>
                <c:pt idx="108">
                  <c:v>34.580686640315051</c:v>
                </c:pt>
                <c:pt idx="109">
                  <c:v>34.449467055650111</c:v>
                </c:pt>
                <c:pt idx="110">
                  <c:v>34.319926186328118</c:v>
                </c:pt>
                <c:pt idx="111">
                  <c:v>34.192027720525978</c:v>
                </c:pt>
                <c:pt idx="112">
                  <c:v>34.065736447086728</c:v>
                </c:pt>
                <c:pt idx="113">
                  <c:v>33.941018212770032</c:v>
                </c:pt>
                <c:pt idx="114">
                  <c:v>33.817839881521202</c:v>
                </c:pt>
                <c:pt idx="115">
                  <c:v>33.696169295647003</c:v>
                </c:pt>
                <c:pt idx="116">
                  <c:v>33.575975238793227</c:v>
                </c:pt>
                <c:pt idx="117">
                  <c:v>33.457227400625833</c:v>
                </c:pt>
                <c:pt idx="118">
                  <c:v>33.339896343123769</c:v>
                </c:pt>
                <c:pt idx="119">
                  <c:v>33.223953468396701</c:v>
                </c:pt>
                <c:pt idx="120">
                  <c:v>33.109370987947074</c:v>
                </c:pt>
                <c:pt idx="121">
                  <c:v>32.996121893299936</c:v>
                </c:pt>
                <c:pt idx="122">
                  <c:v>32.884179927929281</c:v>
                </c:pt>
                <c:pt idx="123">
                  <c:v>32.773519560413455</c:v>
                </c:pt>
                <c:pt idx="124">
                  <c:v>32.664115958756632</c:v>
                </c:pt>
                <c:pt idx="125">
                  <c:v>32.555944965816622</c:v>
                </c:pt>
                <c:pt idx="126">
                  <c:v>32.448983075783019</c:v>
                </c:pt>
                <c:pt idx="127">
                  <c:v>32.343207411653061</c:v>
                </c:pt>
                <c:pt idx="128">
                  <c:v>32.238595703655406</c:v>
                </c:pt>
                <c:pt idx="129">
                  <c:v>32.135126268574695</c:v>
                </c:pt>
                <c:pt idx="130">
                  <c:v>32.032777989933102</c:v>
                </c:pt>
                <c:pt idx="131">
                  <c:v>31.931530298986754</c:v>
                </c:pt>
                <c:pt idx="132">
                  <c:v>31.831363156497865</c:v>
                </c:pt>
                <c:pt idx="133">
                  <c:v>31.732257035245237</c:v>
                </c:pt>
                <c:pt idx="134">
                  <c:v>31.634192903237867</c:v>
                </c:pt>
                <c:pt idx="135">
                  <c:v>31.537152207598815</c:v>
                </c:pt>
                <c:pt idx="136">
                  <c:v>31.441116859087256</c:v>
                </c:pt>
                <c:pt idx="137">
                  <c:v>31.34606921722952</c:v>
                </c:pt>
                <c:pt idx="138">
                  <c:v>31.251992076030781</c:v>
                </c:pt>
                <c:pt idx="139">
                  <c:v>31.158868650240521</c:v>
                </c:pt>
                <c:pt idx="140">
                  <c:v>31.066682562146806</c:v>
                </c:pt>
                <c:pt idx="141">
                  <c:v>30.975417828875344</c:v>
                </c:pt>
                <c:pt idx="142">
                  <c:v>30.885058850170484</c:v>
                </c:pt>
                <c:pt idx="143">
                  <c:v>30.795590396636815</c:v>
                </c:pt>
                <c:pt idx="144">
                  <c:v>30.706997598420919</c:v>
                </c:pt>
                <c:pt idx="145">
                  <c:v>30.619265934313741</c:v>
                </c:pt>
                <c:pt idx="146">
                  <c:v>30.532381221255406</c:v>
                </c:pt>
                <c:pt idx="147">
                  <c:v>30.446329604224857</c:v>
                </c:pt>
                <c:pt idx="148">
                  <c:v>30.361097546497671</c:v>
                </c:pt>
                <c:pt idx="149">
                  <c:v>30.276671820256439</c:v>
                </c:pt>
                <c:pt idx="150">
                  <c:v>30.193039497538564</c:v>
                </c:pt>
                <c:pt idx="151">
                  <c:v>30.110187941507231</c:v>
                </c:pt>
                <c:pt idx="152">
                  <c:v>30.028104798032018</c:v>
                </c:pt>
                <c:pt idx="153">
                  <c:v>29.946777987566108</c:v>
                </c:pt>
                <c:pt idx="154">
                  <c:v>29.866195697308068</c:v>
                </c:pt>
                <c:pt idx="155">
                  <c:v>29.786346373636036</c:v>
                </c:pt>
                <c:pt idx="156">
                  <c:v>29.707218714803602</c:v>
                </c:pt>
                <c:pt idx="157">
                  <c:v>29.628801663886421</c:v>
                </c:pt>
                <c:pt idx="158">
                  <c:v>29.551084401969675</c:v>
                </c:pt>
                <c:pt idx="159">
                  <c:v>29.474056341566428</c:v>
                </c:pt>
                <c:pt idx="160">
                  <c:v>29.397707120257873</c:v>
                </c:pt>
                <c:pt idx="161">
                  <c:v>29.322026594546674</c:v>
                </c:pt>
                <c:pt idx="162">
                  <c:v>29.247004833914691</c:v>
                </c:pt>
                <c:pt idx="163">
                  <c:v>29.172632115077651</c:v>
                </c:pt>
                <c:pt idx="164">
                  <c:v>29.098898916428411</c:v>
                </c:pt>
                <c:pt idx="165">
                  <c:v>29.025795912662058</c:v>
                </c:pt>
                <c:pt idx="166">
                  <c:v>28.953313969575582</c:v>
                </c:pt>
                <c:pt idx="167">
                  <c:v>28.881444139035519</c:v>
                </c:pt>
                <c:pt idx="168">
                  <c:v>28.810177654107079</c:v>
                </c:pt>
                <c:pt idx="169">
                  <c:v>28.739505924338854</c:v>
                </c:pt>
                <c:pt idx="170">
                  <c:v>28.669420531197012</c:v>
                </c:pt>
                <c:pt idx="171">
                  <c:v>28.599913223643664</c:v>
                </c:pt>
                <c:pt idx="172">
                  <c:v>28.530975913853705</c:v>
                </c:pt>
                <c:pt idx="173">
                  <c:v>28.462600673065388</c:v>
                </c:pt>
                <c:pt idx="174">
                  <c:v>28.394779727559428</c:v>
                </c:pt>
                <c:pt idx="175">
                  <c:v>28.327505454762129</c:v>
                </c:pt>
                <c:pt idx="176">
                  <c:v>28.26077037946785</c:v>
                </c:pt>
                <c:pt idx="177">
                  <c:v>28.194567170176747</c:v>
                </c:pt>
                <c:pt idx="178">
                  <c:v>28.128888635543369</c:v>
                </c:pt>
                <c:pt idx="179">
                  <c:v>28.063727720932427</c:v>
                </c:pt>
                <c:pt idx="180">
                  <c:v>27.999077505077693</c:v>
                </c:pt>
                <c:pt idx="181">
                  <c:v>27.934931196840523</c:v>
                </c:pt>
                <c:pt idx="182">
                  <c:v>27.87128213206449</c:v>
                </c:pt>
                <c:pt idx="183">
                  <c:v>27.808123770522734</c:v>
                </c:pt>
                <c:pt idx="184">
                  <c:v>27.745449692954871</c:v>
                </c:pt>
                <c:pt idx="185">
                  <c:v>27.683253598190188</c:v>
                </c:pt>
                <c:pt idx="186">
                  <c:v>27.621529300354531</c:v>
                </c:pt>
                <c:pt idx="187">
                  <c:v>27.560270726157547</c:v>
                </c:pt>
                <c:pt idx="188">
                  <c:v>27.499471912257896</c:v>
                </c:pt>
                <c:pt idx="189">
                  <c:v>27.439127002703756</c:v>
                </c:pt>
                <c:pt idx="190">
                  <c:v>27.379230246445868</c:v>
                </c:pt>
                <c:pt idx="191">
                  <c:v>27.31977599492096</c:v>
                </c:pt>
                <c:pt idx="192">
                  <c:v>27.260758699703075</c:v>
                </c:pt>
                <c:pt idx="193">
                  <c:v>27.20217291022049</c:v>
                </c:pt>
                <c:pt idx="194">
                  <c:v>27.14401327153627</c:v>
                </c:pt>
                <c:pt idx="195">
                  <c:v>27.086274522190212</c:v>
                </c:pt>
                <c:pt idx="196">
                  <c:v>27.028951492100052</c:v>
                </c:pt>
                <c:pt idx="197">
                  <c:v>26.972039100520465</c:v>
                </c:pt>
                <c:pt idx="198">
                  <c:v>26.915532354057405</c:v>
                </c:pt>
                <c:pt idx="199">
                  <c:v>26.859426344736523</c:v>
                </c:pt>
                <c:pt idx="200">
                  <c:v>26.803716248123528</c:v>
                </c:pt>
                <c:pt idx="201">
                  <c:v>26.748397321495187</c:v>
                </c:pt>
                <c:pt idx="202">
                  <c:v>26.693464902059091</c:v>
                </c:pt>
                <c:pt idx="203">
                  <c:v>26.638914405220739</c:v>
                </c:pt>
                <c:pt idx="204">
                  <c:v>26.584741322896594</c:v>
                </c:pt>
                <c:pt idx="205">
                  <c:v>26.530941221871419</c:v>
                </c:pt>
                <c:pt idx="206">
                  <c:v>26.477509742198738</c:v>
                </c:pt>
                <c:pt idx="207">
                  <c:v>26.424442595642951</c:v>
                </c:pt>
                <c:pt idx="208">
                  <c:v>26.371735564161998</c:v>
                </c:pt>
                <c:pt idx="209">
                  <c:v>26.319384498429024</c:v>
                </c:pt>
                <c:pt idx="210">
                  <c:v>26.267385316392193</c:v>
                </c:pt>
                <c:pt idx="211">
                  <c:v>26.215734001871343</c:v>
                </c:pt>
                <c:pt idx="212">
                  <c:v>26.16442660319025</c:v>
                </c:pt>
                <c:pt idx="213">
                  <c:v>26.113459231843724</c:v>
                </c:pt>
                <c:pt idx="214">
                  <c:v>26.062828061198172</c:v>
                </c:pt>
                <c:pt idx="215">
                  <c:v>26.012529325224914</c:v>
                </c:pt>
                <c:pt idx="216">
                  <c:v>25.962559317265129</c:v>
                </c:pt>
                <c:pt idx="217">
                  <c:v>25.912914388825456</c:v>
                </c:pt>
                <c:pt idx="218">
                  <c:v>25.863590948403452</c:v>
                </c:pt>
                <c:pt idx="219">
                  <c:v>25.81458546034213</c:v>
                </c:pt>
                <c:pt idx="220">
                  <c:v>25.765894443712401</c:v>
                </c:pt>
                <c:pt idx="221">
                  <c:v>25.71751447122297</c:v>
                </c:pt>
                <c:pt idx="222">
                  <c:v>25.669442168156689</c:v>
                </c:pt>
                <c:pt idx="223">
                  <c:v>25.621674211332671</c:v>
                </c:pt>
                <c:pt idx="224">
                  <c:v>25.574207328093379</c:v>
                </c:pt>
                <c:pt idx="225">
                  <c:v>25.527038295316128</c:v>
                </c:pt>
                <c:pt idx="226">
                  <c:v>25.480163938448101</c:v>
                </c:pt>
                <c:pt idx="227">
                  <c:v>25.433581130564338</c:v>
                </c:pt>
                <c:pt idx="228">
                  <c:v>25.387286791448069</c:v>
                </c:pt>
                <c:pt idx="229">
                  <c:v>25.341277886692719</c:v>
                </c:pt>
                <c:pt idx="230">
                  <c:v>25.295551426824961</c:v>
                </c:pt>
                <c:pt idx="231">
                  <c:v>25.250104466448349</c:v>
                </c:pt>
                <c:pt idx="232">
                  <c:v>25.204934103406767</c:v>
                </c:pt>
                <c:pt idx="233">
                  <c:v>25.160037477967364</c:v>
                </c:pt>
                <c:pt idx="234">
                  <c:v>25.115411772022323</c:v>
                </c:pt>
                <c:pt idx="235">
                  <c:v>25.071054208308915</c:v>
                </c:pt>
                <c:pt idx="236">
                  <c:v>25.026962049647484</c:v>
                </c:pt>
                <c:pt idx="237">
                  <c:v>24.983132598196729</c:v>
                </c:pt>
                <c:pt idx="238">
                  <c:v>24.93956319472591</c:v>
                </c:pt>
                <c:pt idx="239">
                  <c:v>24.896251217903544</c:v>
                </c:pt>
              </c:numCache>
            </c:numRef>
          </c:cat>
          <c:val>
            <c:numRef>
              <c:f>'[1]Oil Production'!$C$7:$C$261</c:f>
              <c:numCache>
                <c:formatCode>General</c:formatCode>
                <c:ptCount val="255"/>
                <c:pt idx="0">
                  <c:v>7415.0856165521382</c:v>
                </c:pt>
                <c:pt idx="1">
                  <c:v>5556.4680009423901</c:v>
                </c:pt>
                <c:pt idx="2">
                  <c:v>4693.4572436374756</c:v>
                </c:pt>
                <c:pt idx="3">
                  <c:v>4163.7195093982818</c:v>
                </c:pt>
                <c:pt idx="4">
                  <c:v>3794.3578646522342</c:v>
                </c:pt>
                <c:pt idx="5">
                  <c:v>3517.0254716747459</c:v>
                </c:pt>
                <c:pt idx="6">
                  <c:v>3298.4194616003333</c:v>
                </c:pt>
                <c:pt idx="7">
                  <c:v>3120.0683869687609</c:v>
                </c:pt>
                <c:pt idx="8">
                  <c:v>2970.7736413292978</c:v>
                </c:pt>
                <c:pt idx="9">
                  <c:v>2843.2885538100495</c:v>
                </c:pt>
                <c:pt idx="10">
                  <c:v>2732.6836552160967</c:v>
                </c:pt>
                <c:pt idx="11">
                  <c:v>2635.4705127392413</c:v>
                </c:pt>
                <c:pt idx="12">
                  <c:v>2549.0999373250625</c:v>
                </c:pt>
                <c:pt idx="13">
                  <c:v>2471.6588775666519</c:v>
                </c:pt>
                <c:pt idx="14">
                  <c:v>2401.6791343652094</c:v>
                </c:pt>
                <c:pt idx="15">
                  <c:v>2338.012134916522</c:v>
                </c:pt>
                <c:pt idx="16">
                  <c:v>2279.7443563222305</c:v>
                </c:pt>
                <c:pt idx="17">
                  <c:v>2226.1386489242946</c:v>
                </c:pt>
                <c:pt idx="18">
                  <c:v>2176.592565352596</c:v>
                </c:pt>
                <c:pt idx="19">
                  <c:v>2130.608152578196</c:v>
                </c:pt>
                <c:pt idx="20">
                  <c:v>2087.7696516471583</c:v>
                </c:pt>
                <c:pt idx="21">
                  <c:v>2047.7267656913182</c:v>
                </c:pt>
                <c:pt idx="22">
                  <c:v>2010.1819215776964</c:v>
                </c:pt>
                <c:pt idx="23">
                  <c:v>1974.8804435614788</c:v>
                </c:pt>
                <c:pt idx="24">
                  <c:v>1941.6028822257399</c:v>
                </c:pt>
                <c:pt idx="25">
                  <c:v>1910.1589604486492</c:v>
                </c:pt>
                <c:pt idx="26">
                  <c:v>1880.3827477028615</c:v>
                </c:pt>
                <c:pt idx="27">
                  <c:v>1852.1287780936193</c:v>
                </c:pt>
                <c:pt idx="28">
                  <c:v>1825.2689011045989</c:v>
                </c:pt>
                <c:pt idx="29">
                  <c:v>1799.6897067300999</c:v>
                </c:pt>
                <c:pt idx="30">
                  <c:v>1775.2904049272381</c:v>
                </c:pt>
                <c:pt idx="31">
                  <c:v>1751.9810674174312</c:v>
                </c:pt>
                <c:pt idx="32">
                  <c:v>1729.6811607291227</c:v>
                </c:pt>
                <c:pt idx="33">
                  <c:v>1708.3183150248676</c:v>
                </c:pt>
                <c:pt idx="34">
                  <c:v>1687.8272851102436</c:v>
                </c:pt>
                <c:pt idx="35">
                  <c:v>1668.1490690812161</c:v>
                </c:pt>
                <c:pt idx="36">
                  <c:v>1649.2301570478817</c:v>
                </c:pt>
                <c:pt idx="37">
                  <c:v>1631.021887795052</c:v>
                </c:pt>
                <c:pt idx="38">
                  <c:v>1613.4798954832845</c:v>
                </c:pt>
                <c:pt idx="39">
                  <c:v>1596.5636318373972</c:v>
                </c:pt>
                <c:pt idx="40">
                  <c:v>1580.2359519215518</c:v>
                </c:pt>
                <c:pt idx="41">
                  <c:v>1564.4627537166757</c:v>
                </c:pt>
                <c:pt idx="42">
                  <c:v>1549.2126634154426</c:v>
                </c:pt>
                <c:pt idx="43">
                  <c:v>1534.4567597221705</c:v>
                </c:pt>
                <c:pt idx="44">
                  <c:v>1520.1683315587536</c:v>
                </c:pt>
                <c:pt idx="45">
                  <c:v>1506.3226644863673</c:v>
                </c:pt>
                <c:pt idx="46">
                  <c:v>1492.8968518975655</c:v>
                </c:pt>
                <c:pt idx="47">
                  <c:v>1479.8696276468154</c:v>
                </c:pt>
                <c:pt idx="48">
                  <c:v>1467.2212172949407</c:v>
                </c:pt>
                <c:pt idx="49">
                  <c:v>1454.9332055644215</c:v>
                </c:pt>
                <c:pt idx="50">
                  <c:v>1442.988417954027</c:v>
                </c:pt>
                <c:pt idx="51">
                  <c:v>1431.3708147555367</c:v>
                </c:pt>
                <c:pt idx="52">
                  <c:v>1420.0653959626118</c:v>
                </c:pt>
                <c:pt idx="53">
                  <c:v>1409.0581157703898</c:v>
                </c:pt>
                <c:pt idx="54">
                  <c:v>1398.3358055408505</c:v>
                </c:pt>
                <c:pt idx="55">
                  <c:v>1387.8861042587614</c:v>
                </c:pt>
                <c:pt idx="56">
                  <c:v>1377.6973956305751</c:v>
                </c:pt>
                <c:pt idx="57">
                  <c:v>1367.7587510876006</c:v>
                </c:pt>
                <c:pt idx="58">
                  <c:v>1358.0598780480805</c:v>
                </c:pt>
                <c:pt idx="59">
                  <c:v>1348.5910728729996</c:v>
                </c:pt>
                <c:pt idx="60">
                  <c:v>1339.343178019476</c:v>
                </c:pt>
                <c:pt idx="61">
                  <c:v>1330.3075429552453</c:v>
                </c:pt>
                <c:pt idx="62">
                  <c:v>1321.4759884493567</c:v>
                </c:pt>
                <c:pt idx="63">
                  <c:v>1312.8407738990263</c:v>
                </c:pt>
                <c:pt idx="64">
                  <c:v>1304.394567391555</c:v>
                </c:pt>
                <c:pt idx="65">
                  <c:v>1296.1304182342187</c:v>
                </c:pt>
                <c:pt idx="66">
                  <c:v>1288.0417317147255</c:v>
                </c:pt>
                <c:pt idx="67">
                  <c:v>1280.1222458808477</c:v>
                </c:pt>
                <c:pt idx="68">
                  <c:v>1272.3660101506532</c:v>
                </c:pt>
                <c:pt idx="69">
                  <c:v>1264.7673655848196</c:v>
                </c:pt>
                <c:pt idx="70">
                  <c:v>1257.3209266702086</c:v>
                </c:pt>
                <c:pt idx="71">
                  <c:v>1250.0215644794559</c:v>
                </c:pt>
                <c:pt idx="72">
                  <c:v>1242.8643910851388</c:v>
                </c:pt>
                <c:pt idx="73">
                  <c:v>1235.8447451193106</c:v>
                </c:pt>
                <c:pt idx="74">
                  <c:v>1228.9581783800197</c:v>
                </c:pt>
                <c:pt idx="75">
                  <c:v>1222.2004433960717</c:v>
                </c:pt>
                <c:pt idx="76">
                  <c:v>1215.5674818698878</c:v>
                </c:pt>
                <c:pt idx="77">
                  <c:v>1209.0554139259418</c:v>
                </c:pt>
                <c:pt idx="78">
                  <c:v>1202.6605280990998</c:v>
                </c:pt>
                <c:pt idx="79">
                  <c:v>1196.3792720033102</c:v>
                </c:pt>
                <c:pt idx="80">
                  <c:v>1190.2082436265391</c:v>
                </c:pt>
                <c:pt idx="81">
                  <c:v>1184.1441832027833</c:v>
                </c:pt>
                <c:pt idx="82">
                  <c:v>1178.1839656163781</c:v>
                </c:pt>
                <c:pt idx="83">
                  <c:v>1172.3245932978095</c:v>
                </c:pt>
                <c:pt idx="84">
                  <c:v>1166.5631895737906</c:v>
                </c:pt>
                <c:pt idx="85">
                  <c:v>1160.896992437594</c:v>
                </c:pt>
                <c:pt idx="86">
                  <c:v>1155.3233487085467</c:v>
                </c:pt>
                <c:pt idx="87">
                  <c:v>1149.8397085522085</c:v>
                </c:pt>
                <c:pt idx="88">
                  <c:v>1144.4436203351504</c:v>
                </c:pt>
                <c:pt idx="89">
                  <c:v>1139.1327257903956</c:v>
                </c:pt>
                <c:pt idx="90">
                  <c:v>1133.9047554715523</c:v>
                </c:pt>
                <c:pt idx="91">
                  <c:v>1128.7575244754325</c:v>
                </c:pt>
                <c:pt idx="92">
                  <c:v>1123.6889284145821</c:v>
                </c:pt>
                <c:pt idx="93">
                  <c:v>1118.6969396226018</c:v>
                </c:pt>
                <c:pt idx="94">
                  <c:v>1113.7796035764939</c:v>
                </c:pt>
                <c:pt idx="95">
                  <c:v>1108.9350355214799</c:v>
                </c:pt>
                <c:pt idx="96">
                  <c:v>1104.1614172848583</c:v>
                </c:pt>
                <c:pt idx="97">
                  <c:v>1099.4569942664875</c:v>
                </c:pt>
                <c:pt idx="98">
                  <c:v>1094.8200725944102</c:v>
                </c:pt>
                <c:pt idx="99">
                  <c:v>1090.2490164349945</c:v>
                </c:pt>
                <c:pt idx="100">
                  <c:v>1085.7422454477462</c:v>
                </c:pt>
                <c:pt idx="101">
                  <c:v>1081.2982323756637</c:v>
                </c:pt>
                <c:pt idx="102">
                  <c:v>1076.9155007626696</c:v>
                </c:pt>
                <c:pt idx="103">
                  <c:v>1072.5926227902582</c:v>
                </c:pt>
                <c:pt idx="104">
                  <c:v>1068.3282172260469</c:v>
                </c:pt>
                <c:pt idx="105">
                  <c:v>1064.1209474774453</c:v>
                </c:pt>
                <c:pt idx="106">
                  <c:v>1059.9695197441204</c:v>
                </c:pt>
                <c:pt idx="107">
                  <c:v>1055.872681263369</c:v>
                </c:pt>
                <c:pt idx="108">
                  <c:v>1051.8292186429162</c:v>
                </c:pt>
                <c:pt idx="109">
                  <c:v>1047.8379562760242</c:v>
                </c:pt>
                <c:pt idx="110">
                  <c:v>1043.897754834147</c:v>
                </c:pt>
                <c:pt idx="111">
                  <c:v>1040.0075098326652</c:v>
                </c:pt>
                <c:pt idx="112">
                  <c:v>1036.1661502655547</c:v>
                </c:pt>
                <c:pt idx="113">
                  <c:v>1032.3726373050886</c:v>
                </c:pt>
                <c:pt idx="114">
                  <c:v>1028.6259630629365</c:v>
                </c:pt>
                <c:pt idx="115">
                  <c:v>1024.925149409263</c:v>
                </c:pt>
                <c:pt idx="116">
                  <c:v>1021.2692468466273</c:v>
                </c:pt>
                <c:pt idx="117">
                  <c:v>1017.6573334357024</c:v>
                </c:pt>
                <c:pt idx="118">
                  <c:v>1014.0885137700146</c:v>
                </c:pt>
                <c:pt idx="119">
                  <c:v>1010.5619179970663</c:v>
                </c:pt>
                <c:pt idx="120">
                  <c:v>1007.0767008833902</c:v>
                </c:pt>
                <c:pt idx="121">
                  <c:v>1003.6320409212065</c:v>
                </c:pt>
                <c:pt idx="122">
                  <c:v>1000.2271394745156</c:v>
                </c:pt>
                <c:pt idx="123">
                  <c:v>996.861219962576</c:v>
                </c:pt>
                <c:pt idx="124">
                  <c:v>993.53352707884756</c:v>
                </c:pt>
                <c:pt idx="125">
                  <c:v>990.24332604358892</c:v>
                </c:pt>
                <c:pt idx="126">
                  <c:v>986.98990188840025</c:v>
                </c:pt>
                <c:pt idx="127">
                  <c:v>983.77255877111395</c:v>
                </c:pt>
                <c:pt idx="128">
                  <c:v>980.59061931951862</c:v>
                </c:pt>
                <c:pt idx="129">
                  <c:v>977.44342400248036</c:v>
                </c:pt>
                <c:pt idx="130">
                  <c:v>974.33033052713188</c:v>
                </c:pt>
                <c:pt idx="131">
                  <c:v>971.25071326084719</c:v>
                </c:pt>
                <c:pt idx="132">
                  <c:v>968.20396267681008</c:v>
                </c:pt>
                <c:pt idx="133">
                  <c:v>965.18948482204269</c:v>
                </c:pt>
                <c:pt idx="134">
                  <c:v>962.2067008068185</c:v>
                </c:pt>
                <c:pt idx="135">
                  <c:v>959.25504631446404</c:v>
                </c:pt>
                <c:pt idx="136">
                  <c:v>956.33397113057072</c:v>
                </c:pt>
                <c:pt idx="137">
                  <c:v>953.44293869073124</c:v>
                </c:pt>
                <c:pt idx="138">
                  <c:v>950.58142564593629</c:v>
                </c:pt>
                <c:pt idx="139">
                  <c:v>947.74892144481589</c:v>
                </c:pt>
                <c:pt idx="140">
                  <c:v>944.94492793196537</c:v>
                </c:pt>
                <c:pt idx="141">
                  <c:v>942.16895896162509</c:v>
                </c:pt>
                <c:pt idx="142">
                  <c:v>939.4205400260189</c:v>
                </c:pt>
                <c:pt idx="143">
                  <c:v>936.6992078977031</c:v>
                </c:pt>
                <c:pt idx="144">
                  <c:v>934.00451028530301</c:v>
                </c:pt>
                <c:pt idx="145">
                  <c:v>931.33600550204301</c:v>
                </c:pt>
                <c:pt idx="146">
                  <c:v>928.69326214651869</c:v>
                </c:pt>
                <c:pt idx="147">
                  <c:v>926.07585879517273</c:v>
                </c:pt>
                <c:pt idx="148">
                  <c:v>923.48338370597082</c:v>
                </c:pt>
                <c:pt idx="149">
                  <c:v>920.91543453280008</c:v>
                </c:pt>
                <c:pt idx="150">
                  <c:v>918.37161805013136</c:v>
                </c:pt>
                <c:pt idx="151">
                  <c:v>915.85154988751162</c:v>
                </c:pt>
                <c:pt idx="152">
                  <c:v>913.35485427347396</c:v>
                </c:pt>
                <c:pt idx="153">
                  <c:v>910.88116378846917</c:v>
                </c:pt>
                <c:pt idx="154">
                  <c:v>908.43011912645375</c:v>
                </c:pt>
                <c:pt idx="155">
                  <c:v>906.00136886476275</c:v>
                </c:pt>
                <c:pt idx="156">
                  <c:v>903.59456924194296</c:v>
                </c:pt>
                <c:pt idx="157">
                  <c:v>901.20938394321195</c:v>
                </c:pt>
                <c:pt idx="158">
                  <c:v>898.84548389324436</c:v>
                </c:pt>
                <c:pt idx="159">
                  <c:v>896.50254705597888</c:v>
                </c:pt>
                <c:pt idx="160">
                  <c:v>894.18025824117706</c:v>
                </c:pt>
                <c:pt idx="161">
                  <c:v>891.87830891746137</c:v>
                </c:pt>
                <c:pt idx="162">
                  <c:v>889.59639703157188</c:v>
                </c:pt>
                <c:pt idx="163">
                  <c:v>887.33422683361187</c:v>
                </c:pt>
                <c:pt idx="164">
                  <c:v>885.09150870803091</c:v>
                </c:pt>
                <c:pt idx="165">
                  <c:v>882.86795901013761</c:v>
                </c:pt>
                <c:pt idx="166">
                  <c:v>880.66329990792394</c:v>
                </c:pt>
                <c:pt idx="167">
                  <c:v>878.47725922899713</c:v>
                </c:pt>
                <c:pt idx="168">
                  <c:v>876.30957031242372</c:v>
                </c:pt>
                <c:pt idx="169">
                  <c:v>874.15997186530683</c:v>
                </c:pt>
                <c:pt idx="170">
                  <c:v>872.02820782390916</c:v>
                </c:pt>
                <c:pt idx="171">
                  <c:v>869.91402721916154</c:v>
                </c:pt>
                <c:pt idx="172">
                  <c:v>867.81718404638355</c:v>
                </c:pt>
                <c:pt idx="173">
                  <c:v>865.73743713907231</c:v>
                </c:pt>
                <c:pt idx="174">
                  <c:v>863.67455004659928</c:v>
                </c:pt>
                <c:pt idx="175">
                  <c:v>861.62829091568142</c:v>
                </c:pt>
                <c:pt idx="176">
                  <c:v>859.59843237548046</c:v>
                </c:pt>
                <c:pt idx="177">
                  <c:v>857.58475142620944</c:v>
                </c:pt>
                <c:pt idx="178">
                  <c:v>855.58702933111078</c:v>
                </c:pt>
                <c:pt idx="179">
                  <c:v>853.60505151169468</c:v>
                </c:pt>
                <c:pt idx="180">
                  <c:v>851.63860744611316</c:v>
                </c:pt>
                <c:pt idx="181">
                  <c:v>849.68749057056596</c:v>
                </c:pt>
                <c:pt idx="182">
                  <c:v>847.75149818362831</c:v>
                </c:pt>
                <c:pt idx="183">
                  <c:v>845.83043135339983</c:v>
                </c:pt>
                <c:pt idx="184">
                  <c:v>843.92409482737742</c:v>
                </c:pt>
                <c:pt idx="185">
                  <c:v>842.03229694495155</c:v>
                </c:pt>
                <c:pt idx="186">
                  <c:v>840.1548495524504</c:v>
                </c:pt>
                <c:pt idx="187">
                  <c:v>838.29156792062543</c:v>
                </c:pt>
                <c:pt idx="188">
                  <c:v>836.44227066451106</c:v>
                </c:pt>
                <c:pt idx="189">
                  <c:v>834.60677966557262</c:v>
                </c:pt>
                <c:pt idx="190">
                  <c:v>832.78491999606183</c:v>
                </c:pt>
                <c:pt idx="191">
                  <c:v>830.9765198455126</c:v>
                </c:pt>
                <c:pt idx="192">
                  <c:v>829.18141044930189</c:v>
                </c:pt>
                <c:pt idx="193">
                  <c:v>827.39942601920666</c:v>
                </c:pt>
                <c:pt idx="194">
                  <c:v>825.63040367589497</c:v>
                </c:pt>
                <c:pt idx="195">
                  <c:v>823.87418338328564</c:v>
                </c:pt>
                <c:pt idx="196">
                  <c:v>822.13060788471</c:v>
                </c:pt>
                <c:pt idx="197">
                  <c:v>820.39952264083081</c:v>
                </c:pt>
                <c:pt idx="198">
                  <c:v>818.68077576924611</c:v>
                </c:pt>
                <c:pt idx="199">
                  <c:v>816.97421798573589</c:v>
                </c:pt>
                <c:pt idx="200">
                  <c:v>815.27970254709066</c:v>
                </c:pt>
                <c:pt idx="201">
                  <c:v>813.5970851954786</c:v>
                </c:pt>
                <c:pt idx="202">
                  <c:v>811.92622410429738</c:v>
                </c:pt>
                <c:pt idx="203">
                  <c:v>810.2669798254642</c:v>
                </c:pt>
                <c:pt idx="204">
                  <c:v>808.61921523810474</c:v>
                </c:pt>
                <c:pt idx="205">
                  <c:v>806.98279549858898</c:v>
                </c:pt>
                <c:pt idx="206">
                  <c:v>805.35758799187829</c:v>
                </c:pt>
                <c:pt idx="207">
                  <c:v>803.74346228413981</c:v>
                </c:pt>
                <c:pt idx="208">
                  <c:v>802.14029007659417</c:v>
                </c:pt>
                <c:pt idx="209">
                  <c:v>800.54794516054949</c:v>
                </c:pt>
                <c:pt idx="210">
                  <c:v>798.96630337359591</c:v>
                </c:pt>
                <c:pt idx="211">
                  <c:v>797.39524255692004</c:v>
                </c:pt>
                <c:pt idx="212">
                  <c:v>795.83464251370344</c:v>
                </c:pt>
                <c:pt idx="213">
                  <c:v>794.28438496857996</c:v>
                </c:pt>
                <c:pt idx="214">
                  <c:v>792.74435352811111</c:v>
                </c:pt>
                <c:pt idx="215">
                  <c:v>791.21443364225786</c:v>
                </c:pt>
                <c:pt idx="216">
                  <c:v>789.69451256681441</c:v>
                </c:pt>
                <c:pt idx="217">
                  <c:v>788.18447932677429</c:v>
                </c:pt>
                <c:pt idx="218">
                  <c:v>786.68422468060498</c:v>
                </c:pt>
                <c:pt idx="219">
                  <c:v>785.19364108540651</c:v>
                </c:pt>
                <c:pt idx="220">
                  <c:v>783.71262266291887</c:v>
                </c:pt>
                <c:pt idx="221">
                  <c:v>782.24106516636539</c:v>
                </c:pt>
                <c:pt idx="222">
                  <c:v>780.77886594809934</c:v>
                </c:pt>
                <c:pt idx="223">
                  <c:v>779.32592392803542</c:v>
                </c:pt>
                <c:pt idx="224">
                  <c:v>777.88213956284028</c:v>
                </c:pt>
                <c:pt idx="225">
                  <c:v>776.44741481586561</c:v>
                </c:pt>
                <c:pt idx="226">
                  <c:v>775.02165312779641</c:v>
                </c:pt>
                <c:pt idx="227">
                  <c:v>773.60475938799868</c:v>
                </c:pt>
                <c:pt idx="228">
                  <c:v>772.19663990654544</c:v>
                </c:pt>
                <c:pt idx="229">
                  <c:v>770.79720238690356</c:v>
                </c:pt>
                <c:pt idx="230">
                  <c:v>769.40635589925921</c:v>
                </c:pt>
                <c:pt idx="231">
                  <c:v>768.02401085447059</c:v>
                </c:pt>
                <c:pt idx="232">
                  <c:v>766.65007897862256</c:v>
                </c:pt>
                <c:pt idx="233">
                  <c:v>765.28447328817401</c:v>
                </c:pt>
                <c:pt idx="234">
                  <c:v>763.92710806567902</c:v>
                </c:pt>
                <c:pt idx="235">
                  <c:v>762.5778988360629</c:v>
                </c:pt>
                <c:pt idx="236">
                  <c:v>761.2367623434443</c:v>
                </c:pt>
                <c:pt idx="237">
                  <c:v>759.90361652848389</c:v>
                </c:pt>
                <c:pt idx="238">
                  <c:v>758.5783805062465</c:v>
                </c:pt>
                <c:pt idx="239">
                  <c:v>757.26097454456612</c:v>
                </c:pt>
              </c:numCache>
            </c:numRef>
          </c:val>
          <c:smooth val="0"/>
          <c:extLst>
            <c:ext xmlns:c16="http://schemas.microsoft.com/office/drawing/2014/chart" uri="{C3380CC4-5D6E-409C-BE32-E72D297353CC}">
              <c16:uniqueId val="{00000001-D3E7-6748-8A46-C662984E35EF}"/>
            </c:ext>
          </c:extLst>
        </c:ser>
        <c:dLbls>
          <c:showLegendKey val="0"/>
          <c:showVal val="0"/>
          <c:showCatName val="0"/>
          <c:showSerName val="0"/>
          <c:showPercent val="0"/>
          <c:showBubbleSize val="0"/>
        </c:dLbls>
        <c:smooth val="0"/>
        <c:axId val="107390848"/>
        <c:axId val="107397120"/>
      </c:lineChart>
      <c:catAx>
        <c:axId val="10739084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Months</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397120"/>
        <c:crosses val="autoZero"/>
        <c:auto val="0"/>
        <c:lblAlgn val="ctr"/>
        <c:lblOffset val="100"/>
        <c:noMultiLvlLbl val="0"/>
      </c:catAx>
      <c:valAx>
        <c:axId val="107397120"/>
        <c:scaling>
          <c:orientation val="minMax"/>
          <c:max val="25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Production</a:t>
                </a:r>
                <a:r>
                  <a:rPr lang="en-US" baseline="0"/>
                  <a:t> (</a:t>
                </a:r>
                <a:r>
                  <a:rPr lang="en-US"/>
                  <a:t>Bbls/d)</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390848"/>
        <c:crosses val="autoZero"/>
        <c:crossBetween val="between"/>
        <c:majorUnit val="5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spPr>
            <a:ln w="19050" cap="rnd">
              <a:solidFill>
                <a:schemeClr val="accent1"/>
              </a:solidFill>
              <a:round/>
            </a:ln>
            <a:effectLst/>
          </c:spPr>
          <c:marker>
            <c:symbol val="none"/>
          </c:marker>
          <c:cat>
            <c:numRef>
              <c:f>'Gas Type Curve'!$B$18:$B$284</c:f>
              <c:numCache>
                <c:formatCode>0.00</c:formatCode>
                <c:ptCount val="267"/>
                <c:pt idx="0">
                  <c:v>-3.1733294426636799E-3</c:v>
                </c:pt>
                <c:pt idx="1">
                  <c:v>0.28228042019258398</c:v>
                </c:pt>
                <c:pt idx="2">
                  <c:v>0.70903851765392101</c:v>
                </c:pt>
                <c:pt idx="3">
                  <c:v>1.1334257367960201</c:v>
                </c:pt>
                <c:pt idx="4">
                  <c:v>2.1239786985701699</c:v>
                </c:pt>
                <c:pt idx="5">
                  <c:v>2.47818791946308</c:v>
                </c:pt>
                <c:pt idx="6">
                  <c:v>3.1145316603443201</c:v>
                </c:pt>
                <c:pt idx="7">
                  <c:v>3.6806974029763602</c:v>
                </c:pt>
                <c:pt idx="8">
                  <c:v>4.2473373212722398</c:v>
                </c:pt>
                <c:pt idx="9">
                  <c:v>4.8841552378173301</c:v>
                </c:pt>
                <c:pt idx="10">
                  <c:v>5.3094908082871299</c:v>
                </c:pt>
                <c:pt idx="11">
                  <c:v>6.5096294134811696</c:v>
                </c:pt>
                <c:pt idx="12">
                  <c:v>7.0056171578640098</c:v>
                </c:pt>
                <c:pt idx="13">
                  <c:v>7.2901225561715703</c:v>
                </c:pt>
                <c:pt idx="14">
                  <c:v>7.6457543040560196</c:v>
                </c:pt>
                <c:pt idx="15">
                  <c:v>8.0018602276043094</c:v>
                </c:pt>
                <c:pt idx="16">
                  <c:v>8.5727677268748099</c:v>
                </c:pt>
                <c:pt idx="17">
                  <c:v>8.7875693025970207</c:v>
                </c:pt>
                <c:pt idx="18">
                  <c:v>9.3575284505398209</c:v>
                </c:pt>
                <c:pt idx="19">
                  <c:v>9.6425080245112298</c:v>
                </c:pt>
                <c:pt idx="20">
                  <c:v>9.9990881237233697</c:v>
                </c:pt>
                <c:pt idx="21">
                  <c:v>10.355194047271601</c:v>
                </c:pt>
                <c:pt idx="22">
                  <c:v>11</c:v>
                </c:pt>
                <c:pt idx="23">
                  <c:v>12</c:v>
                </c:pt>
                <c:pt idx="24">
                  <c:v>13</c:v>
                </c:pt>
                <c:pt idx="25">
                  <c:v>13.999999999999998</c:v>
                </c:pt>
                <c:pt idx="26">
                  <c:v>14.999999999999996</c:v>
                </c:pt>
                <c:pt idx="27">
                  <c:v>15.999999999999996</c:v>
                </c:pt>
                <c:pt idx="28">
                  <c:v>16.999999999999996</c:v>
                </c:pt>
                <c:pt idx="29">
                  <c:v>17.999999999999993</c:v>
                </c:pt>
                <c:pt idx="30">
                  <c:v>18.999999999999993</c:v>
                </c:pt>
                <c:pt idx="31">
                  <c:v>19.999999999999993</c:v>
                </c:pt>
                <c:pt idx="32">
                  <c:v>20.999999999999993</c:v>
                </c:pt>
                <c:pt idx="33">
                  <c:v>21.999999999999993</c:v>
                </c:pt>
                <c:pt idx="34">
                  <c:v>22.999999999999989</c:v>
                </c:pt>
                <c:pt idx="35">
                  <c:v>23.999999999999989</c:v>
                </c:pt>
                <c:pt idx="36">
                  <c:v>24.999999999999993</c:v>
                </c:pt>
                <c:pt idx="37">
                  <c:v>25.999999999999993</c:v>
                </c:pt>
                <c:pt idx="38">
                  <c:v>26.999999999999993</c:v>
                </c:pt>
                <c:pt idx="39">
                  <c:v>27.999999999999996</c:v>
                </c:pt>
                <c:pt idx="40">
                  <c:v>29</c:v>
                </c:pt>
                <c:pt idx="41">
                  <c:v>30</c:v>
                </c:pt>
                <c:pt idx="42">
                  <c:v>31</c:v>
                </c:pt>
                <c:pt idx="43">
                  <c:v>32</c:v>
                </c:pt>
                <c:pt idx="44">
                  <c:v>33.000000000000007</c:v>
                </c:pt>
                <c:pt idx="45">
                  <c:v>34.000000000000007</c:v>
                </c:pt>
                <c:pt idx="46">
                  <c:v>35.000000000000007</c:v>
                </c:pt>
                <c:pt idx="47">
                  <c:v>36.000000000000014</c:v>
                </c:pt>
                <c:pt idx="48">
                  <c:v>37.000000000000014</c:v>
                </c:pt>
                <c:pt idx="49">
                  <c:v>38.000000000000014</c:v>
                </c:pt>
                <c:pt idx="50">
                  <c:v>39.000000000000014</c:v>
                </c:pt>
                <c:pt idx="51">
                  <c:v>40.000000000000014</c:v>
                </c:pt>
                <c:pt idx="52">
                  <c:v>41.000000000000021</c:v>
                </c:pt>
                <c:pt idx="53">
                  <c:v>42.000000000000021</c:v>
                </c:pt>
                <c:pt idx="54">
                  <c:v>43.000000000000021</c:v>
                </c:pt>
                <c:pt idx="55">
                  <c:v>44.000000000000028</c:v>
                </c:pt>
                <c:pt idx="56">
                  <c:v>45.000000000000028</c:v>
                </c:pt>
                <c:pt idx="57">
                  <c:v>46.000000000000028</c:v>
                </c:pt>
                <c:pt idx="58">
                  <c:v>47.000000000000028</c:v>
                </c:pt>
                <c:pt idx="59">
                  <c:v>48.000000000000028</c:v>
                </c:pt>
                <c:pt idx="60">
                  <c:v>49.000000000000028</c:v>
                </c:pt>
                <c:pt idx="61">
                  <c:v>50.000000000000028</c:v>
                </c:pt>
                <c:pt idx="62">
                  <c:v>51.000000000000021</c:v>
                </c:pt>
                <c:pt idx="63">
                  <c:v>52.000000000000014</c:v>
                </c:pt>
                <c:pt idx="64">
                  <c:v>53.000000000000014</c:v>
                </c:pt>
                <c:pt idx="65">
                  <c:v>54.000000000000014</c:v>
                </c:pt>
                <c:pt idx="66">
                  <c:v>55.000000000000007</c:v>
                </c:pt>
                <c:pt idx="67">
                  <c:v>56</c:v>
                </c:pt>
                <c:pt idx="68">
                  <c:v>57</c:v>
                </c:pt>
                <c:pt idx="69">
                  <c:v>58</c:v>
                </c:pt>
                <c:pt idx="70">
                  <c:v>58.999999999999993</c:v>
                </c:pt>
                <c:pt idx="71">
                  <c:v>59.999999999999986</c:v>
                </c:pt>
                <c:pt idx="72">
                  <c:v>60.999999999999986</c:v>
                </c:pt>
                <c:pt idx="73">
                  <c:v>61.999999999999986</c:v>
                </c:pt>
                <c:pt idx="74">
                  <c:v>62.999999999999979</c:v>
                </c:pt>
                <c:pt idx="75">
                  <c:v>63.999999999999972</c:v>
                </c:pt>
                <c:pt idx="76">
                  <c:v>64.999999999999972</c:v>
                </c:pt>
                <c:pt idx="77">
                  <c:v>65.999999999999972</c:v>
                </c:pt>
                <c:pt idx="78">
                  <c:v>66.999999999999972</c:v>
                </c:pt>
                <c:pt idx="79">
                  <c:v>67.999999999999957</c:v>
                </c:pt>
                <c:pt idx="80">
                  <c:v>68.999999999999957</c:v>
                </c:pt>
                <c:pt idx="81">
                  <c:v>69.999999999999957</c:v>
                </c:pt>
                <c:pt idx="82">
                  <c:v>70.999999999999943</c:v>
                </c:pt>
                <c:pt idx="83">
                  <c:v>71.999999999999943</c:v>
                </c:pt>
                <c:pt idx="84">
                  <c:v>72.999999999999943</c:v>
                </c:pt>
                <c:pt idx="85">
                  <c:v>73.999999999999943</c:v>
                </c:pt>
                <c:pt idx="86">
                  <c:v>74.999999999999943</c:v>
                </c:pt>
                <c:pt idx="87">
                  <c:v>75.999999999999929</c:v>
                </c:pt>
                <c:pt idx="88">
                  <c:v>76.999999999999929</c:v>
                </c:pt>
                <c:pt idx="89">
                  <c:v>77.999999999999929</c:v>
                </c:pt>
                <c:pt idx="90">
                  <c:v>78.999999999999915</c:v>
                </c:pt>
                <c:pt idx="91">
                  <c:v>79.999999999999915</c:v>
                </c:pt>
                <c:pt idx="92">
                  <c:v>80.999999999999915</c:v>
                </c:pt>
                <c:pt idx="93">
                  <c:v>81.999999999999915</c:v>
                </c:pt>
                <c:pt idx="94">
                  <c:v>82.999999999999915</c:v>
                </c:pt>
                <c:pt idx="95">
                  <c:v>83.999999999999901</c:v>
                </c:pt>
                <c:pt idx="96">
                  <c:v>84.999999999999901</c:v>
                </c:pt>
                <c:pt idx="97">
                  <c:v>85.999999999999901</c:v>
                </c:pt>
                <c:pt idx="98">
                  <c:v>86.999999999999886</c:v>
                </c:pt>
                <c:pt idx="99">
                  <c:v>87.999999999999886</c:v>
                </c:pt>
                <c:pt idx="100">
                  <c:v>88.999999999999886</c:v>
                </c:pt>
                <c:pt idx="101">
                  <c:v>89.999999999999886</c:v>
                </c:pt>
                <c:pt idx="102">
                  <c:v>90.999999999999886</c:v>
                </c:pt>
                <c:pt idx="103">
                  <c:v>91.999999999999872</c:v>
                </c:pt>
                <c:pt idx="104">
                  <c:v>92.999999999999872</c:v>
                </c:pt>
                <c:pt idx="105">
                  <c:v>93.999999999999872</c:v>
                </c:pt>
                <c:pt idx="106">
                  <c:v>94.999999999999858</c:v>
                </c:pt>
                <c:pt idx="107">
                  <c:v>95.999999999999858</c:v>
                </c:pt>
                <c:pt idx="108">
                  <c:v>96.999999999999858</c:v>
                </c:pt>
                <c:pt idx="109">
                  <c:v>97.999999999999858</c:v>
                </c:pt>
                <c:pt idx="110">
                  <c:v>98.999999999999872</c:v>
                </c:pt>
                <c:pt idx="111">
                  <c:v>99.999999999999886</c:v>
                </c:pt>
                <c:pt idx="112">
                  <c:v>100.99999999999989</c:v>
                </c:pt>
                <c:pt idx="113">
                  <c:v>101.99999999999989</c:v>
                </c:pt>
                <c:pt idx="114">
                  <c:v>102.9999999999999</c:v>
                </c:pt>
                <c:pt idx="115">
                  <c:v>103.99999999999991</c:v>
                </c:pt>
                <c:pt idx="116">
                  <c:v>104.99999999999991</c:v>
                </c:pt>
                <c:pt idx="117">
                  <c:v>105.99999999999991</c:v>
                </c:pt>
                <c:pt idx="118">
                  <c:v>106.99999999999993</c:v>
                </c:pt>
                <c:pt idx="119">
                  <c:v>107.99999999999994</c:v>
                </c:pt>
                <c:pt idx="120">
                  <c:v>108.99999999999994</c:v>
                </c:pt>
                <c:pt idx="121">
                  <c:v>109.99999999999994</c:v>
                </c:pt>
                <c:pt idx="122">
                  <c:v>110.99999999999996</c:v>
                </c:pt>
                <c:pt idx="123">
                  <c:v>111.99999999999997</c:v>
                </c:pt>
                <c:pt idx="124">
                  <c:v>112.99999999999997</c:v>
                </c:pt>
                <c:pt idx="125">
                  <c:v>113.99999999999997</c:v>
                </c:pt>
                <c:pt idx="126">
                  <c:v>114.99999999999999</c:v>
                </c:pt>
                <c:pt idx="127">
                  <c:v>116</c:v>
                </c:pt>
                <c:pt idx="128">
                  <c:v>117</c:v>
                </c:pt>
                <c:pt idx="129">
                  <c:v>118</c:v>
                </c:pt>
                <c:pt idx="130">
                  <c:v>119.00000000000001</c:v>
                </c:pt>
                <c:pt idx="131">
                  <c:v>120.00000000000003</c:v>
                </c:pt>
                <c:pt idx="132">
                  <c:v>121.00000000000003</c:v>
                </c:pt>
                <c:pt idx="133">
                  <c:v>122.00000000000003</c:v>
                </c:pt>
                <c:pt idx="134">
                  <c:v>123.00000000000004</c:v>
                </c:pt>
                <c:pt idx="135">
                  <c:v>124.00000000000006</c:v>
                </c:pt>
                <c:pt idx="136">
                  <c:v>125.00000000000006</c:v>
                </c:pt>
                <c:pt idx="137">
                  <c:v>126.00000000000006</c:v>
                </c:pt>
                <c:pt idx="138">
                  <c:v>127.00000000000007</c:v>
                </c:pt>
                <c:pt idx="139">
                  <c:v>128.00000000000009</c:v>
                </c:pt>
                <c:pt idx="140">
                  <c:v>129.00000000000009</c:v>
                </c:pt>
                <c:pt idx="141">
                  <c:v>130.00000000000009</c:v>
                </c:pt>
                <c:pt idx="142">
                  <c:v>131.00000000000011</c:v>
                </c:pt>
                <c:pt idx="143">
                  <c:v>132.00000000000011</c:v>
                </c:pt>
                <c:pt idx="144">
                  <c:v>133.00000000000011</c:v>
                </c:pt>
                <c:pt idx="145">
                  <c:v>134.00000000000011</c:v>
                </c:pt>
                <c:pt idx="146">
                  <c:v>135.00000000000011</c:v>
                </c:pt>
                <c:pt idx="147">
                  <c:v>136.00000000000014</c:v>
                </c:pt>
                <c:pt idx="148">
                  <c:v>137.00000000000014</c:v>
                </c:pt>
                <c:pt idx="149">
                  <c:v>138.00000000000014</c:v>
                </c:pt>
                <c:pt idx="150">
                  <c:v>139.00000000000017</c:v>
                </c:pt>
                <c:pt idx="151">
                  <c:v>140.00000000000017</c:v>
                </c:pt>
                <c:pt idx="152">
                  <c:v>141.00000000000017</c:v>
                </c:pt>
                <c:pt idx="153">
                  <c:v>142.00000000000017</c:v>
                </c:pt>
                <c:pt idx="154">
                  <c:v>143.00000000000017</c:v>
                </c:pt>
                <c:pt idx="155">
                  <c:v>144.0000000000002</c:v>
                </c:pt>
                <c:pt idx="156">
                  <c:v>145.0000000000002</c:v>
                </c:pt>
                <c:pt idx="157">
                  <c:v>146.0000000000002</c:v>
                </c:pt>
                <c:pt idx="158">
                  <c:v>147.00000000000023</c:v>
                </c:pt>
                <c:pt idx="159">
                  <c:v>148.00000000000023</c:v>
                </c:pt>
                <c:pt idx="160">
                  <c:v>149.00000000000023</c:v>
                </c:pt>
                <c:pt idx="161">
                  <c:v>150.00000000000023</c:v>
                </c:pt>
                <c:pt idx="162">
                  <c:v>151.00000000000023</c:v>
                </c:pt>
                <c:pt idx="163">
                  <c:v>152.00000000000026</c:v>
                </c:pt>
                <c:pt idx="164">
                  <c:v>153.00000000000026</c:v>
                </c:pt>
                <c:pt idx="165">
                  <c:v>154.00000000000026</c:v>
                </c:pt>
                <c:pt idx="166">
                  <c:v>155.00000000000028</c:v>
                </c:pt>
                <c:pt idx="167">
                  <c:v>156.00000000000028</c:v>
                </c:pt>
                <c:pt idx="168">
                  <c:v>157.00000000000028</c:v>
                </c:pt>
                <c:pt idx="169">
                  <c:v>158.00000000000028</c:v>
                </c:pt>
                <c:pt idx="170">
                  <c:v>159.00000000000028</c:v>
                </c:pt>
                <c:pt idx="171">
                  <c:v>160.00000000000031</c:v>
                </c:pt>
                <c:pt idx="172">
                  <c:v>161.00000000000031</c:v>
                </c:pt>
                <c:pt idx="173">
                  <c:v>162.00000000000031</c:v>
                </c:pt>
                <c:pt idx="174">
                  <c:v>163.00000000000034</c:v>
                </c:pt>
                <c:pt idx="175">
                  <c:v>164.00000000000034</c:v>
                </c:pt>
                <c:pt idx="176">
                  <c:v>165.00000000000034</c:v>
                </c:pt>
                <c:pt idx="177">
                  <c:v>166.00000000000034</c:v>
                </c:pt>
                <c:pt idx="178">
                  <c:v>167.00000000000034</c:v>
                </c:pt>
                <c:pt idx="179">
                  <c:v>168.00000000000037</c:v>
                </c:pt>
                <c:pt idx="180">
                  <c:v>169.00000000000037</c:v>
                </c:pt>
                <c:pt idx="181">
                  <c:v>170.00000000000037</c:v>
                </c:pt>
                <c:pt idx="182">
                  <c:v>171.0000000000004</c:v>
                </c:pt>
                <c:pt idx="183">
                  <c:v>172.0000000000004</c:v>
                </c:pt>
                <c:pt idx="184">
                  <c:v>173.0000000000004</c:v>
                </c:pt>
                <c:pt idx="185">
                  <c:v>174.0000000000004</c:v>
                </c:pt>
                <c:pt idx="186">
                  <c:v>175.0000000000004</c:v>
                </c:pt>
                <c:pt idx="187">
                  <c:v>176.00000000000043</c:v>
                </c:pt>
                <c:pt idx="188">
                  <c:v>177.00000000000043</c:v>
                </c:pt>
                <c:pt idx="189">
                  <c:v>178.00000000000043</c:v>
                </c:pt>
                <c:pt idx="190">
                  <c:v>179.00000000000045</c:v>
                </c:pt>
                <c:pt idx="191">
                  <c:v>180.00000000000045</c:v>
                </c:pt>
                <c:pt idx="192">
                  <c:v>181.00000000000045</c:v>
                </c:pt>
                <c:pt idx="193">
                  <c:v>182.00000000000045</c:v>
                </c:pt>
                <c:pt idx="194">
                  <c:v>183.00000000000045</c:v>
                </c:pt>
                <c:pt idx="195">
                  <c:v>184.00000000000048</c:v>
                </c:pt>
                <c:pt idx="196">
                  <c:v>185.00000000000048</c:v>
                </c:pt>
                <c:pt idx="197">
                  <c:v>186.00000000000048</c:v>
                </c:pt>
                <c:pt idx="198">
                  <c:v>187.00000000000051</c:v>
                </c:pt>
                <c:pt idx="199">
                  <c:v>188.00000000000051</c:v>
                </c:pt>
                <c:pt idx="200">
                  <c:v>189.00000000000051</c:v>
                </c:pt>
                <c:pt idx="201">
                  <c:v>190.00000000000051</c:v>
                </c:pt>
                <c:pt idx="202">
                  <c:v>191.00000000000051</c:v>
                </c:pt>
                <c:pt idx="203">
                  <c:v>192.00000000000051</c:v>
                </c:pt>
                <c:pt idx="204">
                  <c:v>193.00000000000051</c:v>
                </c:pt>
                <c:pt idx="205">
                  <c:v>194.00000000000048</c:v>
                </c:pt>
                <c:pt idx="206">
                  <c:v>195.00000000000045</c:v>
                </c:pt>
                <c:pt idx="207">
                  <c:v>196.00000000000045</c:v>
                </c:pt>
                <c:pt idx="208">
                  <c:v>197.00000000000045</c:v>
                </c:pt>
                <c:pt idx="209">
                  <c:v>198.00000000000043</c:v>
                </c:pt>
                <c:pt idx="210">
                  <c:v>199.0000000000004</c:v>
                </c:pt>
                <c:pt idx="211">
                  <c:v>200.0000000000004</c:v>
                </c:pt>
                <c:pt idx="212">
                  <c:v>201.0000000000004</c:v>
                </c:pt>
                <c:pt idx="213">
                  <c:v>202.00000000000037</c:v>
                </c:pt>
                <c:pt idx="214">
                  <c:v>203.00000000000034</c:v>
                </c:pt>
                <c:pt idx="215">
                  <c:v>204.00000000000034</c:v>
                </c:pt>
                <c:pt idx="216">
                  <c:v>205.00000000000034</c:v>
                </c:pt>
                <c:pt idx="217">
                  <c:v>206.00000000000031</c:v>
                </c:pt>
                <c:pt idx="218">
                  <c:v>207.00000000000028</c:v>
                </c:pt>
                <c:pt idx="219">
                  <c:v>208.00000000000028</c:v>
                </c:pt>
                <c:pt idx="220">
                  <c:v>209.00000000000028</c:v>
                </c:pt>
                <c:pt idx="221">
                  <c:v>210.00000000000026</c:v>
                </c:pt>
                <c:pt idx="222">
                  <c:v>211.00000000000023</c:v>
                </c:pt>
                <c:pt idx="223">
                  <c:v>212.00000000000023</c:v>
                </c:pt>
                <c:pt idx="224">
                  <c:v>213.00000000000023</c:v>
                </c:pt>
                <c:pt idx="225">
                  <c:v>214.0000000000002</c:v>
                </c:pt>
                <c:pt idx="226">
                  <c:v>215.00000000000017</c:v>
                </c:pt>
                <c:pt idx="227">
                  <c:v>216.00000000000017</c:v>
                </c:pt>
                <c:pt idx="228">
                  <c:v>217.00000000000017</c:v>
                </c:pt>
                <c:pt idx="229">
                  <c:v>218.00000000000014</c:v>
                </c:pt>
                <c:pt idx="230">
                  <c:v>219.00000000000011</c:v>
                </c:pt>
                <c:pt idx="231">
                  <c:v>220.00000000000011</c:v>
                </c:pt>
                <c:pt idx="232">
                  <c:v>221.00000000000011</c:v>
                </c:pt>
                <c:pt idx="233">
                  <c:v>222.00000000000009</c:v>
                </c:pt>
                <c:pt idx="234">
                  <c:v>223.00000000000006</c:v>
                </c:pt>
                <c:pt idx="235">
                  <c:v>224.00000000000006</c:v>
                </c:pt>
                <c:pt idx="236">
                  <c:v>225.00000000000006</c:v>
                </c:pt>
                <c:pt idx="237">
                  <c:v>226.00000000000003</c:v>
                </c:pt>
                <c:pt idx="238">
                  <c:v>227</c:v>
                </c:pt>
                <c:pt idx="239">
                  <c:v>228</c:v>
                </c:pt>
                <c:pt idx="240">
                  <c:v>229</c:v>
                </c:pt>
                <c:pt idx="241">
                  <c:v>229.99999999999997</c:v>
                </c:pt>
                <c:pt idx="242">
                  <c:v>230.99999999999994</c:v>
                </c:pt>
                <c:pt idx="243">
                  <c:v>231.99999999999994</c:v>
                </c:pt>
                <c:pt idx="244">
                  <c:v>232.99999999999994</c:v>
                </c:pt>
                <c:pt idx="245">
                  <c:v>233.99999999999991</c:v>
                </c:pt>
                <c:pt idx="246">
                  <c:v>234.99999999999989</c:v>
                </c:pt>
                <c:pt idx="247">
                  <c:v>235.99999999999989</c:v>
                </c:pt>
                <c:pt idx="248">
                  <c:v>236.99999999999989</c:v>
                </c:pt>
                <c:pt idx="249">
                  <c:v>237.99999999999986</c:v>
                </c:pt>
                <c:pt idx="250">
                  <c:v>238.99999999999983</c:v>
                </c:pt>
                <c:pt idx="251">
                  <c:v>239.99999999999983</c:v>
                </c:pt>
              </c:numCache>
            </c:numRef>
          </c:cat>
          <c:val>
            <c:numRef>
              <c:f>'Gas Type Curve'!$C$18:$C$284</c:f>
              <c:numCache>
                <c:formatCode>0.00</c:formatCode>
                <c:ptCount val="267"/>
                <c:pt idx="0">
                  <c:v>823.76453242824095</c:v>
                </c:pt>
                <c:pt idx="1">
                  <c:v>778.53162962849501</c:v>
                </c:pt>
                <c:pt idx="2">
                  <c:v>754.16829204613407</c:v>
                </c:pt>
                <c:pt idx="3">
                  <c:v>772.6134566062085</c:v>
                </c:pt>
                <c:pt idx="4">
                  <c:v>774.95123861594277</c:v>
                </c:pt>
                <c:pt idx="5">
                  <c:v>785.34271190084746</c:v>
                </c:pt>
                <c:pt idx="6">
                  <c:v>793.35309385222683</c:v>
                </c:pt>
                <c:pt idx="7">
                  <c:v>824.61413235452267</c:v>
                </c:pt>
                <c:pt idx="8">
                  <c:v>826.95191436425762</c:v>
                </c:pt>
                <c:pt idx="9">
                  <c:v>834.80334188257018</c:v>
                </c:pt>
                <c:pt idx="10">
                  <c:v>858.01068910970207</c:v>
                </c:pt>
                <c:pt idx="11">
                  <c:v>905.69701902845225</c:v>
                </c:pt>
                <c:pt idx="12">
                  <c:v>939.33914886428636</c:v>
                </c:pt>
                <c:pt idx="13">
                  <c:v>967.4676331915299</c:v>
                </c:pt>
                <c:pt idx="14">
                  <c:v>995.43716308571277</c:v>
                </c:pt>
                <c:pt idx="15">
                  <c:v>1015.3530017047262</c:v>
                </c:pt>
                <c:pt idx="16">
                  <c:v>979.05195583063301</c:v>
                </c:pt>
                <c:pt idx="17">
                  <c:v>1001.5078402162386</c:v>
                </c:pt>
                <c:pt idx="18">
                  <c:v>978.77413112588874</c:v>
                </c:pt>
                <c:pt idx="19">
                  <c:v>1006.7436610200714</c:v>
                </c:pt>
                <c:pt idx="20">
                  <c:v>1010.7110715218171</c:v>
                </c:pt>
                <c:pt idx="21">
                  <c:v>1033.1669559074217</c:v>
                </c:pt>
                <c:pt idx="22">
                  <c:v>1021.7307371131864</c:v>
                </c:pt>
                <c:pt idx="23">
                  <c:v>960.83410678204245</c:v>
                </c:pt>
                <c:pt idx="24">
                  <c:v>908.02496020122555</c:v>
                </c:pt>
                <c:pt idx="25">
                  <c:v>861.72255249643035</c:v>
                </c:pt>
                <c:pt idx="26">
                  <c:v>820.74081367340602</c:v>
                </c:pt>
                <c:pt idx="27">
                  <c:v>784.17110587810248</c:v>
                </c:pt>
                <c:pt idx="28">
                  <c:v>751.30470554840667</c:v>
                </c:pt>
                <c:pt idx="29">
                  <c:v>721.5800773441257</c:v>
                </c:pt>
                <c:pt idx="30">
                  <c:v>694.54611538253812</c:v>
                </c:pt>
                <c:pt idx="31">
                  <c:v>669.83595498402099</c:v>
                </c:pt>
                <c:pt idx="32">
                  <c:v>647.14795373162383</c:v>
                </c:pt>
                <c:pt idx="33">
                  <c:v>626.23164070024404</c:v>
                </c:pt>
                <c:pt idx="34">
                  <c:v>606.8771753230352</c:v>
                </c:pt>
                <c:pt idx="35">
                  <c:v>588.90732878501603</c:v>
                </c:pt>
                <c:pt idx="36">
                  <c:v>572.17130703500004</c:v>
                </c:pt>
                <c:pt idx="37">
                  <c:v>556.53993754774808</c:v>
                </c:pt>
                <c:pt idx="38">
                  <c:v>541.9018791534902</c:v>
                </c:pt>
                <c:pt idx="39">
                  <c:v>528.16060854050716</c:v>
                </c:pt>
                <c:pt idx="40">
                  <c:v>515.23200286437248</c:v>
                </c:pt>
                <c:pt idx="41">
                  <c:v>503.04238452152231</c:v>
                </c:pt>
                <c:pt idx="42">
                  <c:v>491.52692760849595</c:v>
                </c:pt>
                <c:pt idx="43">
                  <c:v>480.62834990288451</c:v>
                </c:pt>
                <c:pt idx="44">
                  <c:v>470.2958320715868</c:v>
                </c:pt>
                <c:pt idx="45">
                  <c:v>460.4841190847639</c:v>
                </c:pt>
                <c:pt idx="46">
                  <c:v>451.15276877042533</c:v>
                </c:pt>
                <c:pt idx="47">
                  <c:v>442.26551998284663</c:v>
                </c:pt>
                <c:pt idx="48">
                  <c:v>433.78975861508127</c:v>
                </c:pt>
                <c:pt idx="49">
                  <c:v>425.69606411851032</c:v>
                </c:pt>
                <c:pt idx="50">
                  <c:v>417.95782263159776</c:v>
                </c:pt>
                <c:pt idx="51">
                  <c:v>410.55089550779479</c:v>
                </c:pt>
                <c:pt idx="52">
                  <c:v>403.45333414741845</c:v>
                </c:pt>
                <c:pt idx="53">
                  <c:v>396.64513371321368</c:v>
                </c:pt>
                <c:pt idx="54">
                  <c:v>390.1080196438661</c:v>
                </c:pt>
                <c:pt idx="55">
                  <c:v>383.8252619492992</c:v>
                </c:pt>
                <c:pt idx="56">
                  <c:v>377.78151313351913</c:v>
                </c:pt>
                <c:pt idx="57">
                  <c:v>371.96266628902703</c:v>
                </c:pt>
                <c:pt idx="58">
                  <c:v>366.35573047530625</c:v>
                </c:pt>
                <c:pt idx="59">
                  <c:v>360.94872095893885</c:v>
                </c:pt>
                <c:pt idx="60">
                  <c:v>355.73056227506743</c:v>
                </c:pt>
                <c:pt idx="61">
                  <c:v>350.69100238533537</c:v>
                </c:pt>
                <c:pt idx="62">
                  <c:v>345.82053646884077</c:v>
                </c:pt>
                <c:pt idx="63">
                  <c:v>341.11033910016198</c:v>
                </c:pt>
                <c:pt idx="64">
                  <c:v>336.55220375018519</c:v>
                </c:pt>
                <c:pt idx="65">
                  <c:v>332.13848869777303</c:v>
                </c:pt>
                <c:pt idx="66">
                  <c:v>327.86206856844638</c:v>
                </c:pt>
                <c:pt idx="67">
                  <c:v>323.71629082440023</c:v>
                </c:pt>
                <c:pt idx="68">
                  <c:v>319.69493662177456</c:v>
                </c:pt>
                <c:pt idx="69">
                  <c:v>315.7921855289016</c:v>
                </c:pt>
                <c:pt idx="70">
                  <c:v>312.00258366555192</c:v>
                </c:pt>
                <c:pt idx="71">
                  <c:v>308.32101487985125</c:v>
                </c:pt>
                <c:pt idx="72">
                  <c:v>304.74267462808564</c:v>
                </c:pt>
                <c:pt idx="73">
                  <c:v>301.26304626433074</c:v>
                </c:pt>
                <c:pt idx="74">
                  <c:v>297.87787948276542</c:v>
                </c:pt>
                <c:pt idx="75">
                  <c:v>294.58317068657556</c:v>
                </c:pt>
                <c:pt idx="76">
                  <c:v>291.3751450842135</c:v>
                </c:pt>
                <c:pt idx="77">
                  <c:v>288.25024033709803</c:v>
                </c:pt>
                <c:pt idx="78">
                  <c:v>285.20509160311786</c:v>
                </c:pt>
                <c:pt idx="79">
                  <c:v>282.23651783798016</c:v>
                </c:pt>
                <c:pt idx="80">
                  <c:v>279.34150923188241</c:v>
                </c:pt>
                <c:pt idx="81">
                  <c:v>276.51721567251184</c:v>
                </c:pt>
                <c:pt idx="82">
                  <c:v>273.76093613722043</c:v>
                </c:pt>
                <c:pt idx="83">
                  <c:v>271.0701089276551</c:v>
                </c:pt>
                <c:pt idx="84">
                  <c:v>268.44230266928741</c:v>
                </c:pt>
                <c:pt idx="85">
                  <c:v>265.87520800638481</c:v>
                </c:pt>
                <c:pt idx="86">
                  <c:v>263.36662993011549</c:v>
                </c:pt>
                <c:pt idx="87">
                  <c:v>260.91448068380782</c:v>
                </c:pt>
                <c:pt idx="88">
                  <c:v>258.51677319499987</c:v>
                </c:pt>
                <c:pt idx="89">
                  <c:v>256.17161498890295</c:v>
                </c:pt>
                <c:pt idx="90">
                  <c:v>253.87720254232948</c:v>
                </c:pt>
                <c:pt idx="91">
                  <c:v>251.63181604109829</c:v>
                </c:pt>
                <c:pt idx="92">
                  <c:v>249.4338145074467</c:v>
                </c:pt>
                <c:pt idx="93">
                  <c:v>247.28163126713588</c:v>
                </c:pt>
                <c:pt idx="94">
                  <c:v>245.17376972875275</c:v>
                </c:pt>
                <c:pt idx="95">
                  <c:v>243.10879945023825</c:v>
                </c:pt>
                <c:pt idx="96">
                  <c:v>241.08535246994407</c:v>
                </c:pt>
                <c:pt idx="97">
                  <c:v>239.10211988155004</c:v>
                </c:pt>
                <c:pt idx="98">
                  <c:v>237.15784863401572</c:v>
                </c:pt>
                <c:pt idx="99">
                  <c:v>235.25133853938632</c:v>
                </c:pt>
                <c:pt idx="100">
                  <c:v>233.3814394727635</c:v>
                </c:pt>
                <c:pt idx="101">
                  <c:v>231.54704875010199</c:v>
                </c:pt>
                <c:pt idx="102">
                  <c:v>229.74710867070149</c:v>
                </c:pt>
                <c:pt idx="103">
                  <c:v>227.98060421237065</c:v>
                </c:pt>
                <c:pt idx="104">
                  <c:v>226.2465608682383</c:v>
                </c:pt>
                <c:pt idx="105">
                  <c:v>224.54404261508714</c:v>
                </c:pt>
                <c:pt idx="106">
                  <c:v>222.87215000391251</c:v>
                </c:pt>
                <c:pt idx="107">
                  <c:v>221.23001836415435</c:v>
                </c:pt>
                <c:pt idx="108">
                  <c:v>219.61681611373223</c:v>
                </c:pt>
                <c:pt idx="109">
                  <c:v>218.03174316763062</c:v>
                </c:pt>
                <c:pt idx="110">
                  <c:v>216.47402943834939</c:v>
                </c:pt>
                <c:pt idx="111">
                  <c:v>214.94293342205032</c:v>
                </c:pt>
                <c:pt idx="112">
                  <c:v>213.43774086469944</c:v>
                </c:pt>
                <c:pt idx="113">
                  <c:v>211.95776350293963</c:v>
                </c:pt>
                <c:pt idx="114">
                  <c:v>210.50233787482057</c:v>
                </c:pt>
                <c:pt idx="115">
                  <c:v>209.07082419587343</c:v>
                </c:pt>
                <c:pt idx="116">
                  <c:v>207.66260529635315</c:v>
                </c:pt>
                <c:pt idx="117">
                  <c:v>206.27708561577086</c:v>
                </c:pt>
                <c:pt idx="118">
                  <c:v>204.91369025112272</c:v>
                </c:pt>
                <c:pt idx="119">
                  <c:v>203.57186405547512</c:v>
                </c:pt>
                <c:pt idx="120">
                  <c:v>202.2510707838035</c:v>
                </c:pt>
                <c:pt idx="121">
                  <c:v>200.95079228320145</c:v>
                </c:pt>
                <c:pt idx="122">
                  <c:v>199.67052772477433</c:v>
                </c:pt>
                <c:pt idx="123">
                  <c:v>198.40979287471927</c:v>
                </c:pt>
                <c:pt idx="124">
                  <c:v>197.16811940226239</c:v>
                </c:pt>
                <c:pt idx="125">
                  <c:v>195.94505422228104</c:v>
                </c:pt>
                <c:pt idx="126">
                  <c:v>194.74015887058908</c:v>
                </c:pt>
                <c:pt idx="127">
                  <c:v>193.55300890999069</c:v>
                </c:pt>
                <c:pt idx="128">
                  <c:v>192.38319336533851</c:v>
                </c:pt>
                <c:pt idx="129">
                  <c:v>191.23031418594687</c:v>
                </c:pt>
                <c:pt idx="130">
                  <c:v>190.09398573381407</c:v>
                </c:pt>
                <c:pt idx="131">
                  <c:v>188.97383429621172</c:v>
                </c:pt>
                <c:pt idx="132">
                  <c:v>187.86949762128711</c:v>
                </c:pt>
                <c:pt idx="133">
                  <c:v>186.78062447541461</c:v>
                </c:pt>
                <c:pt idx="134">
                  <c:v>185.70687422110572</c:v>
                </c:pt>
                <c:pt idx="135">
                  <c:v>184.6479164143671</c:v>
                </c:pt>
                <c:pt idx="136">
                  <c:v>183.60343042046051</c:v>
                </c:pt>
                <c:pt idx="137">
                  <c:v>182.57310504708522</c:v>
                </c:pt>
                <c:pt idx="138">
                  <c:v>181.55663819406055</c:v>
                </c:pt>
                <c:pt idx="139">
                  <c:v>180.55373651864394</c:v>
                </c:pt>
                <c:pt idx="140">
                  <c:v>179.56411511567032</c:v>
                </c:pt>
                <c:pt idx="141">
                  <c:v>178.58749721174817</c:v>
                </c:pt>
                <c:pt idx="142">
                  <c:v>177.62361387279017</c:v>
                </c:pt>
                <c:pt idx="143">
                  <c:v>176.67220372420249</c:v>
                </c:pt>
                <c:pt idx="144">
                  <c:v>175.73301268309115</c:v>
                </c:pt>
                <c:pt idx="145">
                  <c:v>174.80579370188622</c:v>
                </c:pt>
                <c:pt idx="146">
                  <c:v>173.89030652281272</c:v>
                </c:pt>
                <c:pt idx="147">
                  <c:v>172.98631744267672</c:v>
                </c:pt>
                <c:pt idx="148">
                  <c:v>172.09359908745697</c:v>
                </c:pt>
                <c:pt idx="149">
                  <c:v>171.21193019622837</c:v>
                </c:pt>
                <c:pt idx="150">
                  <c:v>170.34109541396532</c:v>
                </c:pt>
                <c:pt idx="151">
                  <c:v>169.4808850927983</c:v>
                </c:pt>
                <c:pt idx="152">
                  <c:v>168.63109510132253</c:v>
                </c:pt>
                <c:pt idx="153">
                  <c:v>167.79152664157766</c:v>
                </c:pt>
                <c:pt idx="154">
                  <c:v>166.96198607333812</c:v>
                </c:pt>
                <c:pt idx="155">
                  <c:v>166.14228474537325</c:v>
                </c:pt>
                <c:pt idx="156">
                  <c:v>165.33223883335452</c:v>
                </c:pt>
                <c:pt idx="157">
                  <c:v>164.53166918410548</c:v>
                </c:pt>
                <c:pt idx="158">
                  <c:v>163.74040116590234</c:v>
                </c:pt>
                <c:pt idx="159">
                  <c:v>162.95826452455262</c:v>
                </c:pt>
                <c:pt idx="160">
                  <c:v>162.18509324499169</c:v>
                </c:pt>
                <c:pt idx="161">
                  <c:v>161.42072541814841</c:v>
                </c:pt>
                <c:pt idx="162">
                  <c:v>160.66500311284773</c:v>
                </c:pt>
                <c:pt idx="163">
                  <c:v>159.9177722525267</c:v>
                </c:pt>
                <c:pt idx="164">
                  <c:v>159.17888249655243</c:v>
                </c:pt>
                <c:pt idx="165">
                  <c:v>158.44818712594264</c:v>
                </c:pt>
                <c:pt idx="166">
                  <c:v>157.72554293329631</c:v>
                </c:pt>
                <c:pt idx="167">
                  <c:v>157.01081011675598</c:v>
                </c:pt>
                <c:pt idx="168">
                  <c:v>156.30385217782572</c:v>
                </c:pt>
                <c:pt idx="169">
                  <c:v>155.60453582288434</c:v>
                </c:pt>
                <c:pt idx="170">
                  <c:v>154.91273086823594</c:v>
                </c:pt>
                <c:pt idx="171">
                  <c:v>154.22831014854944</c:v>
                </c:pt>
                <c:pt idx="172">
                  <c:v>153.5511494285476</c:v>
                </c:pt>
                <c:pt idx="173">
                  <c:v>152.88112731780745</c:v>
                </c:pt>
                <c:pt idx="174">
                  <c:v>152.21812518854802</c:v>
                </c:pt>
                <c:pt idx="175">
                  <c:v>151.56202709628002</c:v>
                </c:pt>
                <c:pt idx="176">
                  <c:v>150.91271970320261</c:v>
                </c:pt>
                <c:pt idx="177">
                  <c:v>150.27009220423571</c:v>
                </c:pt>
                <c:pt idx="178">
                  <c:v>149.63403625558163</c:v>
                </c:pt>
                <c:pt idx="179">
                  <c:v>149.00444590571576</c:v>
                </c:pt>
                <c:pt idx="180">
                  <c:v>148.3812175287095</c:v>
                </c:pt>
                <c:pt idx="181">
                  <c:v>147.76424975979208</c:v>
                </c:pt>
                <c:pt idx="182">
                  <c:v>147.15344343306637</c:v>
                </c:pt>
                <c:pt idx="183">
                  <c:v>146.54870152129109</c:v>
                </c:pt>
                <c:pt idx="184">
                  <c:v>145.94992907765214</c:v>
                </c:pt>
                <c:pt idx="185">
                  <c:v>145.3570331794443</c:v>
                </c:pt>
                <c:pt idx="186">
                  <c:v>144.76992287359118</c:v>
                </c:pt>
                <c:pt idx="187">
                  <c:v>144.18850912393353</c:v>
                </c:pt>
                <c:pt idx="188">
                  <c:v>143.61270476021744</c:v>
                </c:pt>
                <c:pt idx="189">
                  <c:v>143.04242442871964</c:v>
                </c:pt>
                <c:pt idx="190">
                  <c:v>142.47758454444815</c:v>
                </c:pt>
                <c:pt idx="191">
                  <c:v>141.91810324485934</c:v>
                </c:pt>
                <c:pt idx="192">
                  <c:v>141.36390034503543</c:v>
                </c:pt>
                <c:pt idx="193">
                  <c:v>140.81489729426818</c:v>
                </c:pt>
                <c:pt idx="194">
                  <c:v>140.27101713399799</c:v>
                </c:pt>
                <c:pt idx="195">
                  <c:v>139.73218445705777</c:v>
                </c:pt>
                <c:pt idx="196">
                  <c:v>139.1983253681758</c:v>
                </c:pt>
                <c:pt idx="197">
                  <c:v>138.66936744569003</c:v>
                </c:pt>
                <c:pt idx="198">
                  <c:v>138.14523970443273</c:v>
                </c:pt>
                <c:pt idx="199">
                  <c:v>137.62587255974245</c:v>
                </c:pt>
                <c:pt idx="200">
                  <c:v>137.11119779256245</c:v>
                </c:pt>
                <c:pt idx="201">
                  <c:v>136.60114851558899</c:v>
                </c:pt>
                <c:pt idx="202">
                  <c:v>136.09565914043162</c:v>
                </c:pt>
                <c:pt idx="203">
                  <c:v>135.59466534575006</c:v>
                </c:pt>
                <c:pt idx="204">
                  <c:v>135.09810404633384</c:v>
                </c:pt>
                <c:pt idx="205">
                  <c:v>134.60591336309216</c:v>
                </c:pt>
                <c:pt idx="206">
                  <c:v>134.11803259392295</c:v>
                </c:pt>
                <c:pt idx="207">
                  <c:v>133.63440218542976</c:v>
                </c:pt>
                <c:pt idx="208">
                  <c:v>133.15496370545964</c:v>
                </c:pt>
                <c:pt idx="209">
                  <c:v>132.67965981643229</c:v>
                </c:pt>
                <c:pt idx="210">
                  <c:v>132.2084342494347</c:v>
                </c:pt>
                <c:pt idx="211">
                  <c:v>131.74123177905554</c:v>
                </c:pt>
                <c:pt idx="212">
                  <c:v>131.27799819893494</c:v>
                </c:pt>
                <c:pt idx="213">
                  <c:v>130.81868029800395</c:v>
                </c:pt>
                <c:pt idx="214">
                  <c:v>130.36322583739494</c:v>
                </c:pt>
                <c:pt idx="215">
                  <c:v>129.9115835279953</c:v>
                </c:pt>
                <c:pt idx="216">
                  <c:v>129.46370300862898</c:v>
                </c:pt>
                <c:pt idx="217">
                  <c:v>129.01953482484149</c:v>
                </c:pt>
                <c:pt idx="218">
                  <c:v>128.57903040827026</c:v>
                </c:pt>
                <c:pt idx="219">
                  <c:v>128.14214205658166</c:v>
                </c:pt>
                <c:pt idx="220">
                  <c:v>127.70882291395617</c:v>
                </c:pt>
                <c:pt idx="221">
                  <c:v>127.27902695210385</c:v>
                </c:pt>
                <c:pt idx="222">
                  <c:v>126.85270895179383</c:v>
                </c:pt>
                <c:pt idx="223">
                  <c:v>126.42982448488142</c:v>
                </c:pt>
                <c:pt idx="224">
                  <c:v>126.0103298968168</c:v>
                </c:pt>
                <c:pt idx="225">
                  <c:v>125.59418228962068</c:v>
                </c:pt>
                <c:pt idx="226">
                  <c:v>125.18133950531164</c:v>
                </c:pt>
                <c:pt idx="227">
                  <c:v>124.771760109772</c:v>
                </c:pt>
                <c:pt idx="228">
                  <c:v>124.3654033770388</c:v>
                </c:pt>
                <c:pt idx="229">
                  <c:v>123.96222927400437</c:v>
                </c:pt>
                <c:pt idx="230">
                  <c:v>123.56219844551826</c:v>
                </c:pt>
                <c:pt idx="231">
                  <c:v>123.16527219987356</c:v>
                </c:pt>
                <c:pt idx="232">
                  <c:v>122.77141249467026</c:v>
                </c:pt>
                <c:pt idx="233">
                  <c:v>122.38058192304048</c:v>
                </c:pt>
                <c:pt idx="234">
                  <c:v>121.99274370022775</c:v>
                </c:pt>
                <c:pt idx="235">
                  <c:v>121.60786165050706</c:v>
                </c:pt>
                <c:pt idx="236">
                  <c:v>121.22590019443861</c:v>
                </c:pt>
                <c:pt idx="237">
                  <c:v>120.84682433644164</c:v>
                </c:pt>
                <c:pt idx="238">
                  <c:v>120.47059965268248</c:v>
                </c:pt>
                <c:pt idx="239">
                  <c:v>120.09719227926477</c:v>
                </c:pt>
                <c:pt idx="240">
                  <c:v>119.72656890071485</c:v>
                </c:pt>
                <c:pt idx="241">
                  <c:v>119.35869673875278</c:v>
                </c:pt>
                <c:pt idx="242">
                  <c:v>118.99354354134076</c:v>
                </c:pt>
                <c:pt idx="243">
                  <c:v>118.63107757200123</c:v>
                </c:pt>
                <c:pt idx="244">
                  <c:v>118.27126759939691</c:v>
                </c:pt>
                <c:pt idx="245">
                  <c:v>117.91408288716482</c:v>
                </c:pt>
                <c:pt idx="246">
                  <c:v>117.55949318399739</c:v>
                </c:pt>
                <c:pt idx="247">
                  <c:v>117.20746871396356</c:v>
                </c:pt>
                <c:pt idx="248">
                  <c:v>116.85798016706319</c:v>
                </c:pt>
                <c:pt idx="249">
                  <c:v>116.5109986900079</c:v>
                </c:pt>
                <c:pt idx="250">
                  <c:v>116.16649587722206</c:v>
                </c:pt>
                <c:pt idx="251">
                  <c:v>115.82444376205842</c:v>
                </c:pt>
              </c:numCache>
            </c:numRef>
          </c:val>
          <c:smooth val="0"/>
          <c:extLst>
            <c:ext xmlns:c16="http://schemas.microsoft.com/office/drawing/2014/chart" uri="{C3380CC4-5D6E-409C-BE32-E72D297353CC}">
              <c16:uniqueId val="{00000001-3A48-3645-8BE1-AD44ED45ED4D}"/>
            </c:ext>
          </c:extLst>
        </c:ser>
        <c:dLbls>
          <c:showLegendKey val="0"/>
          <c:showVal val="0"/>
          <c:showCatName val="0"/>
          <c:showSerName val="0"/>
          <c:showPercent val="0"/>
          <c:showBubbleSize val="0"/>
        </c:dLbls>
        <c:smooth val="0"/>
        <c:axId val="112551808"/>
        <c:axId val="112553344"/>
      </c:lineChart>
      <c:catAx>
        <c:axId val="112551808"/>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553344"/>
        <c:crosses val="autoZero"/>
        <c:auto val="1"/>
        <c:lblAlgn val="ctr"/>
        <c:lblOffset val="100"/>
        <c:noMultiLvlLbl val="0"/>
      </c:catAx>
      <c:valAx>
        <c:axId val="1125533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Production</a:t>
                </a:r>
                <a:r>
                  <a:rPr lang="en-US" baseline="0"/>
                  <a:t> (</a:t>
                </a:r>
                <a:r>
                  <a:rPr lang="en-US"/>
                  <a:t>Mcf/d)</a:t>
                </a:r>
              </a:p>
            </c:rich>
          </c:tx>
          <c:overlay val="0"/>
          <c:spPr>
            <a:noFill/>
            <a:ln>
              <a:noFill/>
            </a:ln>
            <a:effectLst/>
          </c:sp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5518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lineChart>
        <c:grouping val="standard"/>
        <c:varyColors val="0"/>
        <c:ser>
          <c:idx val="0"/>
          <c:order val="0"/>
          <c:spPr>
            <a:ln w="19050" cap="rnd">
              <a:solidFill>
                <a:schemeClr val="accent1"/>
              </a:solidFill>
              <a:round/>
            </a:ln>
            <a:effectLst/>
          </c:spPr>
          <c:marker>
            <c:symbol val="none"/>
          </c:marker>
          <c:cat>
            <c:numRef>
              <c:f>'Liquids Type Curve'!$B$18:$B$277</c:f>
              <c:numCache>
                <c:formatCode>0.00</c:formatCode>
                <c:ptCount val="260"/>
                <c:pt idx="0">
                  <c:v>0.52173913043478304</c:v>
                </c:pt>
                <c:pt idx="1">
                  <c:v>0.92517694641051296</c:v>
                </c:pt>
                <c:pt idx="2">
                  <c:v>1.4742163801819901</c:v>
                </c:pt>
                <c:pt idx="3">
                  <c:v>2.0262891809908901</c:v>
                </c:pt>
                <c:pt idx="4">
                  <c:v>2.57836198179979</c:v>
                </c:pt>
                <c:pt idx="5">
                  <c:v>3.2699696663296201</c:v>
                </c:pt>
                <c:pt idx="6">
                  <c:v>4.09807886754297</c:v>
                </c:pt>
                <c:pt idx="7">
                  <c:v>4.5864509605662196</c:v>
                </c:pt>
                <c:pt idx="8">
                  <c:v>4.99898887765419</c:v>
                </c:pt>
                <c:pt idx="9">
                  <c:v>5.8270980788675404</c:v>
                </c:pt>
                <c:pt idx="10">
                  <c:v>6.6643073811931197</c:v>
                </c:pt>
                <c:pt idx="11">
                  <c:v>7.43174924165824</c:v>
                </c:pt>
                <c:pt idx="12">
                  <c:v>8.0626895854398395</c:v>
                </c:pt>
                <c:pt idx="13">
                  <c:v>9.0626895854398395</c:v>
                </c:pt>
                <c:pt idx="14">
                  <c:v>10.062689585439839</c:v>
                </c:pt>
                <c:pt idx="15">
                  <c:v>11.062689585439841</c:v>
                </c:pt>
                <c:pt idx="16">
                  <c:v>12.062689585439839</c:v>
                </c:pt>
                <c:pt idx="17">
                  <c:v>13.062689585439838</c:v>
                </c:pt>
                <c:pt idx="18">
                  <c:v>14.062689585439838</c:v>
                </c:pt>
                <c:pt idx="19">
                  <c:v>15.062689585439838</c:v>
                </c:pt>
                <c:pt idx="20">
                  <c:v>16.062689585439834</c:v>
                </c:pt>
                <c:pt idx="21">
                  <c:v>17.062689585439834</c:v>
                </c:pt>
                <c:pt idx="22">
                  <c:v>18.062689585439834</c:v>
                </c:pt>
                <c:pt idx="23">
                  <c:v>19.062689585439834</c:v>
                </c:pt>
                <c:pt idx="24">
                  <c:v>20.062689585439834</c:v>
                </c:pt>
                <c:pt idx="25">
                  <c:v>21.062689585439831</c:v>
                </c:pt>
                <c:pt idx="26">
                  <c:v>22.062689585439831</c:v>
                </c:pt>
                <c:pt idx="27">
                  <c:v>23.062689585439831</c:v>
                </c:pt>
                <c:pt idx="28">
                  <c:v>24.062689585439827</c:v>
                </c:pt>
                <c:pt idx="29">
                  <c:v>25.062689585439831</c:v>
                </c:pt>
                <c:pt idx="30">
                  <c:v>26.062689585439834</c:v>
                </c:pt>
                <c:pt idx="31">
                  <c:v>27.062689585439834</c:v>
                </c:pt>
                <c:pt idx="32">
                  <c:v>28.062689585439834</c:v>
                </c:pt>
                <c:pt idx="33">
                  <c:v>29.062689585439838</c:v>
                </c:pt>
                <c:pt idx="34">
                  <c:v>30.062689585439841</c:v>
                </c:pt>
                <c:pt idx="35">
                  <c:v>31.062689585439841</c:v>
                </c:pt>
                <c:pt idx="36">
                  <c:v>32.062689585439841</c:v>
                </c:pt>
                <c:pt idx="37">
                  <c:v>33.062689585439841</c:v>
                </c:pt>
                <c:pt idx="38">
                  <c:v>34.062689585439848</c:v>
                </c:pt>
                <c:pt idx="39">
                  <c:v>35.062689585439848</c:v>
                </c:pt>
                <c:pt idx="40">
                  <c:v>36.062689585439848</c:v>
                </c:pt>
                <c:pt idx="41">
                  <c:v>37.062689585439855</c:v>
                </c:pt>
                <c:pt idx="42">
                  <c:v>38.062689585439855</c:v>
                </c:pt>
                <c:pt idx="43">
                  <c:v>39.062689585439855</c:v>
                </c:pt>
                <c:pt idx="44">
                  <c:v>40.062689585439855</c:v>
                </c:pt>
                <c:pt idx="45">
                  <c:v>41.062689585439855</c:v>
                </c:pt>
                <c:pt idx="46">
                  <c:v>42.062689585439863</c:v>
                </c:pt>
                <c:pt idx="47">
                  <c:v>43.062689585439863</c:v>
                </c:pt>
                <c:pt idx="48">
                  <c:v>44.062689585439863</c:v>
                </c:pt>
                <c:pt idx="49">
                  <c:v>45.06268958543987</c:v>
                </c:pt>
                <c:pt idx="50">
                  <c:v>46.06268958543987</c:v>
                </c:pt>
                <c:pt idx="51">
                  <c:v>47.06268958543987</c:v>
                </c:pt>
                <c:pt idx="52">
                  <c:v>48.06268958543987</c:v>
                </c:pt>
                <c:pt idx="53">
                  <c:v>49.062689585439863</c:v>
                </c:pt>
                <c:pt idx="54">
                  <c:v>50.062689585439855</c:v>
                </c:pt>
                <c:pt idx="55">
                  <c:v>51.062689585439855</c:v>
                </c:pt>
                <c:pt idx="56">
                  <c:v>52.062689585439855</c:v>
                </c:pt>
                <c:pt idx="57">
                  <c:v>53.062689585439848</c:v>
                </c:pt>
                <c:pt idx="58">
                  <c:v>54.062689585439841</c:v>
                </c:pt>
                <c:pt idx="59">
                  <c:v>55.062689585439841</c:v>
                </c:pt>
                <c:pt idx="60">
                  <c:v>56.062689585439841</c:v>
                </c:pt>
                <c:pt idx="61">
                  <c:v>57.062689585439834</c:v>
                </c:pt>
                <c:pt idx="62">
                  <c:v>58.062689585439827</c:v>
                </c:pt>
                <c:pt idx="63">
                  <c:v>59.062689585439827</c:v>
                </c:pt>
                <c:pt idx="64">
                  <c:v>60.062689585439827</c:v>
                </c:pt>
                <c:pt idx="65">
                  <c:v>61.06268958543982</c:v>
                </c:pt>
                <c:pt idx="66">
                  <c:v>62.062689585439813</c:v>
                </c:pt>
                <c:pt idx="67">
                  <c:v>63.062689585439813</c:v>
                </c:pt>
                <c:pt idx="68">
                  <c:v>64.062689585439813</c:v>
                </c:pt>
                <c:pt idx="69">
                  <c:v>65.062689585439813</c:v>
                </c:pt>
                <c:pt idx="70">
                  <c:v>66.062689585439799</c:v>
                </c:pt>
                <c:pt idx="71">
                  <c:v>67.062689585439799</c:v>
                </c:pt>
                <c:pt idx="72">
                  <c:v>68.062689585439799</c:v>
                </c:pt>
                <c:pt idx="73">
                  <c:v>69.062689585439784</c:v>
                </c:pt>
                <c:pt idx="74">
                  <c:v>70.062689585439784</c:v>
                </c:pt>
                <c:pt idx="75">
                  <c:v>71.062689585439784</c:v>
                </c:pt>
                <c:pt idx="76">
                  <c:v>72.062689585439784</c:v>
                </c:pt>
                <c:pt idx="77">
                  <c:v>73.062689585439784</c:v>
                </c:pt>
                <c:pt idx="78">
                  <c:v>74.06268958543977</c:v>
                </c:pt>
                <c:pt idx="79">
                  <c:v>75.06268958543977</c:v>
                </c:pt>
                <c:pt idx="80">
                  <c:v>76.06268958543977</c:v>
                </c:pt>
                <c:pt idx="81">
                  <c:v>77.062689585439756</c:v>
                </c:pt>
                <c:pt idx="82">
                  <c:v>78.062689585439756</c:v>
                </c:pt>
                <c:pt idx="83">
                  <c:v>79.062689585439756</c:v>
                </c:pt>
                <c:pt idx="84">
                  <c:v>80.062689585439756</c:v>
                </c:pt>
                <c:pt idx="85">
                  <c:v>81.062689585439756</c:v>
                </c:pt>
                <c:pt idx="86">
                  <c:v>82.062689585439742</c:v>
                </c:pt>
                <c:pt idx="87">
                  <c:v>83.062689585439742</c:v>
                </c:pt>
                <c:pt idx="88">
                  <c:v>84.062689585439742</c:v>
                </c:pt>
                <c:pt idx="89">
                  <c:v>85.062689585439728</c:v>
                </c:pt>
                <c:pt idx="90">
                  <c:v>86.062689585439728</c:v>
                </c:pt>
                <c:pt idx="91">
                  <c:v>87.062689585439728</c:v>
                </c:pt>
                <c:pt idx="92">
                  <c:v>88.062689585439728</c:v>
                </c:pt>
                <c:pt idx="93">
                  <c:v>89.062689585439728</c:v>
                </c:pt>
                <c:pt idx="94">
                  <c:v>90.062689585439713</c:v>
                </c:pt>
                <c:pt idx="95">
                  <c:v>91.062689585439713</c:v>
                </c:pt>
                <c:pt idx="96">
                  <c:v>92.062689585439713</c:v>
                </c:pt>
                <c:pt idx="97">
                  <c:v>93.062689585439699</c:v>
                </c:pt>
                <c:pt idx="98">
                  <c:v>94.062689585439699</c:v>
                </c:pt>
                <c:pt idx="99">
                  <c:v>95.062689585439699</c:v>
                </c:pt>
                <c:pt idx="100">
                  <c:v>96.062689585439699</c:v>
                </c:pt>
                <c:pt idx="101">
                  <c:v>97.062689585439713</c:v>
                </c:pt>
                <c:pt idx="102">
                  <c:v>98.062689585439728</c:v>
                </c:pt>
                <c:pt idx="103">
                  <c:v>99.062689585439728</c:v>
                </c:pt>
                <c:pt idx="104">
                  <c:v>100.06268958543973</c:v>
                </c:pt>
                <c:pt idx="105">
                  <c:v>101.06268958543974</c:v>
                </c:pt>
                <c:pt idx="106">
                  <c:v>102.06268958543976</c:v>
                </c:pt>
                <c:pt idx="107">
                  <c:v>103.06268958543976</c:v>
                </c:pt>
                <c:pt idx="108">
                  <c:v>104.06268958543976</c:v>
                </c:pt>
                <c:pt idx="109">
                  <c:v>105.06268958543977</c:v>
                </c:pt>
                <c:pt idx="110">
                  <c:v>106.06268958543978</c:v>
                </c:pt>
                <c:pt idx="111">
                  <c:v>107.06268958543978</c:v>
                </c:pt>
                <c:pt idx="112">
                  <c:v>108.06268958543978</c:v>
                </c:pt>
                <c:pt idx="113">
                  <c:v>109.0626895854398</c:v>
                </c:pt>
                <c:pt idx="114">
                  <c:v>110.06268958543981</c:v>
                </c:pt>
                <c:pt idx="115">
                  <c:v>111.06268958543981</c:v>
                </c:pt>
                <c:pt idx="116">
                  <c:v>112.06268958543981</c:v>
                </c:pt>
                <c:pt idx="117">
                  <c:v>113.06268958543983</c:v>
                </c:pt>
                <c:pt idx="118">
                  <c:v>114.06268958543984</c:v>
                </c:pt>
                <c:pt idx="119">
                  <c:v>115.06268958543984</c:v>
                </c:pt>
                <c:pt idx="120">
                  <c:v>116.06268958543984</c:v>
                </c:pt>
                <c:pt idx="121">
                  <c:v>117.06268958543986</c:v>
                </c:pt>
                <c:pt idx="122">
                  <c:v>118.06268958543987</c:v>
                </c:pt>
                <c:pt idx="123">
                  <c:v>119.06268958543987</c:v>
                </c:pt>
                <c:pt idx="124">
                  <c:v>120.06268958543987</c:v>
                </c:pt>
                <c:pt idx="125">
                  <c:v>121.06268958543988</c:v>
                </c:pt>
                <c:pt idx="126">
                  <c:v>122.0626895854399</c:v>
                </c:pt>
                <c:pt idx="127">
                  <c:v>123.0626895854399</c:v>
                </c:pt>
                <c:pt idx="128">
                  <c:v>124.0626895854399</c:v>
                </c:pt>
                <c:pt idx="129">
                  <c:v>125.06268958543991</c:v>
                </c:pt>
                <c:pt idx="130">
                  <c:v>126.06268958543993</c:v>
                </c:pt>
                <c:pt idx="131">
                  <c:v>127.06268958543993</c:v>
                </c:pt>
                <c:pt idx="132">
                  <c:v>128.06268958543993</c:v>
                </c:pt>
                <c:pt idx="133">
                  <c:v>129.06268958543995</c:v>
                </c:pt>
                <c:pt idx="134">
                  <c:v>130.06268958543995</c:v>
                </c:pt>
                <c:pt idx="135">
                  <c:v>131.06268958543995</c:v>
                </c:pt>
                <c:pt idx="136">
                  <c:v>132.06268958543995</c:v>
                </c:pt>
                <c:pt idx="137">
                  <c:v>133.06268958543995</c:v>
                </c:pt>
                <c:pt idx="138">
                  <c:v>134.06268958543998</c:v>
                </c:pt>
                <c:pt idx="139">
                  <c:v>135.06268958543998</c:v>
                </c:pt>
                <c:pt idx="140">
                  <c:v>136.06268958543998</c:v>
                </c:pt>
                <c:pt idx="141">
                  <c:v>137.06268958544001</c:v>
                </c:pt>
                <c:pt idx="142">
                  <c:v>138.06268958544001</c:v>
                </c:pt>
                <c:pt idx="143">
                  <c:v>139.06268958544001</c:v>
                </c:pt>
                <c:pt idx="144">
                  <c:v>140.06268958544001</c:v>
                </c:pt>
                <c:pt idx="145">
                  <c:v>141.06268958544001</c:v>
                </c:pt>
                <c:pt idx="146">
                  <c:v>142.06268958544004</c:v>
                </c:pt>
                <c:pt idx="147">
                  <c:v>143.06268958544004</c:v>
                </c:pt>
                <c:pt idx="148">
                  <c:v>144.06268958544004</c:v>
                </c:pt>
                <c:pt idx="149">
                  <c:v>145.06268958544007</c:v>
                </c:pt>
                <c:pt idx="150">
                  <c:v>146.06268958544007</c:v>
                </c:pt>
                <c:pt idx="151">
                  <c:v>147.06268958544007</c:v>
                </c:pt>
                <c:pt idx="152">
                  <c:v>148.06268958544007</c:v>
                </c:pt>
                <c:pt idx="153">
                  <c:v>149.06268958544007</c:v>
                </c:pt>
                <c:pt idx="154">
                  <c:v>150.0626895854401</c:v>
                </c:pt>
                <c:pt idx="155">
                  <c:v>151.0626895854401</c:v>
                </c:pt>
                <c:pt idx="156">
                  <c:v>152.0626895854401</c:v>
                </c:pt>
                <c:pt idx="157">
                  <c:v>153.06268958544013</c:v>
                </c:pt>
                <c:pt idx="158">
                  <c:v>154.06268958544013</c:v>
                </c:pt>
                <c:pt idx="159">
                  <c:v>155.06268958544013</c:v>
                </c:pt>
                <c:pt idx="160">
                  <c:v>156.06268958544013</c:v>
                </c:pt>
                <c:pt idx="161">
                  <c:v>157.06268958544013</c:v>
                </c:pt>
                <c:pt idx="162">
                  <c:v>158.06268958544015</c:v>
                </c:pt>
                <c:pt idx="163">
                  <c:v>159.06268958544015</c:v>
                </c:pt>
                <c:pt idx="164">
                  <c:v>160.06268958544015</c:v>
                </c:pt>
                <c:pt idx="165">
                  <c:v>161.06268958544018</c:v>
                </c:pt>
                <c:pt idx="166">
                  <c:v>162.06268958544018</c:v>
                </c:pt>
                <c:pt idx="167">
                  <c:v>163.06268958544018</c:v>
                </c:pt>
                <c:pt idx="168">
                  <c:v>164.06268958544018</c:v>
                </c:pt>
                <c:pt idx="169">
                  <c:v>165.06268958544018</c:v>
                </c:pt>
                <c:pt idx="170">
                  <c:v>166.06268958544021</c:v>
                </c:pt>
                <c:pt idx="171">
                  <c:v>167.06268958544021</c:v>
                </c:pt>
                <c:pt idx="172">
                  <c:v>168.06268958544021</c:v>
                </c:pt>
                <c:pt idx="173">
                  <c:v>169.06268958544024</c:v>
                </c:pt>
                <c:pt idx="174">
                  <c:v>170.06268958544024</c:v>
                </c:pt>
                <c:pt idx="175">
                  <c:v>171.06268958544024</c:v>
                </c:pt>
                <c:pt idx="176">
                  <c:v>172.06268958544024</c:v>
                </c:pt>
                <c:pt idx="177">
                  <c:v>173.06268958544024</c:v>
                </c:pt>
                <c:pt idx="178">
                  <c:v>174.06268958544027</c:v>
                </c:pt>
                <c:pt idx="179">
                  <c:v>175.06268958544027</c:v>
                </c:pt>
                <c:pt idx="180">
                  <c:v>176.06268958544027</c:v>
                </c:pt>
                <c:pt idx="181">
                  <c:v>177.0626895854403</c:v>
                </c:pt>
                <c:pt idx="182">
                  <c:v>178.0626895854403</c:v>
                </c:pt>
                <c:pt idx="183">
                  <c:v>179.0626895854403</c:v>
                </c:pt>
                <c:pt idx="184">
                  <c:v>180.0626895854403</c:v>
                </c:pt>
                <c:pt idx="185">
                  <c:v>181.0626895854403</c:v>
                </c:pt>
                <c:pt idx="186">
                  <c:v>182.06268958544032</c:v>
                </c:pt>
                <c:pt idx="187">
                  <c:v>183.06268958544032</c:v>
                </c:pt>
                <c:pt idx="188">
                  <c:v>184.06268958544032</c:v>
                </c:pt>
                <c:pt idx="189">
                  <c:v>185.06268958544035</c:v>
                </c:pt>
                <c:pt idx="190">
                  <c:v>186.06268958544035</c:v>
                </c:pt>
                <c:pt idx="191">
                  <c:v>187.06268958544035</c:v>
                </c:pt>
                <c:pt idx="192">
                  <c:v>188.06268958544035</c:v>
                </c:pt>
                <c:pt idx="193">
                  <c:v>189.06268958544035</c:v>
                </c:pt>
                <c:pt idx="194">
                  <c:v>190.06268958544038</c:v>
                </c:pt>
                <c:pt idx="195">
                  <c:v>191.06268958544038</c:v>
                </c:pt>
                <c:pt idx="196">
                  <c:v>192.06268958544035</c:v>
                </c:pt>
                <c:pt idx="197">
                  <c:v>193.06268958544035</c:v>
                </c:pt>
                <c:pt idx="198">
                  <c:v>194.06268958544035</c:v>
                </c:pt>
                <c:pt idx="199">
                  <c:v>195.06268958544032</c:v>
                </c:pt>
                <c:pt idx="200">
                  <c:v>196.0626895854403</c:v>
                </c:pt>
                <c:pt idx="201">
                  <c:v>197.0626895854403</c:v>
                </c:pt>
                <c:pt idx="202">
                  <c:v>198.0626895854403</c:v>
                </c:pt>
                <c:pt idx="203">
                  <c:v>199.06268958544027</c:v>
                </c:pt>
                <c:pt idx="204">
                  <c:v>200.06268958544024</c:v>
                </c:pt>
                <c:pt idx="205">
                  <c:v>201.06268958544024</c:v>
                </c:pt>
                <c:pt idx="206">
                  <c:v>202.06268958544024</c:v>
                </c:pt>
                <c:pt idx="207">
                  <c:v>203.06268958544021</c:v>
                </c:pt>
                <c:pt idx="208">
                  <c:v>204.06268958544018</c:v>
                </c:pt>
                <c:pt idx="209">
                  <c:v>205.06268958544018</c:v>
                </c:pt>
                <c:pt idx="210">
                  <c:v>206.06268958544018</c:v>
                </c:pt>
                <c:pt idx="211">
                  <c:v>207.06268958544015</c:v>
                </c:pt>
                <c:pt idx="212">
                  <c:v>208.06268958544013</c:v>
                </c:pt>
                <c:pt idx="213">
                  <c:v>209.06268958544013</c:v>
                </c:pt>
                <c:pt idx="214">
                  <c:v>210.06268958544013</c:v>
                </c:pt>
                <c:pt idx="215">
                  <c:v>211.0626895854401</c:v>
                </c:pt>
                <c:pt idx="216">
                  <c:v>212.06268958544007</c:v>
                </c:pt>
                <c:pt idx="217">
                  <c:v>213.06268958544007</c:v>
                </c:pt>
                <c:pt idx="218">
                  <c:v>214.06268958544007</c:v>
                </c:pt>
                <c:pt idx="219">
                  <c:v>215.06268958544004</c:v>
                </c:pt>
                <c:pt idx="220">
                  <c:v>216.06268958544001</c:v>
                </c:pt>
                <c:pt idx="221">
                  <c:v>217.06268958544001</c:v>
                </c:pt>
                <c:pt idx="222">
                  <c:v>218.06268958544001</c:v>
                </c:pt>
                <c:pt idx="223">
                  <c:v>219.06268958543998</c:v>
                </c:pt>
                <c:pt idx="224">
                  <c:v>220.06268958543995</c:v>
                </c:pt>
                <c:pt idx="225">
                  <c:v>221.06268958543995</c:v>
                </c:pt>
                <c:pt idx="226">
                  <c:v>222.06268958543995</c:v>
                </c:pt>
                <c:pt idx="227">
                  <c:v>223.06268958543993</c:v>
                </c:pt>
                <c:pt idx="228">
                  <c:v>224.0626895854399</c:v>
                </c:pt>
                <c:pt idx="229">
                  <c:v>225.0626895854399</c:v>
                </c:pt>
                <c:pt idx="230">
                  <c:v>226.0626895854399</c:v>
                </c:pt>
                <c:pt idx="231">
                  <c:v>227.06268958543987</c:v>
                </c:pt>
                <c:pt idx="232">
                  <c:v>228.06268958543984</c:v>
                </c:pt>
                <c:pt idx="233">
                  <c:v>229.06268958543984</c:v>
                </c:pt>
                <c:pt idx="234">
                  <c:v>230.06268958543984</c:v>
                </c:pt>
                <c:pt idx="235">
                  <c:v>231.06268958543981</c:v>
                </c:pt>
                <c:pt idx="236">
                  <c:v>232.06268958543978</c:v>
                </c:pt>
                <c:pt idx="237">
                  <c:v>233.06268958543978</c:v>
                </c:pt>
                <c:pt idx="238">
                  <c:v>234.06268958543978</c:v>
                </c:pt>
                <c:pt idx="239">
                  <c:v>235.06268958543976</c:v>
                </c:pt>
                <c:pt idx="240">
                  <c:v>236.06268958543973</c:v>
                </c:pt>
                <c:pt idx="241">
                  <c:v>237.06268958543973</c:v>
                </c:pt>
                <c:pt idx="242">
                  <c:v>238.06268958543973</c:v>
                </c:pt>
                <c:pt idx="243">
                  <c:v>239.0626895854397</c:v>
                </c:pt>
                <c:pt idx="244">
                  <c:v>240.06268958543967</c:v>
                </c:pt>
              </c:numCache>
            </c:numRef>
          </c:cat>
          <c:val>
            <c:numRef>
              <c:f>'Liquids Type Curve'!$C$18:$C$277</c:f>
              <c:numCache>
                <c:formatCode>0.00</c:formatCode>
                <c:ptCount val="260"/>
                <c:pt idx="0">
                  <c:v>55.2173913043478</c:v>
                </c:pt>
                <c:pt idx="1">
                  <c:v>63.913043478260803</c:v>
                </c:pt>
                <c:pt idx="2">
                  <c:v>69.130434782608702</c:v>
                </c:pt>
                <c:pt idx="3">
                  <c:v>72.608695652173907</c:v>
                </c:pt>
                <c:pt idx="4">
                  <c:v>76.086956521739197</c:v>
                </c:pt>
                <c:pt idx="5">
                  <c:v>79.565217391304401</c:v>
                </c:pt>
                <c:pt idx="6">
                  <c:v>84.7826086956522</c:v>
                </c:pt>
                <c:pt idx="7">
                  <c:v>84.7826086956522</c:v>
                </c:pt>
                <c:pt idx="8">
                  <c:v>88.260869565217405</c:v>
                </c:pt>
                <c:pt idx="9">
                  <c:v>93.478260869565304</c:v>
                </c:pt>
                <c:pt idx="10">
                  <c:v>93.478260869565304</c:v>
                </c:pt>
                <c:pt idx="11">
                  <c:v>93.478260869565304</c:v>
                </c:pt>
                <c:pt idx="12">
                  <c:v>92</c:v>
                </c:pt>
                <c:pt idx="13">
                  <c:v>87.321809873686405</c:v>
                </c:pt>
                <c:pt idx="14">
                  <c:v>79.205102425857348</c:v>
                </c:pt>
                <c:pt idx="15">
                  <c:v>72.510543092929751</c:v>
                </c:pt>
                <c:pt idx="16">
                  <c:v>66.891412926135061</c:v>
                </c:pt>
                <c:pt idx="17">
                  <c:v>62.105653511985544</c:v>
                </c:pt>
                <c:pt idx="18">
                  <c:v>57.979063733217025</c:v>
                </c:pt>
                <c:pt idx="19">
                  <c:v>54.383026565659094</c:v>
                </c:pt>
                <c:pt idx="20">
                  <c:v>51.220480547096685</c:v>
                </c:pt>
                <c:pt idx="21">
                  <c:v>48.41677899843517</c:v>
                </c:pt>
                <c:pt idx="22">
                  <c:v>45.913557319886465</c:v>
                </c:pt>
                <c:pt idx="23">
                  <c:v>43.664512365176193</c:v>
                </c:pt>
                <c:pt idx="24">
                  <c:v>41.632432019631906</c:v>
                </c:pt>
                <c:pt idx="25">
                  <c:v>39.787062804098859</c:v>
                </c:pt>
                <c:pt idx="26">
                  <c:v>38.103551762394531</c:v>
                </c:pt>
                <c:pt idx="27">
                  <c:v>36.561289744757445</c:v>
                </c:pt>
                <c:pt idx="28">
                  <c:v>35.143040277399855</c:v>
                </c:pt>
                <c:pt idx="29">
                  <c:v>33.834274914191383</c:v>
                </c:pt>
                <c:pt idx="30">
                  <c:v>32.622660075049097</c:v>
                </c:pt>
                <c:pt idx="31">
                  <c:v>31.497656516355335</c:v>
                </c:pt>
                <c:pt idx="32">
                  <c:v>30.450203575360582</c:v>
                </c:pt>
                <c:pt idx="33">
                  <c:v>29.47246794325341</c:v>
                </c:pt>
                <c:pt idx="34">
                  <c:v>28.557642069722547</c:v>
                </c:pt>
                <c:pt idx="35">
                  <c:v>27.699781110330612</c:v>
                </c:pt>
                <c:pt idx="36">
                  <c:v>26.893670074344161</c:v>
                </c:pt>
                <c:pt idx="37">
                  <c:v>26.134714834245361</c:v>
                </c:pt>
                <c:pt idx="38">
                  <c:v>25.41885213578972</c:v>
                </c:pt>
                <c:pt idx="39">
                  <c:v>24.742474848305317</c:v>
                </c:pt>
                <c:pt idx="40">
                  <c:v>24.102369522833822</c:v>
                </c:pt>
                <c:pt idx="41">
                  <c:v>23.49566395390115</c:v>
                </c:pt>
                <c:pt idx="42">
                  <c:v>22.919782921340047</c:v>
                </c:pt>
                <c:pt idx="43">
                  <c:v>22.372410659219039</c:v>
                </c:pt>
                <c:pt idx="44">
                  <c:v>21.851458886857582</c:v>
                </c:pt>
                <c:pt idx="45">
                  <c:v>21.355039462147872</c:v>
                </c:pt>
                <c:pt idx="46">
                  <c:v>20.881440894774173</c:v>
                </c:pt>
                <c:pt idx="47">
                  <c:v>20.42910809746995</c:v>
                </c:pt>
                <c:pt idx="48">
                  <c:v>19.996624865488887</c:v>
                </c:pt>
                <c:pt idx="49">
                  <c:v>19.582698664276563</c:v>
                </c:pt>
                <c:pt idx="50">
                  <c:v>19.186147377712356</c:v>
                </c:pt>
                <c:pt idx="51">
                  <c:v>18.805887727924883</c:v>
                </c:pt>
                <c:pt idx="52">
                  <c:v>18.440925125414772</c:v>
                </c:pt>
                <c:pt idx="53">
                  <c:v>18.090344747252011</c:v>
                </c:pt>
                <c:pt idx="54">
                  <c:v>17.753303673180092</c:v>
                </c:pt>
                <c:pt idx="55">
                  <c:v>17.429023935911417</c:v>
                </c:pt>
                <c:pt idx="56">
                  <c:v>17.116786363808739</c:v>
                </c:pt>
                <c:pt idx="57">
                  <c:v>16.815925112367772</c:v>
                </c:pt>
                <c:pt idx="58">
                  <c:v>16.525822796123915</c:v>
                </c:pt>
                <c:pt idx="59">
                  <c:v>16.245906145345117</c:v>
                </c:pt>
                <c:pt idx="60">
                  <c:v>15.975642122581485</c:v>
                </c:pt>
                <c:pt idx="61">
                  <c:v>15.714534443173346</c:v>
                </c:pt>
                <c:pt idx="62">
                  <c:v>15.462120451460358</c:v>
                </c:pt>
                <c:pt idx="63">
                  <c:v>15.217968310919023</c:v>
                </c:pt>
                <c:pt idx="64">
                  <c:v>14.981674471976095</c:v>
                </c:pt>
                <c:pt idx="65">
                  <c:v>14.752861385956795</c:v>
                </c:pt>
                <c:pt idx="66">
                  <c:v>14.531175437660563</c:v>
                </c:pt>
                <c:pt idx="67">
                  <c:v>14.316285072518946</c:v>
                </c:pt>
                <c:pt idx="68">
                  <c:v>14.107879097268537</c:v>
                </c:pt>
                <c:pt idx="69">
                  <c:v>13.905665135642371</c:v>
                </c:pt>
                <c:pt idx="70">
                  <c:v>13.709368222804653</c:v>
                </c:pt>
                <c:pt idx="71">
                  <c:v>13.518729524179966</c:v>
                </c:pt>
                <c:pt idx="72">
                  <c:v>13.333505166001077</c:v>
                </c:pt>
                <c:pt idx="73">
                  <c:v>13.153465166356179</c:v>
                </c:pt>
                <c:pt idx="74">
                  <c:v>12.978392456787006</c:v>
                </c:pt>
                <c:pt idx="75">
                  <c:v>12.808081985600456</c:v>
                </c:pt>
                <c:pt idx="76">
                  <c:v>12.642339895029579</c:v>
                </c:pt>
                <c:pt idx="77">
                  <c:v>12.480982765233662</c:v>
                </c:pt>
                <c:pt idx="78">
                  <c:v>12.32383691887879</c:v>
                </c:pt>
                <c:pt idx="79">
                  <c:v>12.170737780701495</c:v>
                </c:pt>
                <c:pt idx="80">
                  <c:v>12.021529287042206</c:v>
                </c:pt>
                <c:pt idx="81">
                  <c:v>11.876063340851779</c:v>
                </c:pt>
                <c:pt idx="82">
                  <c:v>11.734199308130824</c:v>
                </c:pt>
                <c:pt idx="83">
                  <c:v>11.595803552167947</c:v>
                </c:pt>
                <c:pt idx="84">
                  <c:v>11.460749002302375</c:v>
                </c:pt>
                <c:pt idx="85">
                  <c:v>11.328914754257504</c:v>
                </c:pt>
                <c:pt idx="86">
                  <c:v>11.200185699377407</c:v>
                </c:pt>
                <c:pt idx="87">
                  <c:v>11.074452180353081</c:v>
                </c:pt>
                <c:pt idx="88">
                  <c:v>10.951609671253077</c:v>
                </c:pt>
                <c:pt idx="89">
                  <c:v>10.831558479877252</c:v>
                </c:pt>
                <c:pt idx="90">
                  <c:v>10.714203470634567</c:v>
                </c:pt>
                <c:pt idx="91">
                  <c:v>10.599453806310406</c:v>
                </c:pt>
                <c:pt idx="92">
                  <c:v>10.487222707235683</c:v>
                </c:pt>
                <c:pt idx="93">
                  <c:v>10.377427226502917</c:v>
                </c:pt>
                <c:pt idx="94">
                  <c:v>10.269988039993605</c:v>
                </c:pt>
                <c:pt idx="95">
                  <c:v>10.164829250088889</c:v>
                </c:pt>
                <c:pt idx="96">
                  <c:v>10.061878202033057</c:v>
                </c:pt>
                <c:pt idx="97">
                  <c:v>9.9610653120067525</c:v>
                </c:pt>
                <c:pt idx="98">
                  <c:v>9.8623239060467895</c:v>
                </c:pt>
                <c:pt idx="99">
                  <c:v>9.7655900690212896</c:v>
                </c:pt>
                <c:pt idx="100">
                  <c:v>9.6708025029343307</c:v>
                </c:pt>
                <c:pt idx="101">
                  <c:v>9.5779023938933552</c:v>
                </c:pt>
                <c:pt idx="102">
                  <c:v>9.4868332871271193</c:v>
                </c:pt>
                <c:pt idx="103">
                  <c:v>9.3975409694902616</c:v>
                </c:pt>
                <c:pt idx="104">
                  <c:v>9.3099733589359026</c:v>
                </c:pt>
                <c:pt idx="105">
                  <c:v>9.2240804004779964</c:v>
                </c:pt>
                <c:pt idx="106">
                  <c:v>9.1398139682027573</c:v>
                </c:pt>
                <c:pt idx="107">
                  <c:v>9.0571277729217918</c:v>
                </c:pt>
                <c:pt idx="108">
                  <c:v>8.9759772750913083</c:v>
                </c:pt>
                <c:pt idx="109">
                  <c:v>8.8963196026496991</c:v>
                </c:pt>
                <c:pt idx="110">
                  <c:v>8.8181134734519553</c:v>
                </c:pt>
                <c:pt idx="111">
                  <c:v>8.7413191220031141</c:v>
                </c:pt>
                <c:pt idx="112">
                  <c:v>8.665898230215042</c:v>
                </c:pt>
                <c:pt idx="113">
                  <c:v>8.5918138619305733</c:v>
                </c:pt>
                <c:pt idx="114">
                  <c:v>8.5190304009777069</c:v>
                </c:pt>
                <c:pt idx="115">
                  <c:v>8.4475134925335755</c:v>
                </c:pt>
                <c:pt idx="116">
                  <c:v>8.3772299875931573</c:v>
                </c:pt>
                <c:pt idx="117">
                  <c:v>8.3081478903525152</c:v>
                </c:pt>
                <c:pt idx="118">
                  <c:v>8.2402363083293348</c:v>
                </c:pt>
                <c:pt idx="119">
                  <c:v>8.1734654050556976</c:v>
                </c:pt>
                <c:pt idx="120">
                  <c:v>8.1078063551895418</c:v>
                </c:pt>
                <c:pt idx="121">
                  <c:v>8.0432313019014909</c:v>
                </c:pt>
                <c:pt idx="122">
                  <c:v>7.9797133164033838</c:v>
                </c:pt>
                <c:pt idx="123">
                  <c:v>7.9172263594938022</c:v>
                </c:pt>
                <c:pt idx="124">
                  <c:v>7.8557452450041731</c:v>
                </c:pt>
                <c:pt idx="125">
                  <c:v>7.7952456050364054</c:v>
                </c:pt>
                <c:pt idx="126">
                  <c:v>7.7357038568905256</c:v>
                </c:pt>
                <c:pt idx="127">
                  <c:v>7.6770971715868761</c:v>
                </c:pt>
                <c:pt idx="128">
                  <c:v>7.6194034438939058</c:v>
                </c:pt>
                <c:pt idx="129">
                  <c:v>7.5626012637779692</c:v>
                </c:pt>
                <c:pt idx="130">
                  <c:v>7.5066698891970427</c:v>
                </c:pt>
                <c:pt idx="131">
                  <c:v>7.4515892201648501</c:v>
                </c:pt>
                <c:pt idx="132">
                  <c:v>7.3973397740167597</c:v>
                </c:pt>
                <c:pt idx="133">
                  <c:v>7.3439026618128231</c:v>
                </c:pt>
                <c:pt idx="134">
                  <c:v>7.2912595658173158</c:v>
                </c:pt>
                <c:pt idx="135">
                  <c:v>7.2393927179979238</c:v>
                </c:pt>
                <c:pt idx="136">
                  <c:v>7.1882848794908654</c:v>
                </c:pt>
                <c:pt idx="137">
                  <c:v>7.1379193209817853</c:v>
                </c:pt>
                <c:pt idx="138">
                  <c:v>7.0882798039549755</c:v>
                </c:pt>
                <c:pt idx="139">
                  <c:v>7.0393505627663586</c:v>
                </c:pt>
                <c:pt idx="140">
                  <c:v>6.9911162874982287</c:v>
                </c:pt>
                <c:pt idx="141">
                  <c:v>6.9435621075562608</c:v>
                </c:pt>
                <c:pt idx="142">
                  <c:v>6.8966735759714357</c:v>
                </c:pt>
                <c:pt idx="143">
                  <c:v>6.8504366543718378</c:v>
                </c:pt>
                <c:pt idx="144">
                  <c:v>6.8048376985909904</c:v>
                </c:pt>
                <c:pt idx="145">
                  <c:v>6.7598634448816757</c:v>
                </c:pt>
                <c:pt idx="146">
                  <c:v>6.7155009967054475</c:v>
                </c:pt>
                <c:pt idx="147">
                  <c:v>6.6717378120701438</c:v>
                </c:pt>
                <c:pt idx="148">
                  <c:v>6.6285616913888292</c:v>
                </c:pt>
                <c:pt idx="149">
                  <c:v>6.5859607658354369</c:v>
                </c:pt>
                <c:pt idx="150">
                  <c:v>6.5439234861733562</c:v>
                </c:pt>
                <c:pt idx="151">
                  <c:v>6.5024386120348048</c:v>
                </c:pt>
                <c:pt idx="152">
                  <c:v>6.4614952016297913</c:v>
                </c:pt>
                <c:pt idx="153">
                  <c:v>6.4210826018647218</c:v>
                </c:pt>
                <c:pt idx="154">
                  <c:v>6.3811904388517071</c:v>
                </c:pt>
                <c:pt idx="155">
                  <c:v>6.3418086087906271</c:v>
                </c:pt>
                <c:pt idx="156">
                  <c:v>6.3029272692070331</c:v>
                </c:pt>
                <c:pt idx="157">
                  <c:v>6.2645368305296456</c:v>
                </c:pt>
                <c:pt idx="158">
                  <c:v>6.2266279479922417</c:v>
                </c:pt>
                <c:pt idx="159">
                  <c:v>6.1891915138454578</c:v>
                </c:pt>
                <c:pt idx="160">
                  <c:v>6.1522186498646008</c:v>
                </c:pt>
                <c:pt idx="161">
                  <c:v>6.1157007001406072</c:v>
                </c:pt>
                <c:pt idx="162">
                  <c:v>6.0796292241415051</c:v>
                </c:pt>
                <c:pt idx="163">
                  <c:v>6.0439959900327933</c:v>
                </c:pt>
                <c:pt idx="164">
                  <c:v>6.0087929682453582</c:v>
                </c:pt>
                <c:pt idx="165">
                  <c:v>5.9740123252803574</c:v>
                </c:pt>
                <c:pt idx="166">
                  <c:v>5.9396464177409607</c:v>
                </c:pt>
                <c:pt idx="167">
                  <c:v>5.905687786581165</c:v>
                </c:pt>
                <c:pt idx="168">
                  <c:v>5.8721291515626906</c:v>
                </c:pt>
                <c:pt idx="169">
                  <c:v>5.8389634059110893</c:v>
                </c:pt>
                <c:pt idx="170">
                  <c:v>5.8061836111627709</c:v>
                </c:pt>
                <c:pt idx="171">
                  <c:v>5.7737829921950734</c:v>
                </c:pt>
                <c:pt idx="172">
                  <c:v>5.7417549324317809</c:v>
                </c:pt>
                <c:pt idx="173">
                  <c:v>5.710092969216868</c:v>
                </c:pt>
                <c:pt idx="174">
                  <c:v>5.6787907893497112</c:v>
                </c:pt>
                <c:pt idx="175">
                  <c:v>5.6478422247751228</c:v>
                </c:pt>
                <c:pt idx="176">
                  <c:v>5.6172412484219976</c:v>
                </c:pt>
                <c:pt idx="177">
                  <c:v>5.5869819701846577</c:v>
                </c:pt>
                <c:pt idx="178">
                  <c:v>5.5570586330411542</c:v>
                </c:pt>
                <c:pt idx="179">
                  <c:v>5.5274656093031451</c:v>
                </c:pt>
                <c:pt idx="180">
                  <c:v>5.4981973969921292</c:v>
                </c:pt>
                <c:pt idx="181">
                  <c:v>5.4692486163371408</c:v>
                </c:pt>
                <c:pt idx="182">
                  <c:v>5.4406140063891186</c:v>
                </c:pt>
                <c:pt idx="183">
                  <c:v>5.4122884217474665</c:v>
                </c:pt>
                <c:pt idx="184">
                  <c:v>5.384266829394468</c:v>
                </c:pt>
                <c:pt idx="185">
                  <c:v>5.3565443056334558</c:v>
                </c:pt>
                <c:pt idx="186">
                  <c:v>5.3291160331267351</c:v>
                </c:pt>
                <c:pt idx="187">
                  <c:v>5.3019772980295237</c:v>
                </c:pt>
                <c:pt idx="188">
                  <c:v>5.2751234872163</c:v>
                </c:pt>
                <c:pt idx="189">
                  <c:v>5.2485500855959932</c:v>
                </c:pt>
                <c:pt idx="190">
                  <c:v>5.2222526735129309</c:v>
                </c:pt>
                <c:pt idx="191">
                  <c:v>5.1962269242300438</c:v>
                </c:pt>
                <c:pt idx="192">
                  <c:v>5.1704686014916517</c:v>
                </c:pt>
                <c:pt idx="193">
                  <c:v>5.1449735571625812</c:v>
                </c:pt>
                <c:pt idx="194">
                  <c:v>5.1197377289410921</c:v>
                </c:pt>
                <c:pt idx="195">
                  <c:v>5.0947571381427599</c:v>
                </c:pt>
                <c:pt idx="196">
                  <c:v>5.0700278875528531</c:v>
                </c:pt>
                <c:pt idx="197">
                  <c:v>5.0455461593446884</c:v>
                </c:pt>
                <c:pt idx="198">
                  <c:v>5.0213082130616256</c:v>
                </c:pt>
                <c:pt idx="199">
                  <c:v>4.9973103836605013</c:v>
                </c:pt>
                <c:pt idx="200">
                  <c:v>4.9735490796141626</c:v>
                </c:pt>
                <c:pt idx="201">
                  <c:v>4.950020781071248</c:v>
                </c:pt>
                <c:pt idx="202">
                  <c:v>4.9267220380709889</c:v>
                </c:pt>
                <c:pt idx="203">
                  <c:v>4.9036494688113113</c:v>
                </c:pt>
                <c:pt idx="204">
                  <c:v>4.8807997579682105</c:v>
                </c:pt>
                <c:pt idx="205">
                  <c:v>4.858169655064815</c:v>
                </c:pt>
                <c:pt idx="206">
                  <c:v>4.8357559728882196</c:v>
                </c:pt>
                <c:pt idx="207">
                  <c:v>4.8135555859527122</c:v>
                </c:pt>
                <c:pt idx="208">
                  <c:v>4.7915654290075684</c:v>
                </c:pt>
                <c:pt idx="209">
                  <c:v>4.7697824955880703</c:v>
                </c:pt>
                <c:pt idx="210">
                  <c:v>4.7482038366082584</c:v>
                </c:pt>
                <c:pt idx="211">
                  <c:v>4.7268265589939675</c:v>
                </c:pt>
                <c:pt idx="212">
                  <c:v>4.7056478243548634</c:v>
                </c:pt>
                <c:pt idx="213">
                  <c:v>4.6846648476941732</c:v>
                </c:pt>
                <c:pt idx="214">
                  <c:v>4.6638748961548409</c:v>
                </c:pt>
                <c:pt idx="215">
                  <c:v>4.6432752878009476</c:v>
                </c:pt>
                <c:pt idx="216">
                  <c:v>4.6228633904331966</c:v>
                </c:pt>
                <c:pt idx="217">
                  <c:v>4.6026366204374183</c:v>
                </c:pt>
                <c:pt idx="218">
                  <c:v>4.5825924416649766</c:v>
                </c:pt>
                <c:pt idx="219">
                  <c:v>4.5627283643440322</c:v>
                </c:pt>
                <c:pt idx="220">
                  <c:v>4.5430419440207581</c:v>
                </c:pt>
                <c:pt idx="221">
                  <c:v>4.5235307805294429</c:v>
                </c:pt>
                <c:pt idx="222">
                  <c:v>4.5041925169906545</c:v>
                </c:pt>
                <c:pt idx="223">
                  <c:v>4.4850248388365159</c:v>
                </c:pt>
                <c:pt idx="224">
                  <c:v>4.4660254728622615</c:v>
                </c:pt>
                <c:pt idx="225">
                  <c:v>4.4471921863032486</c:v>
                </c:pt>
                <c:pt idx="226">
                  <c:v>4.4285227859366376</c:v>
                </c:pt>
                <c:pt idx="227">
                  <c:v>4.4100151172069522</c:v>
                </c:pt>
                <c:pt idx="228">
                  <c:v>4.3916670633748236</c:v>
                </c:pt>
                <c:pt idx="229">
                  <c:v>4.3734765446881179</c:v>
                </c:pt>
                <c:pt idx="230">
                  <c:v>4.3554415175748922</c:v>
                </c:pt>
                <c:pt idx="231">
                  <c:v>4.3375599738573545</c:v>
                </c:pt>
                <c:pt idx="232">
                  <c:v>4.3198299399863549</c:v>
                </c:pt>
                <c:pt idx="233">
                  <c:v>4.3022494762956418</c:v>
                </c:pt>
                <c:pt idx="234">
                  <c:v>4.2848166762753888</c:v>
                </c:pt>
                <c:pt idx="235">
                  <c:v>4.2675296658643314</c:v>
                </c:pt>
                <c:pt idx="236">
                  <c:v>4.250386602760079</c:v>
                </c:pt>
                <c:pt idx="237">
                  <c:v>4.2333856757468737</c:v>
                </c:pt>
                <c:pt idx="238">
                  <c:v>4.2165251040404943</c:v>
                </c:pt>
                <c:pt idx="239">
                  <c:v>4.1998031366496411</c:v>
                </c:pt>
                <c:pt idx="240">
                  <c:v>4.1832180517533475</c:v>
                </c:pt>
                <c:pt idx="241">
                  <c:v>4.1667681560940659</c:v>
                </c:pt>
                <c:pt idx="242">
                  <c:v>4.1504517843857558</c:v>
                </c:pt>
                <c:pt idx="243">
                  <c:v>4.134267298736761</c:v>
                </c:pt>
                <c:pt idx="244">
                  <c:v>4.1182130880868941</c:v>
                </c:pt>
              </c:numCache>
            </c:numRef>
          </c:val>
          <c:smooth val="0"/>
          <c:extLst>
            <c:ext xmlns:c16="http://schemas.microsoft.com/office/drawing/2014/chart" uri="{C3380CC4-5D6E-409C-BE32-E72D297353CC}">
              <c16:uniqueId val="{00000002-F154-E246-B733-1B2CE7E7A038}"/>
            </c:ext>
          </c:extLst>
        </c:ser>
        <c:dLbls>
          <c:showLegendKey val="0"/>
          <c:showVal val="0"/>
          <c:showCatName val="0"/>
          <c:showSerName val="0"/>
          <c:showPercent val="0"/>
          <c:showBubbleSize val="0"/>
        </c:dLbls>
        <c:smooth val="0"/>
        <c:axId val="112569344"/>
        <c:axId val="110236416"/>
      </c:lineChart>
      <c:catAx>
        <c:axId val="112569344"/>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236416"/>
        <c:crosses val="autoZero"/>
        <c:auto val="1"/>
        <c:lblAlgn val="ctr"/>
        <c:lblOffset val="100"/>
        <c:noMultiLvlLbl val="0"/>
      </c:catAx>
      <c:valAx>
        <c:axId val="1102364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Production</a:t>
                </a:r>
                <a:r>
                  <a:rPr lang="en-US" baseline="0"/>
                  <a:t> (Bbls/d)</a:t>
                </a:r>
                <a:endParaRPr lang="en-US"/>
              </a:p>
            </c:rich>
          </c:tx>
          <c:overlay val="0"/>
          <c:spPr>
            <a:noFill/>
            <a:ln>
              <a:noFill/>
            </a:ln>
            <a:effectLst/>
          </c:sp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5693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19050" cap="rnd">
              <a:solidFill>
                <a:schemeClr val="accent1"/>
              </a:solidFill>
              <a:round/>
            </a:ln>
            <a:effectLst/>
          </c:spPr>
          <c:marker>
            <c:symbol val="none"/>
          </c:marker>
          <c:cat>
            <c:numRef>
              <c:f>'Liquids Type Curve'!$B$18:$B$277</c:f>
              <c:numCache>
                <c:formatCode>0.00</c:formatCode>
                <c:ptCount val="260"/>
                <c:pt idx="0">
                  <c:v>0.52173913043478304</c:v>
                </c:pt>
                <c:pt idx="1">
                  <c:v>0.92517694641051296</c:v>
                </c:pt>
                <c:pt idx="2">
                  <c:v>1.4742163801819901</c:v>
                </c:pt>
                <c:pt idx="3">
                  <c:v>2.0262891809908901</c:v>
                </c:pt>
                <c:pt idx="4">
                  <c:v>2.57836198179979</c:v>
                </c:pt>
                <c:pt idx="5">
                  <c:v>3.2699696663296201</c:v>
                </c:pt>
                <c:pt idx="6">
                  <c:v>4.09807886754297</c:v>
                </c:pt>
                <c:pt idx="7">
                  <c:v>4.5864509605662196</c:v>
                </c:pt>
                <c:pt idx="8">
                  <c:v>4.99898887765419</c:v>
                </c:pt>
                <c:pt idx="9">
                  <c:v>5.8270980788675404</c:v>
                </c:pt>
                <c:pt idx="10">
                  <c:v>6.6643073811931197</c:v>
                </c:pt>
                <c:pt idx="11">
                  <c:v>7.43174924165824</c:v>
                </c:pt>
                <c:pt idx="12">
                  <c:v>8.0626895854398395</c:v>
                </c:pt>
                <c:pt idx="13">
                  <c:v>9.0626895854398395</c:v>
                </c:pt>
                <c:pt idx="14">
                  <c:v>10.062689585439839</c:v>
                </c:pt>
                <c:pt idx="15">
                  <c:v>11.062689585439841</c:v>
                </c:pt>
                <c:pt idx="16">
                  <c:v>12.062689585439839</c:v>
                </c:pt>
                <c:pt idx="17">
                  <c:v>13.062689585439838</c:v>
                </c:pt>
                <c:pt idx="18">
                  <c:v>14.062689585439838</c:v>
                </c:pt>
                <c:pt idx="19">
                  <c:v>15.062689585439838</c:v>
                </c:pt>
                <c:pt idx="20">
                  <c:v>16.062689585439834</c:v>
                </c:pt>
                <c:pt idx="21">
                  <c:v>17.062689585439834</c:v>
                </c:pt>
                <c:pt idx="22">
                  <c:v>18.062689585439834</c:v>
                </c:pt>
                <c:pt idx="23">
                  <c:v>19.062689585439834</c:v>
                </c:pt>
                <c:pt idx="24">
                  <c:v>20.062689585439834</c:v>
                </c:pt>
                <c:pt idx="25">
                  <c:v>21.062689585439831</c:v>
                </c:pt>
                <c:pt idx="26">
                  <c:v>22.062689585439831</c:v>
                </c:pt>
                <c:pt idx="27">
                  <c:v>23.062689585439831</c:v>
                </c:pt>
                <c:pt idx="28">
                  <c:v>24.062689585439827</c:v>
                </c:pt>
                <c:pt idx="29">
                  <c:v>25.062689585439831</c:v>
                </c:pt>
                <c:pt idx="30">
                  <c:v>26.062689585439834</c:v>
                </c:pt>
                <c:pt idx="31">
                  <c:v>27.062689585439834</c:v>
                </c:pt>
                <c:pt idx="32">
                  <c:v>28.062689585439834</c:v>
                </c:pt>
                <c:pt idx="33">
                  <c:v>29.062689585439838</c:v>
                </c:pt>
                <c:pt idx="34">
                  <c:v>30.062689585439841</c:v>
                </c:pt>
                <c:pt idx="35">
                  <c:v>31.062689585439841</c:v>
                </c:pt>
                <c:pt idx="36">
                  <c:v>32.062689585439841</c:v>
                </c:pt>
                <c:pt idx="37">
                  <c:v>33.062689585439841</c:v>
                </c:pt>
                <c:pt idx="38">
                  <c:v>34.062689585439848</c:v>
                </c:pt>
                <c:pt idx="39">
                  <c:v>35.062689585439848</c:v>
                </c:pt>
                <c:pt idx="40">
                  <c:v>36.062689585439848</c:v>
                </c:pt>
                <c:pt idx="41">
                  <c:v>37.062689585439855</c:v>
                </c:pt>
                <c:pt idx="42">
                  <c:v>38.062689585439855</c:v>
                </c:pt>
                <c:pt idx="43">
                  <c:v>39.062689585439855</c:v>
                </c:pt>
                <c:pt idx="44">
                  <c:v>40.062689585439855</c:v>
                </c:pt>
                <c:pt idx="45">
                  <c:v>41.062689585439855</c:v>
                </c:pt>
                <c:pt idx="46">
                  <c:v>42.062689585439863</c:v>
                </c:pt>
                <c:pt idx="47">
                  <c:v>43.062689585439863</c:v>
                </c:pt>
                <c:pt idx="48">
                  <c:v>44.062689585439863</c:v>
                </c:pt>
                <c:pt idx="49">
                  <c:v>45.06268958543987</c:v>
                </c:pt>
                <c:pt idx="50">
                  <c:v>46.06268958543987</c:v>
                </c:pt>
                <c:pt idx="51">
                  <c:v>47.06268958543987</c:v>
                </c:pt>
                <c:pt idx="52">
                  <c:v>48.06268958543987</c:v>
                </c:pt>
                <c:pt idx="53">
                  <c:v>49.062689585439863</c:v>
                </c:pt>
                <c:pt idx="54">
                  <c:v>50.062689585439855</c:v>
                </c:pt>
                <c:pt idx="55">
                  <c:v>51.062689585439855</c:v>
                </c:pt>
                <c:pt idx="56">
                  <c:v>52.062689585439855</c:v>
                </c:pt>
                <c:pt idx="57">
                  <c:v>53.062689585439848</c:v>
                </c:pt>
                <c:pt idx="58">
                  <c:v>54.062689585439841</c:v>
                </c:pt>
                <c:pt idx="59">
                  <c:v>55.062689585439841</c:v>
                </c:pt>
                <c:pt idx="60">
                  <c:v>56.062689585439841</c:v>
                </c:pt>
                <c:pt idx="61">
                  <c:v>57.062689585439834</c:v>
                </c:pt>
                <c:pt idx="62">
                  <c:v>58.062689585439827</c:v>
                </c:pt>
                <c:pt idx="63">
                  <c:v>59.062689585439827</c:v>
                </c:pt>
                <c:pt idx="64">
                  <c:v>60.062689585439827</c:v>
                </c:pt>
                <c:pt idx="65">
                  <c:v>61.06268958543982</c:v>
                </c:pt>
                <c:pt idx="66">
                  <c:v>62.062689585439813</c:v>
                </c:pt>
                <c:pt idx="67">
                  <c:v>63.062689585439813</c:v>
                </c:pt>
                <c:pt idx="68">
                  <c:v>64.062689585439813</c:v>
                </c:pt>
                <c:pt idx="69">
                  <c:v>65.062689585439813</c:v>
                </c:pt>
                <c:pt idx="70">
                  <c:v>66.062689585439799</c:v>
                </c:pt>
                <c:pt idx="71">
                  <c:v>67.062689585439799</c:v>
                </c:pt>
                <c:pt idx="72">
                  <c:v>68.062689585439799</c:v>
                </c:pt>
                <c:pt idx="73">
                  <c:v>69.062689585439784</c:v>
                </c:pt>
                <c:pt idx="74">
                  <c:v>70.062689585439784</c:v>
                </c:pt>
                <c:pt idx="75">
                  <c:v>71.062689585439784</c:v>
                </c:pt>
                <c:pt idx="76">
                  <c:v>72.062689585439784</c:v>
                </c:pt>
                <c:pt idx="77">
                  <c:v>73.062689585439784</c:v>
                </c:pt>
                <c:pt idx="78">
                  <c:v>74.06268958543977</c:v>
                </c:pt>
                <c:pt idx="79">
                  <c:v>75.06268958543977</c:v>
                </c:pt>
                <c:pt idx="80">
                  <c:v>76.06268958543977</c:v>
                </c:pt>
                <c:pt idx="81">
                  <c:v>77.062689585439756</c:v>
                </c:pt>
                <c:pt idx="82">
                  <c:v>78.062689585439756</c:v>
                </c:pt>
                <c:pt idx="83">
                  <c:v>79.062689585439756</c:v>
                </c:pt>
                <c:pt idx="84">
                  <c:v>80.062689585439756</c:v>
                </c:pt>
                <c:pt idx="85">
                  <c:v>81.062689585439756</c:v>
                </c:pt>
                <c:pt idx="86">
                  <c:v>82.062689585439742</c:v>
                </c:pt>
                <c:pt idx="87">
                  <c:v>83.062689585439742</c:v>
                </c:pt>
                <c:pt idx="88">
                  <c:v>84.062689585439742</c:v>
                </c:pt>
                <c:pt idx="89">
                  <c:v>85.062689585439728</c:v>
                </c:pt>
                <c:pt idx="90">
                  <c:v>86.062689585439728</c:v>
                </c:pt>
                <c:pt idx="91">
                  <c:v>87.062689585439728</c:v>
                </c:pt>
                <c:pt idx="92">
                  <c:v>88.062689585439728</c:v>
                </c:pt>
                <c:pt idx="93">
                  <c:v>89.062689585439728</c:v>
                </c:pt>
                <c:pt idx="94">
                  <c:v>90.062689585439713</c:v>
                </c:pt>
                <c:pt idx="95">
                  <c:v>91.062689585439713</c:v>
                </c:pt>
                <c:pt idx="96">
                  <c:v>92.062689585439713</c:v>
                </c:pt>
                <c:pt idx="97">
                  <c:v>93.062689585439699</c:v>
                </c:pt>
                <c:pt idx="98">
                  <c:v>94.062689585439699</c:v>
                </c:pt>
                <c:pt idx="99">
                  <c:v>95.062689585439699</c:v>
                </c:pt>
                <c:pt idx="100">
                  <c:v>96.062689585439699</c:v>
                </c:pt>
                <c:pt idx="101">
                  <c:v>97.062689585439713</c:v>
                </c:pt>
                <c:pt idx="102">
                  <c:v>98.062689585439728</c:v>
                </c:pt>
                <c:pt idx="103">
                  <c:v>99.062689585439728</c:v>
                </c:pt>
                <c:pt idx="104">
                  <c:v>100.06268958543973</c:v>
                </c:pt>
                <c:pt idx="105">
                  <c:v>101.06268958543974</c:v>
                </c:pt>
                <c:pt idx="106">
                  <c:v>102.06268958543976</c:v>
                </c:pt>
                <c:pt idx="107">
                  <c:v>103.06268958543976</c:v>
                </c:pt>
                <c:pt idx="108">
                  <c:v>104.06268958543976</c:v>
                </c:pt>
                <c:pt idx="109">
                  <c:v>105.06268958543977</c:v>
                </c:pt>
                <c:pt idx="110">
                  <c:v>106.06268958543978</c:v>
                </c:pt>
                <c:pt idx="111">
                  <c:v>107.06268958543978</c:v>
                </c:pt>
                <c:pt idx="112">
                  <c:v>108.06268958543978</c:v>
                </c:pt>
                <c:pt idx="113">
                  <c:v>109.0626895854398</c:v>
                </c:pt>
                <c:pt idx="114">
                  <c:v>110.06268958543981</c:v>
                </c:pt>
                <c:pt idx="115">
                  <c:v>111.06268958543981</c:v>
                </c:pt>
                <c:pt idx="116">
                  <c:v>112.06268958543981</c:v>
                </c:pt>
                <c:pt idx="117">
                  <c:v>113.06268958543983</c:v>
                </c:pt>
                <c:pt idx="118">
                  <c:v>114.06268958543984</c:v>
                </c:pt>
                <c:pt idx="119">
                  <c:v>115.06268958543984</c:v>
                </c:pt>
                <c:pt idx="120">
                  <c:v>116.06268958543984</c:v>
                </c:pt>
                <c:pt idx="121">
                  <c:v>117.06268958543986</c:v>
                </c:pt>
                <c:pt idx="122">
                  <c:v>118.06268958543987</c:v>
                </c:pt>
                <c:pt idx="123">
                  <c:v>119.06268958543987</c:v>
                </c:pt>
                <c:pt idx="124">
                  <c:v>120.06268958543987</c:v>
                </c:pt>
                <c:pt idx="125">
                  <c:v>121.06268958543988</c:v>
                </c:pt>
                <c:pt idx="126">
                  <c:v>122.0626895854399</c:v>
                </c:pt>
                <c:pt idx="127">
                  <c:v>123.0626895854399</c:v>
                </c:pt>
                <c:pt idx="128">
                  <c:v>124.0626895854399</c:v>
                </c:pt>
                <c:pt idx="129">
                  <c:v>125.06268958543991</c:v>
                </c:pt>
                <c:pt idx="130">
                  <c:v>126.06268958543993</c:v>
                </c:pt>
                <c:pt idx="131">
                  <c:v>127.06268958543993</c:v>
                </c:pt>
                <c:pt idx="132">
                  <c:v>128.06268958543993</c:v>
                </c:pt>
                <c:pt idx="133">
                  <c:v>129.06268958543995</c:v>
                </c:pt>
                <c:pt idx="134">
                  <c:v>130.06268958543995</c:v>
                </c:pt>
                <c:pt idx="135">
                  <c:v>131.06268958543995</c:v>
                </c:pt>
                <c:pt idx="136">
                  <c:v>132.06268958543995</c:v>
                </c:pt>
                <c:pt idx="137">
                  <c:v>133.06268958543995</c:v>
                </c:pt>
                <c:pt idx="138">
                  <c:v>134.06268958543998</c:v>
                </c:pt>
                <c:pt idx="139">
                  <c:v>135.06268958543998</c:v>
                </c:pt>
                <c:pt idx="140">
                  <c:v>136.06268958543998</c:v>
                </c:pt>
                <c:pt idx="141">
                  <c:v>137.06268958544001</c:v>
                </c:pt>
                <c:pt idx="142">
                  <c:v>138.06268958544001</c:v>
                </c:pt>
                <c:pt idx="143">
                  <c:v>139.06268958544001</c:v>
                </c:pt>
                <c:pt idx="144">
                  <c:v>140.06268958544001</c:v>
                </c:pt>
                <c:pt idx="145">
                  <c:v>141.06268958544001</c:v>
                </c:pt>
                <c:pt idx="146">
                  <c:v>142.06268958544004</c:v>
                </c:pt>
                <c:pt idx="147">
                  <c:v>143.06268958544004</c:v>
                </c:pt>
                <c:pt idx="148">
                  <c:v>144.06268958544004</c:v>
                </c:pt>
                <c:pt idx="149">
                  <c:v>145.06268958544007</c:v>
                </c:pt>
                <c:pt idx="150">
                  <c:v>146.06268958544007</c:v>
                </c:pt>
                <c:pt idx="151">
                  <c:v>147.06268958544007</c:v>
                </c:pt>
                <c:pt idx="152">
                  <c:v>148.06268958544007</c:v>
                </c:pt>
                <c:pt idx="153">
                  <c:v>149.06268958544007</c:v>
                </c:pt>
                <c:pt idx="154">
                  <c:v>150.0626895854401</c:v>
                </c:pt>
                <c:pt idx="155">
                  <c:v>151.0626895854401</c:v>
                </c:pt>
                <c:pt idx="156">
                  <c:v>152.0626895854401</c:v>
                </c:pt>
                <c:pt idx="157">
                  <c:v>153.06268958544013</c:v>
                </c:pt>
                <c:pt idx="158">
                  <c:v>154.06268958544013</c:v>
                </c:pt>
                <c:pt idx="159">
                  <c:v>155.06268958544013</c:v>
                </c:pt>
                <c:pt idx="160">
                  <c:v>156.06268958544013</c:v>
                </c:pt>
                <c:pt idx="161">
                  <c:v>157.06268958544013</c:v>
                </c:pt>
                <c:pt idx="162">
                  <c:v>158.06268958544015</c:v>
                </c:pt>
                <c:pt idx="163">
                  <c:v>159.06268958544015</c:v>
                </c:pt>
                <c:pt idx="164">
                  <c:v>160.06268958544015</c:v>
                </c:pt>
                <c:pt idx="165">
                  <c:v>161.06268958544018</c:v>
                </c:pt>
                <c:pt idx="166">
                  <c:v>162.06268958544018</c:v>
                </c:pt>
                <c:pt idx="167">
                  <c:v>163.06268958544018</c:v>
                </c:pt>
                <c:pt idx="168">
                  <c:v>164.06268958544018</c:v>
                </c:pt>
                <c:pt idx="169">
                  <c:v>165.06268958544018</c:v>
                </c:pt>
                <c:pt idx="170">
                  <c:v>166.06268958544021</c:v>
                </c:pt>
                <c:pt idx="171">
                  <c:v>167.06268958544021</c:v>
                </c:pt>
                <c:pt idx="172">
                  <c:v>168.06268958544021</c:v>
                </c:pt>
                <c:pt idx="173">
                  <c:v>169.06268958544024</c:v>
                </c:pt>
                <c:pt idx="174">
                  <c:v>170.06268958544024</c:v>
                </c:pt>
                <c:pt idx="175">
                  <c:v>171.06268958544024</c:v>
                </c:pt>
                <c:pt idx="176">
                  <c:v>172.06268958544024</c:v>
                </c:pt>
                <c:pt idx="177">
                  <c:v>173.06268958544024</c:v>
                </c:pt>
                <c:pt idx="178">
                  <c:v>174.06268958544027</c:v>
                </c:pt>
                <c:pt idx="179">
                  <c:v>175.06268958544027</c:v>
                </c:pt>
                <c:pt idx="180">
                  <c:v>176.06268958544027</c:v>
                </c:pt>
                <c:pt idx="181">
                  <c:v>177.0626895854403</c:v>
                </c:pt>
                <c:pt idx="182">
                  <c:v>178.0626895854403</c:v>
                </c:pt>
                <c:pt idx="183">
                  <c:v>179.0626895854403</c:v>
                </c:pt>
                <c:pt idx="184">
                  <c:v>180.0626895854403</c:v>
                </c:pt>
                <c:pt idx="185">
                  <c:v>181.0626895854403</c:v>
                </c:pt>
                <c:pt idx="186">
                  <c:v>182.06268958544032</c:v>
                </c:pt>
                <c:pt idx="187">
                  <c:v>183.06268958544032</c:v>
                </c:pt>
                <c:pt idx="188">
                  <c:v>184.06268958544032</c:v>
                </c:pt>
                <c:pt idx="189">
                  <c:v>185.06268958544035</c:v>
                </c:pt>
                <c:pt idx="190">
                  <c:v>186.06268958544035</c:v>
                </c:pt>
                <c:pt idx="191">
                  <c:v>187.06268958544035</c:v>
                </c:pt>
                <c:pt idx="192">
                  <c:v>188.06268958544035</c:v>
                </c:pt>
                <c:pt idx="193">
                  <c:v>189.06268958544035</c:v>
                </c:pt>
                <c:pt idx="194">
                  <c:v>190.06268958544038</c:v>
                </c:pt>
                <c:pt idx="195">
                  <c:v>191.06268958544038</c:v>
                </c:pt>
                <c:pt idx="196">
                  <c:v>192.06268958544035</c:v>
                </c:pt>
                <c:pt idx="197">
                  <c:v>193.06268958544035</c:v>
                </c:pt>
                <c:pt idx="198">
                  <c:v>194.06268958544035</c:v>
                </c:pt>
                <c:pt idx="199">
                  <c:v>195.06268958544032</c:v>
                </c:pt>
                <c:pt idx="200">
                  <c:v>196.0626895854403</c:v>
                </c:pt>
                <c:pt idx="201">
                  <c:v>197.0626895854403</c:v>
                </c:pt>
                <c:pt idx="202">
                  <c:v>198.0626895854403</c:v>
                </c:pt>
                <c:pt idx="203">
                  <c:v>199.06268958544027</c:v>
                </c:pt>
                <c:pt idx="204">
                  <c:v>200.06268958544024</c:v>
                </c:pt>
                <c:pt idx="205">
                  <c:v>201.06268958544024</c:v>
                </c:pt>
                <c:pt idx="206">
                  <c:v>202.06268958544024</c:v>
                </c:pt>
                <c:pt idx="207">
                  <c:v>203.06268958544021</c:v>
                </c:pt>
                <c:pt idx="208">
                  <c:v>204.06268958544018</c:v>
                </c:pt>
                <c:pt idx="209">
                  <c:v>205.06268958544018</c:v>
                </c:pt>
                <c:pt idx="210">
                  <c:v>206.06268958544018</c:v>
                </c:pt>
                <c:pt idx="211">
                  <c:v>207.06268958544015</c:v>
                </c:pt>
                <c:pt idx="212">
                  <c:v>208.06268958544013</c:v>
                </c:pt>
                <c:pt idx="213">
                  <c:v>209.06268958544013</c:v>
                </c:pt>
                <c:pt idx="214">
                  <c:v>210.06268958544013</c:v>
                </c:pt>
                <c:pt idx="215">
                  <c:v>211.0626895854401</c:v>
                </c:pt>
                <c:pt idx="216">
                  <c:v>212.06268958544007</c:v>
                </c:pt>
                <c:pt idx="217">
                  <c:v>213.06268958544007</c:v>
                </c:pt>
                <c:pt idx="218">
                  <c:v>214.06268958544007</c:v>
                </c:pt>
                <c:pt idx="219">
                  <c:v>215.06268958544004</c:v>
                </c:pt>
                <c:pt idx="220">
                  <c:v>216.06268958544001</c:v>
                </c:pt>
                <c:pt idx="221">
                  <c:v>217.06268958544001</c:v>
                </c:pt>
                <c:pt idx="222">
                  <c:v>218.06268958544001</c:v>
                </c:pt>
                <c:pt idx="223">
                  <c:v>219.06268958543998</c:v>
                </c:pt>
                <c:pt idx="224">
                  <c:v>220.06268958543995</c:v>
                </c:pt>
                <c:pt idx="225">
                  <c:v>221.06268958543995</c:v>
                </c:pt>
                <c:pt idx="226">
                  <c:v>222.06268958543995</c:v>
                </c:pt>
                <c:pt idx="227">
                  <c:v>223.06268958543993</c:v>
                </c:pt>
                <c:pt idx="228">
                  <c:v>224.0626895854399</c:v>
                </c:pt>
                <c:pt idx="229">
                  <c:v>225.0626895854399</c:v>
                </c:pt>
                <c:pt idx="230">
                  <c:v>226.0626895854399</c:v>
                </c:pt>
                <c:pt idx="231">
                  <c:v>227.06268958543987</c:v>
                </c:pt>
                <c:pt idx="232">
                  <c:v>228.06268958543984</c:v>
                </c:pt>
                <c:pt idx="233">
                  <c:v>229.06268958543984</c:v>
                </c:pt>
                <c:pt idx="234">
                  <c:v>230.06268958543984</c:v>
                </c:pt>
                <c:pt idx="235">
                  <c:v>231.06268958543981</c:v>
                </c:pt>
                <c:pt idx="236">
                  <c:v>232.06268958543978</c:v>
                </c:pt>
                <c:pt idx="237">
                  <c:v>233.06268958543978</c:v>
                </c:pt>
                <c:pt idx="238">
                  <c:v>234.06268958543978</c:v>
                </c:pt>
                <c:pt idx="239">
                  <c:v>235.06268958543976</c:v>
                </c:pt>
                <c:pt idx="240">
                  <c:v>236.06268958543973</c:v>
                </c:pt>
                <c:pt idx="241">
                  <c:v>237.06268958543973</c:v>
                </c:pt>
                <c:pt idx="242">
                  <c:v>238.06268958543973</c:v>
                </c:pt>
                <c:pt idx="243">
                  <c:v>239.0626895854397</c:v>
                </c:pt>
                <c:pt idx="244">
                  <c:v>240.06268958543967</c:v>
                </c:pt>
              </c:numCache>
            </c:numRef>
          </c:cat>
          <c:val>
            <c:numRef>
              <c:f>'Liquids Type Curve'!$C$18:$C$277</c:f>
              <c:numCache>
                <c:formatCode>0.00</c:formatCode>
                <c:ptCount val="260"/>
                <c:pt idx="0">
                  <c:v>55.2173913043478</c:v>
                </c:pt>
                <c:pt idx="1">
                  <c:v>63.913043478260803</c:v>
                </c:pt>
                <c:pt idx="2">
                  <c:v>69.130434782608702</c:v>
                </c:pt>
                <c:pt idx="3">
                  <c:v>72.608695652173907</c:v>
                </c:pt>
                <c:pt idx="4">
                  <c:v>76.086956521739197</c:v>
                </c:pt>
                <c:pt idx="5">
                  <c:v>79.565217391304401</c:v>
                </c:pt>
                <c:pt idx="6">
                  <c:v>84.7826086956522</c:v>
                </c:pt>
                <c:pt idx="7">
                  <c:v>84.7826086956522</c:v>
                </c:pt>
                <c:pt idx="8">
                  <c:v>88.260869565217405</c:v>
                </c:pt>
                <c:pt idx="9">
                  <c:v>93.478260869565304</c:v>
                </c:pt>
                <c:pt idx="10">
                  <c:v>93.478260869565304</c:v>
                </c:pt>
                <c:pt idx="11">
                  <c:v>93.478260869565304</c:v>
                </c:pt>
                <c:pt idx="12">
                  <c:v>92</c:v>
                </c:pt>
                <c:pt idx="13">
                  <c:v>87.321809873686405</c:v>
                </c:pt>
                <c:pt idx="14">
                  <c:v>79.205102425857348</c:v>
                </c:pt>
                <c:pt idx="15">
                  <c:v>72.510543092929751</c:v>
                </c:pt>
                <c:pt idx="16">
                  <c:v>66.891412926135061</c:v>
                </c:pt>
                <c:pt idx="17">
                  <c:v>62.105653511985544</c:v>
                </c:pt>
                <c:pt idx="18">
                  <c:v>57.979063733217025</c:v>
                </c:pt>
                <c:pt idx="19">
                  <c:v>54.383026565659094</c:v>
                </c:pt>
                <c:pt idx="20">
                  <c:v>51.220480547096685</c:v>
                </c:pt>
                <c:pt idx="21">
                  <c:v>48.41677899843517</c:v>
                </c:pt>
                <c:pt idx="22">
                  <c:v>45.913557319886465</c:v>
                </c:pt>
                <c:pt idx="23">
                  <c:v>43.664512365176193</c:v>
                </c:pt>
                <c:pt idx="24">
                  <c:v>41.632432019631906</c:v>
                </c:pt>
                <c:pt idx="25">
                  <c:v>39.787062804098859</c:v>
                </c:pt>
                <c:pt idx="26">
                  <c:v>38.103551762394531</c:v>
                </c:pt>
                <c:pt idx="27">
                  <c:v>36.561289744757445</c:v>
                </c:pt>
                <c:pt idx="28">
                  <c:v>35.143040277399855</c:v>
                </c:pt>
                <c:pt idx="29">
                  <c:v>33.834274914191383</c:v>
                </c:pt>
                <c:pt idx="30">
                  <c:v>32.622660075049097</c:v>
                </c:pt>
                <c:pt idx="31">
                  <c:v>31.497656516355335</c:v>
                </c:pt>
                <c:pt idx="32">
                  <c:v>30.450203575360582</c:v>
                </c:pt>
                <c:pt idx="33">
                  <c:v>29.47246794325341</c:v>
                </c:pt>
                <c:pt idx="34">
                  <c:v>28.557642069722547</c:v>
                </c:pt>
                <c:pt idx="35">
                  <c:v>27.699781110330612</c:v>
                </c:pt>
                <c:pt idx="36">
                  <c:v>26.893670074344161</c:v>
                </c:pt>
                <c:pt idx="37">
                  <c:v>26.134714834245361</c:v>
                </c:pt>
                <c:pt idx="38">
                  <c:v>25.41885213578972</c:v>
                </c:pt>
                <c:pt idx="39">
                  <c:v>24.742474848305317</c:v>
                </c:pt>
                <c:pt idx="40">
                  <c:v>24.102369522833822</c:v>
                </c:pt>
                <c:pt idx="41">
                  <c:v>23.49566395390115</c:v>
                </c:pt>
                <c:pt idx="42">
                  <c:v>22.919782921340047</c:v>
                </c:pt>
                <c:pt idx="43">
                  <c:v>22.372410659219039</c:v>
                </c:pt>
                <c:pt idx="44">
                  <c:v>21.851458886857582</c:v>
                </c:pt>
                <c:pt idx="45">
                  <c:v>21.355039462147872</c:v>
                </c:pt>
                <c:pt idx="46">
                  <c:v>20.881440894774173</c:v>
                </c:pt>
                <c:pt idx="47">
                  <c:v>20.42910809746995</c:v>
                </c:pt>
                <c:pt idx="48">
                  <c:v>19.996624865488887</c:v>
                </c:pt>
                <c:pt idx="49">
                  <c:v>19.582698664276563</c:v>
                </c:pt>
                <c:pt idx="50">
                  <c:v>19.186147377712356</c:v>
                </c:pt>
                <c:pt idx="51">
                  <c:v>18.805887727924883</c:v>
                </c:pt>
                <c:pt idx="52">
                  <c:v>18.440925125414772</c:v>
                </c:pt>
                <c:pt idx="53">
                  <c:v>18.090344747252011</c:v>
                </c:pt>
                <c:pt idx="54">
                  <c:v>17.753303673180092</c:v>
                </c:pt>
                <c:pt idx="55">
                  <c:v>17.429023935911417</c:v>
                </c:pt>
                <c:pt idx="56">
                  <c:v>17.116786363808739</c:v>
                </c:pt>
                <c:pt idx="57">
                  <c:v>16.815925112367772</c:v>
                </c:pt>
                <c:pt idx="58">
                  <c:v>16.525822796123915</c:v>
                </c:pt>
                <c:pt idx="59">
                  <c:v>16.245906145345117</c:v>
                </c:pt>
                <c:pt idx="60">
                  <c:v>15.975642122581485</c:v>
                </c:pt>
                <c:pt idx="61">
                  <c:v>15.714534443173346</c:v>
                </c:pt>
                <c:pt idx="62">
                  <c:v>15.462120451460358</c:v>
                </c:pt>
                <c:pt idx="63">
                  <c:v>15.217968310919023</c:v>
                </c:pt>
                <c:pt idx="64">
                  <c:v>14.981674471976095</c:v>
                </c:pt>
                <c:pt idx="65">
                  <c:v>14.752861385956795</c:v>
                </c:pt>
                <c:pt idx="66">
                  <c:v>14.531175437660563</c:v>
                </c:pt>
                <c:pt idx="67">
                  <c:v>14.316285072518946</c:v>
                </c:pt>
                <c:pt idx="68">
                  <c:v>14.107879097268537</c:v>
                </c:pt>
                <c:pt idx="69">
                  <c:v>13.905665135642371</c:v>
                </c:pt>
                <c:pt idx="70">
                  <c:v>13.709368222804653</c:v>
                </c:pt>
                <c:pt idx="71">
                  <c:v>13.518729524179966</c:v>
                </c:pt>
                <c:pt idx="72">
                  <c:v>13.333505166001077</c:v>
                </c:pt>
                <c:pt idx="73">
                  <c:v>13.153465166356179</c:v>
                </c:pt>
                <c:pt idx="74">
                  <c:v>12.978392456787006</c:v>
                </c:pt>
                <c:pt idx="75">
                  <c:v>12.808081985600456</c:v>
                </c:pt>
                <c:pt idx="76">
                  <c:v>12.642339895029579</c:v>
                </c:pt>
                <c:pt idx="77">
                  <c:v>12.480982765233662</c:v>
                </c:pt>
                <c:pt idx="78">
                  <c:v>12.32383691887879</c:v>
                </c:pt>
                <c:pt idx="79">
                  <c:v>12.170737780701495</c:v>
                </c:pt>
                <c:pt idx="80">
                  <c:v>12.021529287042206</c:v>
                </c:pt>
                <c:pt idx="81">
                  <c:v>11.876063340851779</c:v>
                </c:pt>
                <c:pt idx="82">
                  <c:v>11.734199308130824</c:v>
                </c:pt>
                <c:pt idx="83">
                  <c:v>11.595803552167947</c:v>
                </c:pt>
                <c:pt idx="84">
                  <c:v>11.460749002302375</c:v>
                </c:pt>
                <c:pt idx="85">
                  <c:v>11.328914754257504</c:v>
                </c:pt>
                <c:pt idx="86">
                  <c:v>11.200185699377407</c:v>
                </c:pt>
                <c:pt idx="87">
                  <c:v>11.074452180353081</c:v>
                </c:pt>
                <c:pt idx="88">
                  <c:v>10.951609671253077</c:v>
                </c:pt>
                <c:pt idx="89">
                  <c:v>10.831558479877252</c:v>
                </c:pt>
                <c:pt idx="90">
                  <c:v>10.714203470634567</c:v>
                </c:pt>
                <c:pt idx="91">
                  <c:v>10.599453806310406</c:v>
                </c:pt>
                <c:pt idx="92">
                  <c:v>10.487222707235683</c:v>
                </c:pt>
                <c:pt idx="93">
                  <c:v>10.377427226502917</c:v>
                </c:pt>
                <c:pt idx="94">
                  <c:v>10.269988039993605</c:v>
                </c:pt>
                <c:pt idx="95">
                  <c:v>10.164829250088889</c:v>
                </c:pt>
                <c:pt idx="96">
                  <c:v>10.061878202033057</c:v>
                </c:pt>
                <c:pt idx="97">
                  <c:v>9.9610653120067525</c:v>
                </c:pt>
                <c:pt idx="98">
                  <c:v>9.8623239060467895</c:v>
                </c:pt>
                <c:pt idx="99">
                  <c:v>9.7655900690212896</c:v>
                </c:pt>
                <c:pt idx="100">
                  <c:v>9.6708025029343307</c:v>
                </c:pt>
                <c:pt idx="101">
                  <c:v>9.5779023938933552</c:v>
                </c:pt>
                <c:pt idx="102">
                  <c:v>9.4868332871271193</c:v>
                </c:pt>
                <c:pt idx="103">
                  <c:v>9.3975409694902616</c:v>
                </c:pt>
                <c:pt idx="104">
                  <c:v>9.3099733589359026</c:v>
                </c:pt>
                <c:pt idx="105">
                  <c:v>9.2240804004779964</c:v>
                </c:pt>
                <c:pt idx="106">
                  <c:v>9.1398139682027573</c:v>
                </c:pt>
                <c:pt idx="107">
                  <c:v>9.0571277729217918</c:v>
                </c:pt>
                <c:pt idx="108">
                  <c:v>8.9759772750913083</c:v>
                </c:pt>
                <c:pt idx="109">
                  <c:v>8.8963196026496991</c:v>
                </c:pt>
                <c:pt idx="110">
                  <c:v>8.8181134734519553</c:v>
                </c:pt>
                <c:pt idx="111">
                  <c:v>8.7413191220031141</c:v>
                </c:pt>
                <c:pt idx="112">
                  <c:v>8.665898230215042</c:v>
                </c:pt>
                <c:pt idx="113">
                  <c:v>8.5918138619305733</c:v>
                </c:pt>
                <c:pt idx="114">
                  <c:v>8.5190304009777069</c:v>
                </c:pt>
                <c:pt idx="115">
                  <c:v>8.4475134925335755</c:v>
                </c:pt>
                <c:pt idx="116">
                  <c:v>8.3772299875931573</c:v>
                </c:pt>
                <c:pt idx="117">
                  <c:v>8.3081478903525152</c:v>
                </c:pt>
                <c:pt idx="118">
                  <c:v>8.2402363083293348</c:v>
                </c:pt>
                <c:pt idx="119">
                  <c:v>8.1734654050556976</c:v>
                </c:pt>
                <c:pt idx="120">
                  <c:v>8.1078063551895418</c:v>
                </c:pt>
                <c:pt idx="121">
                  <c:v>8.0432313019014909</c:v>
                </c:pt>
                <c:pt idx="122">
                  <c:v>7.9797133164033838</c:v>
                </c:pt>
                <c:pt idx="123">
                  <c:v>7.9172263594938022</c:v>
                </c:pt>
                <c:pt idx="124">
                  <c:v>7.8557452450041731</c:v>
                </c:pt>
                <c:pt idx="125">
                  <c:v>7.7952456050364054</c:v>
                </c:pt>
                <c:pt idx="126">
                  <c:v>7.7357038568905256</c:v>
                </c:pt>
                <c:pt idx="127">
                  <c:v>7.6770971715868761</c:v>
                </c:pt>
                <c:pt idx="128">
                  <c:v>7.6194034438939058</c:v>
                </c:pt>
                <c:pt idx="129">
                  <c:v>7.5626012637779692</c:v>
                </c:pt>
                <c:pt idx="130">
                  <c:v>7.5066698891970427</c:v>
                </c:pt>
                <c:pt idx="131">
                  <c:v>7.4515892201648501</c:v>
                </c:pt>
                <c:pt idx="132">
                  <c:v>7.3973397740167597</c:v>
                </c:pt>
                <c:pt idx="133">
                  <c:v>7.3439026618128231</c:v>
                </c:pt>
                <c:pt idx="134">
                  <c:v>7.2912595658173158</c:v>
                </c:pt>
                <c:pt idx="135">
                  <c:v>7.2393927179979238</c:v>
                </c:pt>
                <c:pt idx="136">
                  <c:v>7.1882848794908654</c:v>
                </c:pt>
                <c:pt idx="137">
                  <c:v>7.1379193209817853</c:v>
                </c:pt>
                <c:pt idx="138">
                  <c:v>7.0882798039549755</c:v>
                </c:pt>
                <c:pt idx="139">
                  <c:v>7.0393505627663586</c:v>
                </c:pt>
                <c:pt idx="140">
                  <c:v>6.9911162874982287</c:v>
                </c:pt>
                <c:pt idx="141">
                  <c:v>6.9435621075562608</c:v>
                </c:pt>
                <c:pt idx="142">
                  <c:v>6.8966735759714357</c:v>
                </c:pt>
                <c:pt idx="143">
                  <c:v>6.8504366543718378</c:v>
                </c:pt>
                <c:pt idx="144">
                  <c:v>6.8048376985909904</c:v>
                </c:pt>
                <c:pt idx="145">
                  <c:v>6.7598634448816757</c:v>
                </c:pt>
                <c:pt idx="146">
                  <c:v>6.7155009967054475</c:v>
                </c:pt>
                <c:pt idx="147">
                  <c:v>6.6717378120701438</c:v>
                </c:pt>
                <c:pt idx="148">
                  <c:v>6.6285616913888292</c:v>
                </c:pt>
                <c:pt idx="149">
                  <c:v>6.5859607658354369</c:v>
                </c:pt>
                <c:pt idx="150">
                  <c:v>6.5439234861733562</c:v>
                </c:pt>
                <c:pt idx="151">
                  <c:v>6.5024386120348048</c:v>
                </c:pt>
                <c:pt idx="152">
                  <c:v>6.4614952016297913</c:v>
                </c:pt>
                <c:pt idx="153">
                  <c:v>6.4210826018647218</c:v>
                </c:pt>
                <c:pt idx="154">
                  <c:v>6.3811904388517071</c:v>
                </c:pt>
                <c:pt idx="155">
                  <c:v>6.3418086087906271</c:v>
                </c:pt>
                <c:pt idx="156">
                  <c:v>6.3029272692070331</c:v>
                </c:pt>
                <c:pt idx="157">
                  <c:v>6.2645368305296456</c:v>
                </c:pt>
                <c:pt idx="158">
                  <c:v>6.2266279479922417</c:v>
                </c:pt>
                <c:pt idx="159">
                  <c:v>6.1891915138454578</c:v>
                </c:pt>
                <c:pt idx="160">
                  <c:v>6.1522186498646008</c:v>
                </c:pt>
                <c:pt idx="161">
                  <c:v>6.1157007001406072</c:v>
                </c:pt>
                <c:pt idx="162">
                  <c:v>6.0796292241415051</c:v>
                </c:pt>
                <c:pt idx="163">
                  <c:v>6.0439959900327933</c:v>
                </c:pt>
                <c:pt idx="164">
                  <c:v>6.0087929682453582</c:v>
                </c:pt>
                <c:pt idx="165">
                  <c:v>5.9740123252803574</c:v>
                </c:pt>
                <c:pt idx="166">
                  <c:v>5.9396464177409607</c:v>
                </c:pt>
                <c:pt idx="167">
                  <c:v>5.905687786581165</c:v>
                </c:pt>
                <c:pt idx="168">
                  <c:v>5.8721291515626906</c:v>
                </c:pt>
                <c:pt idx="169">
                  <c:v>5.8389634059110893</c:v>
                </c:pt>
                <c:pt idx="170">
                  <c:v>5.8061836111627709</c:v>
                </c:pt>
                <c:pt idx="171">
                  <c:v>5.7737829921950734</c:v>
                </c:pt>
                <c:pt idx="172">
                  <c:v>5.7417549324317809</c:v>
                </c:pt>
                <c:pt idx="173">
                  <c:v>5.710092969216868</c:v>
                </c:pt>
                <c:pt idx="174">
                  <c:v>5.6787907893497112</c:v>
                </c:pt>
                <c:pt idx="175">
                  <c:v>5.6478422247751228</c:v>
                </c:pt>
                <c:pt idx="176">
                  <c:v>5.6172412484219976</c:v>
                </c:pt>
                <c:pt idx="177">
                  <c:v>5.5869819701846577</c:v>
                </c:pt>
                <c:pt idx="178">
                  <c:v>5.5570586330411542</c:v>
                </c:pt>
                <c:pt idx="179">
                  <c:v>5.5274656093031451</c:v>
                </c:pt>
                <c:pt idx="180">
                  <c:v>5.4981973969921292</c:v>
                </c:pt>
                <c:pt idx="181">
                  <c:v>5.4692486163371408</c:v>
                </c:pt>
                <c:pt idx="182">
                  <c:v>5.4406140063891186</c:v>
                </c:pt>
                <c:pt idx="183">
                  <c:v>5.4122884217474665</c:v>
                </c:pt>
                <c:pt idx="184">
                  <c:v>5.384266829394468</c:v>
                </c:pt>
                <c:pt idx="185">
                  <c:v>5.3565443056334558</c:v>
                </c:pt>
                <c:pt idx="186">
                  <c:v>5.3291160331267351</c:v>
                </c:pt>
                <c:pt idx="187">
                  <c:v>5.3019772980295237</c:v>
                </c:pt>
                <c:pt idx="188">
                  <c:v>5.2751234872163</c:v>
                </c:pt>
                <c:pt idx="189">
                  <c:v>5.2485500855959932</c:v>
                </c:pt>
                <c:pt idx="190">
                  <c:v>5.2222526735129309</c:v>
                </c:pt>
                <c:pt idx="191">
                  <c:v>5.1962269242300438</c:v>
                </c:pt>
                <c:pt idx="192">
                  <c:v>5.1704686014916517</c:v>
                </c:pt>
                <c:pt idx="193">
                  <c:v>5.1449735571625812</c:v>
                </c:pt>
                <c:pt idx="194">
                  <c:v>5.1197377289410921</c:v>
                </c:pt>
                <c:pt idx="195">
                  <c:v>5.0947571381427599</c:v>
                </c:pt>
                <c:pt idx="196">
                  <c:v>5.0700278875528531</c:v>
                </c:pt>
                <c:pt idx="197">
                  <c:v>5.0455461593446884</c:v>
                </c:pt>
                <c:pt idx="198">
                  <c:v>5.0213082130616256</c:v>
                </c:pt>
                <c:pt idx="199">
                  <c:v>4.9973103836605013</c:v>
                </c:pt>
                <c:pt idx="200">
                  <c:v>4.9735490796141626</c:v>
                </c:pt>
                <c:pt idx="201">
                  <c:v>4.950020781071248</c:v>
                </c:pt>
                <c:pt idx="202">
                  <c:v>4.9267220380709889</c:v>
                </c:pt>
                <c:pt idx="203">
                  <c:v>4.9036494688113113</c:v>
                </c:pt>
                <c:pt idx="204">
                  <c:v>4.8807997579682105</c:v>
                </c:pt>
                <c:pt idx="205">
                  <c:v>4.858169655064815</c:v>
                </c:pt>
                <c:pt idx="206">
                  <c:v>4.8357559728882196</c:v>
                </c:pt>
                <c:pt idx="207">
                  <c:v>4.8135555859527122</c:v>
                </c:pt>
                <c:pt idx="208">
                  <c:v>4.7915654290075684</c:v>
                </c:pt>
                <c:pt idx="209">
                  <c:v>4.7697824955880703</c:v>
                </c:pt>
                <c:pt idx="210">
                  <c:v>4.7482038366082584</c:v>
                </c:pt>
                <c:pt idx="211">
                  <c:v>4.7268265589939675</c:v>
                </c:pt>
                <c:pt idx="212">
                  <c:v>4.7056478243548634</c:v>
                </c:pt>
                <c:pt idx="213">
                  <c:v>4.6846648476941732</c:v>
                </c:pt>
                <c:pt idx="214">
                  <c:v>4.6638748961548409</c:v>
                </c:pt>
                <c:pt idx="215">
                  <c:v>4.6432752878009476</c:v>
                </c:pt>
                <c:pt idx="216">
                  <c:v>4.6228633904331966</c:v>
                </c:pt>
                <c:pt idx="217">
                  <c:v>4.6026366204374183</c:v>
                </c:pt>
                <c:pt idx="218">
                  <c:v>4.5825924416649766</c:v>
                </c:pt>
                <c:pt idx="219">
                  <c:v>4.5627283643440322</c:v>
                </c:pt>
                <c:pt idx="220">
                  <c:v>4.5430419440207581</c:v>
                </c:pt>
                <c:pt idx="221">
                  <c:v>4.5235307805294429</c:v>
                </c:pt>
                <c:pt idx="222">
                  <c:v>4.5041925169906545</c:v>
                </c:pt>
                <c:pt idx="223">
                  <c:v>4.4850248388365159</c:v>
                </c:pt>
                <c:pt idx="224">
                  <c:v>4.4660254728622615</c:v>
                </c:pt>
                <c:pt idx="225">
                  <c:v>4.4471921863032486</c:v>
                </c:pt>
                <c:pt idx="226">
                  <c:v>4.4285227859366376</c:v>
                </c:pt>
                <c:pt idx="227">
                  <c:v>4.4100151172069522</c:v>
                </c:pt>
                <c:pt idx="228">
                  <c:v>4.3916670633748236</c:v>
                </c:pt>
                <c:pt idx="229">
                  <c:v>4.3734765446881179</c:v>
                </c:pt>
                <c:pt idx="230">
                  <c:v>4.3554415175748922</c:v>
                </c:pt>
                <c:pt idx="231">
                  <c:v>4.3375599738573545</c:v>
                </c:pt>
                <c:pt idx="232">
                  <c:v>4.3198299399863549</c:v>
                </c:pt>
                <c:pt idx="233">
                  <c:v>4.3022494762956418</c:v>
                </c:pt>
                <c:pt idx="234">
                  <c:v>4.2848166762753888</c:v>
                </c:pt>
                <c:pt idx="235">
                  <c:v>4.2675296658643314</c:v>
                </c:pt>
                <c:pt idx="236">
                  <c:v>4.250386602760079</c:v>
                </c:pt>
                <c:pt idx="237">
                  <c:v>4.2333856757468737</c:v>
                </c:pt>
                <c:pt idx="238">
                  <c:v>4.2165251040404943</c:v>
                </c:pt>
                <c:pt idx="239">
                  <c:v>4.1998031366496411</c:v>
                </c:pt>
                <c:pt idx="240">
                  <c:v>4.1832180517533475</c:v>
                </c:pt>
                <c:pt idx="241">
                  <c:v>4.1667681560940659</c:v>
                </c:pt>
                <c:pt idx="242">
                  <c:v>4.1504517843857558</c:v>
                </c:pt>
                <c:pt idx="243">
                  <c:v>4.134267298736761</c:v>
                </c:pt>
                <c:pt idx="244">
                  <c:v>4.1182130880868941</c:v>
                </c:pt>
              </c:numCache>
            </c:numRef>
          </c:val>
          <c:smooth val="0"/>
          <c:extLst>
            <c:ext xmlns:c16="http://schemas.microsoft.com/office/drawing/2014/chart" uri="{C3380CC4-5D6E-409C-BE32-E72D297353CC}">
              <c16:uniqueId val="{00000002-F154-E246-B733-1B2CE7E7A038}"/>
            </c:ext>
          </c:extLst>
        </c:ser>
        <c:dLbls>
          <c:showLegendKey val="0"/>
          <c:showVal val="0"/>
          <c:showCatName val="0"/>
          <c:showSerName val="0"/>
          <c:showPercent val="0"/>
          <c:showBubbleSize val="0"/>
        </c:dLbls>
        <c:smooth val="0"/>
        <c:axId val="128897408"/>
        <c:axId val="128898944"/>
      </c:lineChart>
      <c:catAx>
        <c:axId val="128897408"/>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898944"/>
        <c:crosses val="autoZero"/>
        <c:auto val="1"/>
        <c:lblAlgn val="ctr"/>
        <c:lblOffset val="100"/>
        <c:noMultiLvlLbl val="0"/>
      </c:catAx>
      <c:valAx>
        <c:axId val="1288989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Production</a:t>
                </a:r>
                <a:r>
                  <a:rPr lang="en-US" baseline="0"/>
                  <a:t> (Bbls/d)</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8974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19050" cap="rnd">
              <a:solidFill>
                <a:schemeClr val="accent1"/>
              </a:solidFill>
              <a:round/>
            </a:ln>
            <a:effectLst/>
          </c:spPr>
          <c:marker>
            <c:symbol val="none"/>
          </c:marker>
          <c:cat>
            <c:numRef>
              <c:f>'Gas Type Curve'!$B$18:$B$284</c:f>
              <c:numCache>
                <c:formatCode>0.00</c:formatCode>
                <c:ptCount val="267"/>
                <c:pt idx="0">
                  <c:v>-3.1733294426636799E-3</c:v>
                </c:pt>
                <c:pt idx="1">
                  <c:v>0.28228042019258398</c:v>
                </c:pt>
                <c:pt idx="2">
                  <c:v>0.70903851765392101</c:v>
                </c:pt>
                <c:pt idx="3">
                  <c:v>1.1334257367960201</c:v>
                </c:pt>
                <c:pt idx="4">
                  <c:v>2.1239786985701699</c:v>
                </c:pt>
                <c:pt idx="5">
                  <c:v>2.47818791946308</c:v>
                </c:pt>
                <c:pt idx="6">
                  <c:v>3.1145316603443201</c:v>
                </c:pt>
                <c:pt idx="7">
                  <c:v>3.6806974029763602</c:v>
                </c:pt>
                <c:pt idx="8">
                  <c:v>4.2473373212722398</c:v>
                </c:pt>
                <c:pt idx="9">
                  <c:v>4.8841552378173301</c:v>
                </c:pt>
                <c:pt idx="10">
                  <c:v>5.3094908082871299</c:v>
                </c:pt>
                <c:pt idx="11">
                  <c:v>6.5096294134811696</c:v>
                </c:pt>
                <c:pt idx="12">
                  <c:v>7.0056171578640098</c:v>
                </c:pt>
                <c:pt idx="13">
                  <c:v>7.2901225561715703</c:v>
                </c:pt>
                <c:pt idx="14">
                  <c:v>7.6457543040560196</c:v>
                </c:pt>
                <c:pt idx="15">
                  <c:v>8.0018602276043094</c:v>
                </c:pt>
                <c:pt idx="16">
                  <c:v>8.5727677268748099</c:v>
                </c:pt>
                <c:pt idx="17">
                  <c:v>8.7875693025970207</c:v>
                </c:pt>
                <c:pt idx="18">
                  <c:v>9.3575284505398209</c:v>
                </c:pt>
                <c:pt idx="19">
                  <c:v>9.6425080245112298</c:v>
                </c:pt>
                <c:pt idx="20">
                  <c:v>9.9990881237233697</c:v>
                </c:pt>
                <c:pt idx="21">
                  <c:v>10.355194047271601</c:v>
                </c:pt>
                <c:pt idx="22">
                  <c:v>11</c:v>
                </c:pt>
                <c:pt idx="23">
                  <c:v>12</c:v>
                </c:pt>
                <c:pt idx="24">
                  <c:v>13</c:v>
                </c:pt>
                <c:pt idx="25">
                  <c:v>13.999999999999998</c:v>
                </c:pt>
                <c:pt idx="26">
                  <c:v>14.999999999999996</c:v>
                </c:pt>
                <c:pt idx="27">
                  <c:v>15.999999999999996</c:v>
                </c:pt>
                <c:pt idx="28">
                  <c:v>16.999999999999996</c:v>
                </c:pt>
                <c:pt idx="29">
                  <c:v>17.999999999999993</c:v>
                </c:pt>
                <c:pt idx="30">
                  <c:v>18.999999999999993</c:v>
                </c:pt>
                <c:pt idx="31">
                  <c:v>19.999999999999993</c:v>
                </c:pt>
                <c:pt idx="32">
                  <c:v>20.999999999999993</c:v>
                </c:pt>
                <c:pt idx="33">
                  <c:v>21.999999999999993</c:v>
                </c:pt>
                <c:pt idx="34">
                  <c:v>22.999999999999989</c:v>
                </c:pt>
                <c:pt idx="35">
                  <c:v>23.999999999999989</c:v>
                </c:pt>
                <c:pt idx="36">
                  <c:v>24.999999999999993</c:v>
                </c:pt>
                <c:pt idx="37">
                  <c:v>25.999999999999993</c:v>
                </c:pt>
                <c:pt idx="38">
                  <c:v>26.999999999999993</c:v>
                </c:pt>
                <c:pt idx="39">
                  <c:v>27.999999999999996</c:v>
                </c:pt>
                <c:pt idx="40">
                  <c:v>29</c:v>
                </c:pt>
                <c:pt idx="41">
                  <c:v>30</c:v>
                </c:pt>
                <c:pt idx="42">
                  <c:v>31</c:v>
                </c:pt>
                <c:pt idx="43">
                  <c:v>32</c:v>
                </c:pt>
                <c:pt idx="44">
                  <c:v>33.000000000000007</c:v>
                </c:pt>
                <c:pt idx="45">
                  <c:v>34.000000000000007</c:v>
                </c:pt>
                <c:pt idx="46">
                  <c:v>35.000000000000007</c:v>
                </c:pt>
                <c:pt idx="47">
                  <c:v>36.000000000000014</c:v>
                </c:pt>
                <c:pt idx="48">
                  <c:v>37.000000000000014</c:v>
                </c:pt>
                <c:pt idx="49">
                  <c:v>38.000000000000014</c:v>
                </c:pt>
                <c:pt idx="50">
                  <c:v>39.000000000000014</c:v>
                </c:pt>
                <c:pt idx="51">
                  <c:v>40.000000000000014</c:v>
                </c:pt>
                <c:pt idx="52">
                  <c:v>41.000000000000021</c:v>
                </c:pt>
                <c:pt idx="53">
                  <c:v>42.000000000000021</c:v>
                </c:pt>
                <c:pt idx="54">
                  <c:v>43.000000000000021</c:v>
                </c:pt>
                <c:pt idx="55">
                  <c:v>44.000000000000028</c:v>
                </c:pt>
                <c:pt idx="56">
                  <c:v>45.000000000000028</c:v>
                </c:pt>
                <c:pt idx="57">
                  <c:v>46.000000000000028</c:v>
                </c:pt>
                <c:pt idx="58">
                  <c:v>47.000000000000028</c:v>
                </c:pt>
                <c:pt idx="59">
                  <c:v>48.000000000000028</c:v>
                </c:pt>
                <c:pt idx="60">
                  <c:v>49.000000000000028</c:v>
                </c:pt>
                <c:pt idx="61">
                  <c:v>50.000000000000028</c:v>
                </c:pt>
                <c:pt idx="62">
                  <c:v>51.000000000000021</c:v>
                </c:pt>
                <c:pt idx="63">
                  <c:v>52.000000000000014</c:v>
                </c:pt>
                <c:pt idx="64">
                  <c:v>53.000000000000014</c:v>
                </c:pt>
                <c:pt idx="65">
                  <c:v>54.000000000000014</c:v>
                </c:pt>
                <c:pt idx="66">
                  <c:v>55.000000000000007</c:v>
                </c:pt>
                <c:pt idx="67">
                  <c:v>56</c:v>
                </c:pt>
                <c:pt idx="68">
                  <c:v>57</c:v>
                </c:pt>
                <c:pt idx="69">
                  <c:v>58</c:v>
                </c:pt>
                <c:pt idx="70">
                  <c:v>58.999999999999993</c:v>
                </c:pt>
                <c:pt idx="71">
                  <c:v>59.999999999999986</c:v>
                </c:pt>
                <c:pt idx="72">
                  <c:v>60.999999999999986</c:v>
                </c:pt>
                <c:pt idx="73">
                  <c:v>61.999999999999986</c:v>
                </c:pt>
                <c:pt idx="74">
                  <c:v>62.999999999999979</c:v>
                </c:pt>
                <c:pt idx="75">
                  <c:v>63.999999999999972</c:v>
                </c:pt>
                <c:pt idx="76">
                  <c:v>64.999999999999972</c:v>
                </c:pt>
                <c:pt idx="77">
                  <c:v>65.999999999999972</c:v>
                </c:pt>
                <c:pt idx="78">
                  <c:v>66.999999999999972</c:v>
                </c:pt>
                <c:pt idx="79">
                  <c:v>67.999999999999957</c:v>
                </c:pt>
                <c:pt idx="80">
                  <c:v>68.999999999999957</c:v>
                </c:pt>
                <c:pt idx="81">
                  <c:v>69.999999999999957</c:v>
                </c:pt>
                <c:pt idx="82">
                  <c:v>70.999999999999943</c:v>
                </c:pt>
                <c:pt idx="83">
                  <c:v>71.999999999999943</c:v>
                </c:pt>
                <c:pt idx="84">
                  <c:v>72.999999999999943</c:v>
                </c:pt>
                <c:pt idx="85">
                  <c:v>73.999999999999943</c:v>
                </c:pt>
                <c:pt idx="86">
                  <c:v>74.999999999999943</c:v>
                </c:pt>
                <c:pt idx="87">
                  <c:v>75.999999999999929</c:v>
                </c:pt>
                <c:pt idx="88">
                  <c:v>76.999999999999929</c:v>
                </c:pt>
                <c:pt idx="89">
                  <c:v>77.999999999999929</c:v>
                </c:pt>
                <c:pt idx="90">
                  <c:v>78.999999999999915</c:v>
                </c:pt>
                <c:pt idx="91">
                  <c:v>79.999999999999915</c:v>
                </c:pt>
                <c:pt idx="92">
                  <c:v>80.999999999999915</c:v>
                </c:pt>
                <c:pt idx="93">
                  <c:v>81.999999999999915</c:v>
                </c:pt>
                <c:pt idx="94">
                  <c:v>82.999999999999915</c:v>
                </c:pt>
                <c:pt idx="95">
                  <c:v>83.999999999999901</c:v>
                </c:pt>
                <c:pt idx="96">
                  <c:v>84.999999999999901</c:v>
                </c:pt>
                <c:pt idx="97">
                  <c:v>85.999999999999901</c:v>
                </c:pt>
                <c:pt idx="98">
                  <c:v>86.999999999999886</c:v>
                </c:pt>
                <c:pt idx="99">
                  <c:v>87.999999999999886</c:v>
                </c:pt>
                <c:pt idx="100">
                  <c:v>88.999999999999886</c:v>
                </c:pt>
                <c:pt idx="101">
                  <c:v>89.999999999999886</c:v>
                </c:pt>
                <c:pt idx="102">
                  <c:v>90.999999999999886</c:v>
                </c:pt>
                <c:pt idx="103">
                  <c:v>91.999999999999872</c:v>
                </c:pt>
                <c:pt idx="104">
                  <c:v>92.999999999999872</c:v>
                </c:pt>
                <c:pt idx="105">
                  <c:v>93.999999999999872</c:v>
                </c:pt>
                <c:pt idx="106">
                  <c:v>94.999999999999858</c:v>
                </c:pt>
                <c:pt idx="107">
                  <c:v>95.999999999999858</c:v>
                </c:pt>
                <c:pt idx="108">
                  <c:v>96.999999999999858</c:v>
                </c:pt>
                <c:pt idx="109">
                  <c:v>97.999999999999858</c:v>
                </c:pt>
                <c:pt idx="110">
                  <c:v>98.999999999999872</c:v>
                </c:pt>
                <c:pt idx="111">
                  <c:v>99.999999999999886</c:v>
                </c:pt>
                <c:pt idx="112">
                  <c:v>100.99999999999989</c:v>
                </c:pt>
                <c:pt idx="113">
                  <c:v>101.99999999999989</c:v>
                </c:pt>
                <c:pt idx="114">
                  <c:v>102.9999999999999</c:v>
                </c:pt>
                <c:pt idx="115">
                  <c:v>103.99999999999991</c:v>
                </c:pt>
                <c:pt idx="116">
                  <c:v>104.99999999999991</c:v>
                </c:pt>
                <c:pt idx="117">
                  <c:v>105.99999999999991</c:v>
                </c:pt>
                <c:pt idx="118">
                  <c:v>106.99999999999993</c:v>
                </c:pt>
                <c:pt idx="119">
                  <c:v>107.99999999999994</c:v>
                </c:pt>
                <c:pt idx="120">
                  <c:v>108.99999999999994</c:v>
                </c:pt>
                <c:pt idx="121">
                  <c:v>109.99999999999994</c:v>
                </c:pt>
                <c:pt idx="122">
                  <c:v>110.99999999999996</c:v>
                </c:pt>
                <c:pt idx="123">
                  <c:v>111.99999999999997</c:v>
                </c:pt>
                <c:pt idx="124">
                  <c:v>112.99999999999997</c:v>
                </c:pt>
                <c:pt idx="125">
                  <c:v>113.99999999999997</c:v>
                </c:pt>
                <c:pt idx="126">
                  <c:v>114.99999999999999</c:v>
                </c:pt>
                <c:pt idx="127">
                  <c:v>116</c:v>
                </c:pt>
                <c:pt idx="128">
                  <c:v>117</c:v>
                </c:pt>
                <c:pt idx="129">
                  <c:v>118</c:v>
                </c:pt>
                <c:pt idx="130">
                  <c:v>119.00000000000001</c:v>
                </c:pt>
                <c:pt idx="131">
                  <c:v>120.00000000000003</c:v>
                </c:pt>
                <c:pt idx="132">
                  <c:v>121.00000000000003</c:v>
                </c:pt>
                <c:pt idx="133">
                  <c:v>122.00000000000003</c:v>
                </c:pt>
                <c:pt idx="134">
                  <c:v>123.00000000000004</c:v>
                </c:pt>
                <c:pt idx="135">
                  <c:v>124.00000000000006</c:v>
                </c:pt>
                <c:pt idx="136">
                  <c:v>125.00000000000006</c:v>
                </c:pt>
                <c:pt idx="137">
                  <c:v>126.00000000000006</c:v>
                </c:pt>
                <c:pt idx="138">
                  <c:v>127.00000000000007</c:v>
                </c:pt>
                <c:pt idx="139">
                  <c:v>128.00000000000009</c:v>
                </c:pt>
                <c:pt idx="140">
                  <c:v>129.00000000000009</c:v>
                </c:pt>
                <c:pt idx="141">
                  <c:v>130.00000000000009</c:v>
                </c:pt>
                <c:pt idx="142">
                  <c:v>131.00000000000011</c:v>
                </c:pt>
                <c:pt idx="143">
                  <c:v>132.00000000000011</c:v>
                </c:pt>
                <c:pt idx="144">
                  <c:v>133.00000000000011</c:v>
                </c:pt>
                <c:pt idx="145">
                  <c:v>134.00000000000011</c:v>
                </c:pt>
                <c:pt idx="146">
                  <c:v>135.00000000000011</c:v>
                </c:pt>
                <c:pt idx="147">
                  <c:v>136.00000000000014</c:v>
                </c:pt>
                <c:pt idx="148">
                  <c:v>137.00000000000014</c:v>
                </c:pt>
                <c:pt idx="149">
                  <c:v>138.00000000000014</c:v>
                </c:pt>
                <c:pt idx="150">
                  <c:v>139.00000000000017</c:v>
                </c:pt>
                <c:pt idx="151">
                  <c:v>140.00000000000017</c:v>
                </c:pt>
                <c:pt idx="152">
                  <c:v>141.00000000000017</c:v>
                </c:pt>
                <c:pt idx="153">
                  <c:v>142.00000000000017</c:v>
                </c:pt>
                <c:pt idx="154">
                  <c:v>143.00000000000017</c:v>
                </c:pt>
                <c:pt idx="155">
                  <c:v>144.0000000000002</c:v>
                </c:pt>
                <c:pt idx="156">
                  <c:v>145.0000000000002</c:v>
                </c:pt>
                <c:pt idx="157">
                  <c:v>146.0000000000002</c:v>
                </c:pt>
                <c:pt idx="158">
                  <c:v>147.00000000000023</c:v>
                </c:pt>
                <c:pt idx="159">
                  <c:v>148.00000000000023</c:v>
                </c:pt>
                <c:pt idx="160">
                  <c:v>149.00000000000023</c:v>
                </c:pt>
                <c:pt idx="161">
                  <c:v>150.00000000000023</c:v>
                </c:pt>
                <c:pt idx="162">
                  <c:v>151.00000000000023</c:v>
                </c:pt>
                <c:pt idx="163">
                  <c:v>152.00000000000026</c:v>
                </c:pt>
                <c:pt idx="164">
                  <c:v>153.00000000000026</c:v>
                </c:pt>
                <c:pt idx="165">
                  <c:v>154.00000000000026</c:v>
                </c:pt>
                <c:pt idx="166">
                  <c:v>155.00000000000028</c:v>
                </c:pt>
                <c:pt idx="167">
                  <c:v>156.00000000000028</c:v>
                </c:pt>
                <c:pt idx="168">
                  <c:v>157.00000000000028</c:v>
                </c:pt>
                <c:pt idx="169">
                  <c:v>158.00000000000028</c:v>
                </c:pt>
                <c:pt idx="170">
                  <c:v>159.00000000000028</c:v>
                </c:pt>
                <c:pt idx="171">
                  <c:v>160.00000000000031</c:v>
                </c:pt>
                <c:pt idx="172">
                  <c:v>161.00000000000031</c:v>
                </c:pt>
                <c:pt idx="173">
                  <c:v>162.00000000000031</c:v>
                </c:pt>
                <c:pt idx="174">
                  <c:v>163.00000000000034</c:v>
                </c:pt>
                <c:pt idx="175">
                  <c:v>164.00000000000034</c:v>
                </c:pt>
                <c:pt idx="176">
                  <c:v>165.00000000000034</c:v>
                </c:pt>
                <c:pt idx="177">
                  <c:v>166.00000000000034</c:v>
                </c:pt>
                <c:pt idx="178">
                  <c:v>167.00000000000034</c:v>
                </c:pt>
                <c:pt idx="179">
                  <c:v>168.00000000000037</c:v>
                </c:pt>
                <c:pt idx="180">
                  <c:v>169.00000000000037</c:v>
                </c:pt>
                <c:pt idx="181">
                  <c:v>170.00000000000037</c:v>
                </c:pt>
                <c:pt idx="182">
                  <c:v>171.0000000000004</c:v>
                </c:pt>
                <c:pt idx="183">
                  <c:v>172.0000000000004</c:v>
                </c:pt>
                <c:pt idx="184">
                  <c:v>173.0000000000004</c:v>
                </c:pt>
                <c:pt idx="185">
                  <c:v>174.0000000000004</c:v>
                </c:pt>
                <c:pt idx="186">
                  <c:v>175.0000000000004</c:v>
                </c:pt>
                <c:pt idx="187">
                  <c:v>176.00000000000043</c:v>
                </c:pt>
                <c:pt idx="188">
                  <c:v>177.00000000000043</c:v>
                </c:pt>
                <c:pt idx="189">
                  <c:v>178.00000000000043</c:v>
                </c:pt>
                <c:pt idx="190">
                  <c:v>179.00000000000045</c:v>
                </c:pt>
                <c:pt idx="191">
                  <c:v>180.00000000000045</c:v>
                </c:pt>
                <c:pt idx="192">
                  <c:v>181.00000000000045</c:v>
                </c:pt>
                <c:pt idx="193">
                  <c:v>182.00000000000045</c:v>
                </c:pt>
                <c:pt idx="194">
                  <c:v>183.00000000000045</c:v>
                </c:pt>
                <c:pt idx="195">
                  <c:v>184.00000000000048</c:v>
                </c:pt>
                <c:pt idx="196">
                  <c:v>185.00000000000048</c:v>
                </c:pt>
                <c:pt idx="197">
                  <c:v>186.00000000000048</c:v>
                </c:pt>
                <c:pt idx="198">
                  <c:v>187.00000000000051</c:v>
                </c:pt>
                <c:pt idx="199">
                  <c:v>188.00000000000051</c:v>
                </c:pt>
                <c:pt idx="200">
                  <c:v>189.00000000000051</c:v>
                </c:pt>
                <c:pt idx="201">
                  <c:v>190.00000000000051</c:v>
                </c:pt>
                <c:pt idx="202">
                  <c:v>191.00000000000051</c:v>
                </c:pt>
                <c:pt idx="203">
                  <c:v>192.00000000000051</c:v>
                </c:pt>
                <c:pt idx="204">
                  <c:v>193.00000000000051</c:v>
                </c:pt>
                <c:pt idx="205">
                  <c:v>194.00000000000048</c:v>
                </c:pt>
                <c:pt idx="206">
                  <c:v>195.00000000000045</c:v>
                </c:pt>
                <c:pt idx="207">
                  <c:v>196.00000000000045</c:v>
                </c:pt>
                <c:pt idx="208">
                  <c:v>197.00000000000045</c:v>
                </c:pt>
                <c:pt idx="209">
                  <c:v>198.00000000000043</c:v>
                </c:pt>
                <c:pt idx="210">
                  <c:v>199.0000000000004</c:v>
                </c:pt>
                <c:pt idx="211">
                  <c:v>200.0000000000004</c:v>
                </c:pt>
                <c:pt idx="212">
                  <c:v>201.0000000000004</c:v>
                </c:pt>
                <c:pt idx="213">
                  <c:v>202.00000000000037</c:v>
                </c:pt>
                <c:pt idx="214">
                  <c:v>203.00000000000034</c:v>
                </c:pt>
                <c:pt idx="215">
                  <c:v>204.00000000000034</c:v>
                </c:pt>
                <c:pt idx="216">
                  <c:v>205.00000000000034</c:v>
                </c:pt>
                <c:pt idx="217">
                  <c:v>206.00000000000031</c:v>
                </c:pt>
                <c:pt idx="218">
                  <c:v>207.00000000000028</c:v>
                </c:pt>
                <c:pt idx="219">
                  <c:v>208.00000000000028</c:v>
                </c:pt>
                <c:pt idx="220">
                  <c:v>209.00000000000028</c:v>
                </c:pt>
                <c:pt idx="221">
                  <c:v>210.00000000000026</c:v>
                </c:pt>
                <c:pt idx="222">
                  <c:v>211.00000000000023</c:v>
                </c:pt>
                <c:pt idx="223">
                  <c:v>212.00000000000023</c:v>
                </c:pt>
                <c:pt idx="224">
                  <c:v>213.00000000000023</c:v>
                </c:pt>
                <c:pt idx="225">
                  <c:v>214.0000000000002</c:v>
                </c:pt>
                <c:pt idx="226">
                  <c:v>215.00000000000017</c:v>
                </c:pt>
                <c:pt idx="227">
                  <c:v>216.00000000000017</c:v>
                </c:pt>
                <c:pt idx="228">
                  <c:v>217.00000000000017</c:v>
                </c:pt>
                <c:pt idx="229">
                  <c:v>218.00000000000014</c:v>
                </c:pt>
                <c:pt idx="230">
                  <c:v>219.00000000000011</c:v>
                </c:pt>
                <c:pt idx="231">
                  <c:v>220.00000000000011</c:v>
                </c:pt>
                <c:pt idx="232">
                  <c:v>221.00000000000011</c:v>
                </c:pt>
                <c:pt idx="233">
                  <c:v>222.00000000000009</c:v>
                </c:pt>
                <c:pt idx="234">
                  <c:v>223.00000000000006</c:v>
                </c:pt>
                <c:pt idx="235">
                  <c:v>224.00000000000006</c:v>
                </c:pt>
                <c:pt idx="236">
                  <c:v>225.00000000000006</c:v>
                </c:pt>
                <c:pt idx="237">
                  <c:v>226.00000000000003</c:v>
                </c:pt>
                <c:pt idx="238">
                  <c:v>227</c:v>
                </c:pt>
                <c:pt idx="239">
                  <c:v>228</c:v>
                </c:pt>
                <c:pt idx="240">
                  <c:v>229</c:v>
                </c:pt>
                <c:pt idx="241">
                  <c:v>229.99999999999997</c:v>
                </c:pt>
                <c:pt idx="242">
                  <c:v>230.99999999999994</c:v>
                </c:pt>
                <c:pt idx="243">
                  <c:v>231.99999999999994</c:v>
                </c:pt>
                <c:pt idx="244">
                  <c:v>232.99999999999994</c:v>
                </c:pt>
                <c:pt idx="245">
                  <c:v>233.99999999999991</c:v>
                </c:pt>
                <c:pt idx="246">
                  <c:v>234.99999999999989</c:v>
                </c:pt>
                <c:pt idx="247">
                  <c:v>235.99999999999989</c:v>
                </c:pt>
                <c:pt idx="248">
                  <c:v>236.99999999999989</c:v>
                </c:pt>
                <c:pt idx="249">
                  <c:v>237.99999999999986</c:v>
                </c:pt>
                <c:pt idx="250">
                  <c:v>238.99999999999983</c:v>
                </c:pt>
                <c:pt idx="251">
                  <c:v>239.99999999999983</c:v>
                </c:pt>
              </c:numCache>
            </c:numRef>
          </c:cat>
          <c:val>
            <c:numRef>
              <c:f>'Gas Type Curve'!$C$18:$C$284</c:f>
              <c:numCache>
                <c:formatCode>0.00</c:formatCode>
                <c:ptCount val="267"/>
                <c:pt idx="0">
                  <c:v>823.76453242824095</c:v>
                </c:pt>
                <c:pt idx="1">
                  <c:v>778.53162962849501</c:v>
                </c:pt>
                <c:pt idx="2">
                  <c:v>754.16829204613407</c:v>
                </c:pt>
                <c:pt idx="3">
                  <c:v>772.6134566062085</c:v>
                </c:pt>
                <c:pt idx="4">
                  <c:v>774.95123861594277</c:v>
                </c:pt>
                <c:pt idx="5">
                  <c:v>785.34271190084746</c:v>
                </c:pt>
                <c:pt idx="6">
                  <c:v>793.35309385222683</c:v>
                </c:pt>
                <c:pt idx="7">
                  <c:v>824.61413235452267</c:v>
                </c:pt>
                <c:pt idx="8">
                  <c:v>826.95191436425762</c:v>
                </c:pt>
                <c:pt idx="9">
                  <c:v>834.80334188257018</c:v>
                </c:pt>
                <c:pt idx="10">
                  <c:v>858.01068910970207</c:v>
                </c:pt>
                <c:pt idx="11">
                  <c:v>905.69701902845225</c:v>
                </c:pt>
                <c:pt idx="12">
                  <c:v>939.33914886428636</c:v>
                </c:pt>
                <c:pt idx="13">
                  <c:v>967.4676331915299</c:v>
                </c:pt>
                <c:pt idx="14">
                  <c:v>995.43716308571277</c:v>
                </c:pt>
                <c:pt idx="15">
                  <c:v>1015.3530017047262</c:v>
                </c:pt>
                <c:pt idx="16">
                  <c:v>979.05195583063301</c:v>
                </c:pt>
                <c:pt idx="17">
                  <c:v>1001.5078402162386</c:v>
                </c:pt>
                <c:pt idx="18">
                  <c:v>978.77413112588874</c:v>
                </c:pt>
                <c:pt idx="19">
                  <c:v>1006.7436610200714</c:v>
                </c:pt>
                <c:pt idx="20">
                  <c:v>1010.7110715218171</c:v>
                </c:pt>
                <c:pt idx="21">
                  <c:v>1033.1669559074217</c:v>
                </c:pt>
                <c:pt idx="22">
                  <c:v>1021.7307371131864</c:v>
                </c:pt>
                <c:pt idx="23">
                  <c:v>960.83410678204245</c:v>
                </c:pt>
                <c:pt idx="24">
                  <c:v>908.02496020122555</c:v>
                </c:pt>
                <c:pt idx="25">
                  <c:v>861.72255249643035</c:v>
                </c:pt>
                <c:pt idx="26">
                  <c:v>820.74081367340602</c:v>
                </c:pt>
                <c:pt idx="27">
                  <c:v>784.17110587810248</c:v>
                </c:pt>
                <c:pt idx="28">
                  <c:v>751.30470554840667</c:v>
                </c:pt>
                <c:pt idx="29">
                  <c:v>721.5800773441257</c:v>
                </c:pt>
                <c:pt idx="30">
                  <c:v>694.54611538253812</c:v>
                </c:pt>
                <c:pt idx="31">
                  <c:v>669.83595498402099</c:v>
                </c:pt>
                <c:pt idx="32">
                  <c:v>647.14795373162383</c:v>
                </c:pt>
                <c:pt idx="33">
                  <c:v>626.23164070024404</c:v>
                </c:pt>
                <c:pt idx="34">
                  <c:v>606.8771753230352</c:v>
                </c:pt>
                <c:pt idx="35">
                  <c:v>588.90732878501603</c:v>
                </c:pt>
                <c:pt idx="36">
                  <c:v>572.17130703500004</c:v>
                </c:pt>
                <c:pt idx="37">
                  <c:v>556.53993754774808</c:v>
                </c:pt>
                <c:pt idx="38">
                  <c:v>541.9018791534902</c:v>
                </c:pt>
                <c:pt idx="39">
                  <c:v>528.16060854050716</c:v>
                </c:pt>
                <c:pt idx="40">
                  <c:v>515.23200286437248</c:v>
                </c:pt>
                <c:pt idx="41">
                  <c:v>503.04238452152231</c:v>
                </c:pt>
                <c:pt idx="42">
                  <c:v>491.52692760849595</c:v>
                </c:pt>
                <c:pt idx="43">
                  <c:v>480.62834990288451</c:v>
                </c:pt>
                <c:pt idx="44">
                  <c:v>470.2958320715868</c:v>
                </c:pt>
                <c:pt idx="45">
                  <c:v>460.4841190847639</c:v>
                </c:pt>
                <c:pt idx="46">
                  <c:v>451.15276877042533</c:v>
                </c:pt>
                <c:pt idx="47">
                  <c:v>442.26551998284663</c:v>
                </c:pt>
                <c:pt idx="48">
                  <c:v>433.78975861508127</c:v>
                </c:pt>
                <c:pt idx="49">
                  <c:v>425.69606411851032</c:v>
                </c:pt>
                <c:pt idx="50">
                  <c:v>417.95782263159776</c:v>
                </c:pt>
                <c:pt idx="51">
                  <c:v>410.55089550779479</c:v>
                </c:pt>
                <c:pt idx="52">
                  <c:v>403.45333414741845</c:v>
                </c:pt>
                <c:pt idx="53">
                  <c:v>396.64513371321368</c:v>
                </c:pt>
                <c:pt idx="54">
                  <c:v>390.1080196438661</c:v>
                </c:pt>
                <c:pt idx="55">
                  <c:v>383.8252619492992</c:v>
                </c:pt>
                <c:pt idx="56">
                  <c:v>377.78151313351913</c:v>
                </c:pt>
                <c:pt idx="57">
                  <c:v>371.96266628902703</c:v>
                </c:pt>
                <c:pt idx="58">
                  <c:v>366.35573047530625</c:v>
                </c:pt>
                <c:pt idx="59">
                  <c:v>360.94872095893885</c:v>
                </c:pt>
                <c:pt idx="60">
                  <c:v>355.73056227506743</c:v>
                </c:pt>
                <c:pt idx="61">
                  <c:v>350.69100238533537</c:v>
                </c:pt>
                <c:pt idx="62">
                  <c:v>345.82053646884077</c:v>
                </c:pt>
                <c:pt idx="63">
                  <c:v>341.11033910016198</c:v>
                </c:pt>
                <c:pt idx="64">
                  <c:v>336.55220375018519</c:v>
                </c:pt>
                <c:pt idx="65">
                  <c:v>332.13848869777303</c:v>
                </c:pt>
                <c:pt idx="66">
                  <c:v>327.86206856844638</c:v>
                </c:pt>
                <c:pt idx="67">
                  <c:v>323.71629082440023</c:v>
                </c:pt>
                <c:pt idx="68">
                  <c:v>319.69493662177456</c:v>
                </c:pt>
                <c:pt idx="69">
                  <c:v>315.7921855289016</c:v>
                </c:pt>
                <c:pt idx="70">
                  <c:v>312.00258366555192</c:v>
                </c:pt>
                <c:pt idx="71">
                  <c:v>308.32101487985125</c:v>
                </c:pt>
                <c:pt idx="72">
                  <c:v>304.74267462808564</c:v>
                </c:pt>
                <c:pt idx="73">
                  <c:v>301.26304626433074</c:v>
                </c:pt>
                <c:pt idx="74">
                  <c:v>297.87787948276542</c:v>
                </c:pt>
                <c:pt idx="75">
                  <c:v>294.58317068657556</c:v>
                </c:pt>
                <c:pt idx="76">
                  <c:v>291.3751450842135</c:v>
                </c:pt>
                <c:pt idx="77">
                  <c:v>288.25024033709803</c:v>
                </c:pt>
                <c:pt idx="78">
                  <c:v>285.20509160311786</c:v>
                </c:pt>
                <c:pt idx="79">
                  <c:v>282.23651783798016</c:v>
                </c:pt>
                <c:pt idx="80">
                  <c:v>279.34150923188241</c:v>
                </c:pt>
                <c:pt idx="81">
                  <c:v>276.51721567251184</c:v>
                </c:pt>
                <c:pt idx="82">
                  <c:v>273.76093613722043</c:v>
                </c:pt>
                <c:pt idx="83">
                  <c:v>271.0701089276551</c:v>
                </c:pt>
                <c:pt idx="84">
                  <c:v>268.44230266928741</c:v>
                </c:pt>
                <c:pt idx="85">
                  <c:v>265.87520800638481</c:v>
                </c:pt>
                <c:pt idx="86">
                  <c:v>263.36662993011549</c:v>
                </c:pt>
                <c:pt idx="87">
                  <c:v>260.91448068380782</c:v>
                </c:pt>
                <c:pt idx="88">
                  <c:v>258.51677319499987</c:v>
                </c:pt>
                <c:pt idx="89">
                  <c:v>256.17161498890295</c:v>
                </c:pt>
                <c:pt idx="90">
                  <c:v>253.87720254232948</c:v>
                </c:pt>
                <c:pt idx="91">
                  <c:v>251.63181604109829</c:v>
                </c:pt>
                <c:pt idx="92">
                  <c:v>249.4338145074467</c:v>
                </c:pt>
                <c:pt idx="93">
                  <c:v>247.28163126713588</c:v>
                </c:pt>
                <c:pt idx="94">
                  <c:v>245.17376972875275</c:v>
                </c:pt>
                <c:pt idx="95">
                  <c:v>243.10879945023825</c:v>
                </c:pt>
                <c:pt idx="96">
                  <c:v>241.08535246994407</c:v>
                </c:pt>
                <c:pt idx="97">
                  <c:v>239.10211988155004</c:v>
                </c:pt>
                <c:pt idx="98">
                  <c:v>237.15784863401572</c:v>
                </c:pt>
                <c:pt idx="99">
                  <c:v>235.25133853938632</c:v>
                </c:pt>
                <c:pt idx="100">
                  <c:v>233.3814394727635</c:v>
                </c:pt>
                <c:pt idx="101">
                  <c:v>231.54704875010199</c:v>
                </c:pt>
                <c:pt idx="102">
                  <c:v>229.74710867070149</c:v>
                </c:pt>
                <c:pt idx="103">
                  <c:v>227.98060421237065</c:v>
                </c:pt>
                <c:pt idx="104">
                  <c:v>226.2465608682383</c:v>
                </c:pt>
                <c:pt idx="105">
                  <c:v>224.54404261508714</c:v>
                </c:pt>
                <c:pt idx="106">
                  <c:v>222.87215000391251</c:v>
                </c:pt>
                <c:pt idx="107">
                  <c:v>221.23001836415435</c:v>
                </c:pt>
                <c:pt idx="108">
                  <c:v>219.61681611373223</c:v>
                </c:pt>
                <c:pt idx="109">
                  <c:v>218.03174316763062</c:v>
                </c:pt>
                <c:pt idx="110">
                  <c:v>216.47402943834939</c:v>
                </c:pt>
                <c:pt idx="111">
                  <c:v>214.94293342205032</c:v>
                </c:pt>
                <c:pt idx="112">
                  <c:v>213.43774086469944</c:v>
                </c:pt>
                <c:pt idx="113">
                  <c:v>211.95776350293963</c:v>
                </c:pt>
                <c:pt idx="114">
                  <c:v>210.50233787482057</c:v>
                </c:pt>
                <c:pt idx="115">
                  <c:v>209.07082419587343</c:v>
                </c:pt>
                <c:pt idx="116">
                  <c:v>207.66260529635315</c:v>
                </c:pt>
                <c:pt idx="117">
                  <c:v>206.27708561577086</c:v>
                </c:pt>
                <c:pt idx="118">
                  <c:v>204.91369025112272</c:v>
                </c:pt>
                <c:pt idx="119">
                  <c:v>203.57186405547512</c:v>
                </c:pt>
                <c:pt idx="120">
                  <c:v>202.2510707838035</c:v>
                </c:pt>
                <c:pt idx="121">
                  <c:v>200.95079228320145</c:v>
                </c:pt>
                <c:pt idx="122">
                  <c:v>199.67052772477433</c:v>
                </c:pt>
                <c:pt idx="123">
                  <c:v>198.40979287471927</c:v>
                </c:pt>
                <c:pt idx="124">
                  <c:v>197.16811940226239</c:v>
                </c:pt>
                <c:pt idx="125">
                  <c:v>195.94505422228104</c:v>
                </c:pt>
                <c:pt idx="126">
                  <c:v>194.74015887058908</c:v>
                </c:pt>
                <c:pt idx="127">
                  <c:v>193.55300890999069</c:v>
                </c:pt>
                <c:pt idx="128">
                  <c:v>192.38319336533851</c:v>
                </c:pt>
                <c:pt idx="129">
                  <c:v>191.23031418594687</c:v>
                </c:pt>
                <c:pt idx="130">
                  <c:v>190.09398573381407</c:v>
                </c:pt>
                <c:pt idx="131">
                  <c:v>188.97383429621172</c:v>
                </c:pt>
                <c:pt idx="132">
                  <c:v>187.86949762128711</c:v>
                </c:pt>
                <c:pt idx="133">
                  <c:v>186.78062447541461</c:v>
                </c:pt>
                <c:pt idx="134">
                  <c:v>185.70687422110572</c:v>
                </c:pt>
                <c:pt idx="135">
                  <c:v>184.6479164143671</c:v>
                </c:pt>
                <c:pt idx="136">
                  <c:v>183.60343042046051</c:v>
                </c:pt>
                <c:pt idx="137">
                  <c:v>182.57310504708522</c:v>
                </c:pt>
                <c:pt idx="138">
                  <c:v>181.55663819406055</c:v>
                </c:pt>
                <c:pt idx="139">
                  <c:v>180.55373651864394</c:v>
                </c:pt>
                <c:pt idx="140">
                  <c:v>179.56411511567032</c:v>
                </c:pt>
                <c:pt idx="141">
                  <c:v>178.58749721174817</c:v>
                </c:pt>
                <c:pt idx="142">
                  <c:v>177.62361387279017</c:v>
                </c:pt>
                <c:pt idx="143">
                  <c:v>176.67220372420249</c:v>
                </c:pt>
                <c:pt idx="144">
                  <c:v>175.73301268309115</c:v>
                </c:pt>
                <c:pt idx="145">
                  <c:v>174.80579370188622</c:v>
                </c:pt>
                <c:pt idx="146">
                  <c:v>173.89030652281272</c:v>
                </c:pt>
                <c:pt idx="147">
                  <c:v>172.98631744267672</c:v>
                </c:pt>
                <c:pt idx="148">
                  <c:v>172.09359908745697</c:v>
                </c:pt>
                <c:pt idx="149">
                  <c:v>171.21193019622837</c:v>
                </c:pt>
                <c:pt idx="150">
                  <c:v>170.34109541396532</c:v>
                </c:pt>
                <c:pt idx="151">
                  <c:v>169.4808850927983</c:v>
                </c:pt>
                <c:pt idx="152">
                  <c:v>168.63109510132253</c:v>
                </c:pt>
                <c:pt idx="153">
                  <c:v>167.79152664157766</c:v>
                </c:pt>
                <c:pt idx="154">
                  <c:v>166.96198607333812</c:v>
                </c:pt>
                <c:pt idx="155">
                  <c:v>166.14228474537325</c:v>
                </c:pt>
                <c:pt idx="156">
                  <c:v>165.33223883335452</c:v>
                </c:pt>
                <c:pt idx="157">
                  <c:v>164.53166918410548</c:v>
                </c:pt>
                <c:pt idx="158">
                  <c:v>163.74040116590234</c:v>
                </c:pt>
                <c:pt idx="159">
                  <c:v>162.95826452455262</c:v>
                </c:pt>
                <c:pt idx="160">
                  <c:v>162.18509324499169</c:v>
                </c:pt>
                <c:pt idx="161">
                  <c:v>161.42072541814841</c:v>
                </c:pt>
                <c:pt idx="162">
                  <c:v>160.66500311284773</c:v>
                </c:pt>
                <c:pt idx="163">
                  <c:v>159.9177722525267</c:v>
                </c:pt>
                <c:pt idx="164">
                  <c:v>159.17888249655243</c:v>
                </c:pt>
                <c:pt idx="165">
                  <c:v>158.44818712594264</c:v>
                </c:pt>
                <c:pt idx="166">
                  <c:v>157.72554293329631</c:v>
                </c:pt>
                <c:pt idx="167">
                  <c:v>157.01081011675598</c:v>
                </c:pt>
                <c:pt idx="168">
                  <c:v>156.30385217782572</c:v>
                </c:pt>
                <c:pt idx="169">
                  <c:v>155.60453582288434</c:v>
                </c:pt>
                <c:pt idx="170">
                  <c:v>154.91273086823594</c:v>
                </c:pt>
                <c:pt idx="171">
                  <c:v>154.22831014854944</c:v>
                </c:pt>
                <c:pt idx="172">
                  <c:v>153.5511494285476</c:v>
                </c:pt>
                <c:pt idx="173">
                  <c:v>152.88112731780745</c:v>
                </c:pt>
                <c:pt idx="174">
                  <c:v>152.21812518854802</c:v>
                </c:pt>
                <c:pt idx="175">
                  <c:v>151.56202709628002</c:v>
                </c:pt>
                <c:pt idx="176">
                  <c:v>150.91271970320261</c:v>
                </c:pt>
                <c:pt idx="177">
                  <c:v>150.27009220423571</c:v>
                </c:pt>
                <c:pt idx="178">
                  <c:v>149.63403625558163</c:v>
                </c:pt>
                <c:pt idx="179">
                  <c:v>149.00444590571576</c:v>
                </c:pt>
                <c:pt idx="180">
                  <c:v>148.3812175287095</c:v>
                </c:pt>
                <c:pt idx="181">
                  <c:v>147.76424975979208</c:v>
                </c:pt>
                <c:pt idx="182">
                  <c:v>147.15344343306637</c:v>
                </c:pt>
                <c:pt idx="183">
                  <c:v>146.54870152129109</c:v>
                </c:pt>
                <c:pt idx="184">
                  <c:v>145.94992907765214</c:v>
                </c:pt>
                <c:pt idx="185">
                  <c:v>145.3570331794443</c:v>
                </c:pt>
                <c:pt idx="186">
                  <c:v>144.76992287359118</c:v>
                </c:pt>
                <c:pt idx="187">
                  <c:v>144.18850912393353</c:v>
                </c:pt>
                <c:pt idx="188">
                  <c:v>143.61270476021744</c:v>
                </c:pt>
                <c:pt idx="189">
                  <c:v>143.04242442871964</c:v>
                </c:pt>
                <c:pt idx="190">
                  <c:v>142.47758454444815</c:v>
                </c:pt>
                <c:pt idx="191">
                  <c:v>141.91810324485934</c:v>
                </c:pt>
                <c:pt idx="192">
                  <c:v>141.36390034503543</c:v>
                </c:pt>
                <c:pt idx="193">
                  <c:v>140.81489729426818</c:v>
                </c:pt>
                <c:pt idx="194">
                  <c:v>140.27101713399799</c:v>
                </c:pt>
                <c:pt idx="195">
                  <c:v>139.73218445705777</c:v>
                </c:pt>
                <c:pt idx="196">
                  <c:v>139.1983253681758</c:v>
                </c:pt>
                <c:pt idx="197">
                  <c:v>138.66936744569003</c:v>
                </c:pt>
                <c:pt idx="198">
                  <c:v>138.14523970443273</c:v>
                </c:pt>
                <c:pt idx="199">
                  <c:v>137.62587255974245</c:v>
                </c:pt>
                <c:pt idx="200">
                  <c:v>137.11119779256245</c:v>
                </c:pt>
                <c:pt idx="201">
                  <c:v>136.60114851558899</c:v>
                </c:pt>
                <c:pt idx="202">
                  <c:v>136.09565914043162</c:v>
                </c:pt>
                <c:pt idx="203">
                  <c:v>135.59466534575006</c:v>
                </c:pt>
                <c:pt idx="204">
                  <c:v>135.09810404633384</c:v>
                </c:pt>
                <c:pt idx="205">
                  <c:v>134.60591336309216</c:v>
                </c:pt>
                <c:pt idx="206">
                  <c:v>134.11803259392295</c:v>
                </c:pt>
                <c:pt idx="207">
                  <c:v>133.63440218542976</c:v>
                </c:pt>
                <c:pt idx="208">
                  <c:v>133.15496370545964</c:v>
                </c:pt>
                <c:pt idx="209">
                  <c:v>132.67965981643229</c:v>
                </c:pt>
                <c:pt idx="210">
                  <c:v>132.2084342494347</c:v>
                </c:pt>
                <c:pt idx="211">
                  <c:v>131.74123177905554</c:v>
                </c:pt>
                <c:pt idx="212">
                  <c:v>131.27799819893494</c:v>
                </c:pt>
                <c:pt idx="213">
                  <c:v>130.81868029800395</c:v>
                </c:pt>
                <c:pt idx="214">
                  <c:v>130.36322583739494</c:v>
                </c:pt>
                <c:pt idx="215">
                  <c:v>129.9115835279953</c:v>
                </c:pt>
                <c:pt idx="216">
                  <c:v>129.46370300862898</c:v>
                </c:pt>
                <c:pt idx="217">
                  <c:v>129.01953482484149</c:v>
                </c:pt>
                <c:pt idx="218">
                  <c:v>128.57903040827026</c:v>
                </c:pt>
                <c:pt idx="219">
                  <c:v>128.14214205658166</c:v>
                </c:pt>
                <c:pt idx="220">
                  <c:v>127.70882291395617</c:v>
                </c:pt>
                <c:pt idx="221">
                  <c:v>127.27902695210385</c:v>
                </c:pt>
                <c:pt idx="222">
                  <c:v>126.85270895179383</c:v>
                </c:pt>
                <c:pt idx="223">
                  <c:v>126.42982448488142</c:v>
                </c:pt>
                <c:pt idx="224">
                  <c:v>126.0103298968168</c:v>
                </c:pt>
                <c:pt idx="225">
                  <c:v>125.59418228962068</c:v>
                </c:pt>
                <c:pt idx="226">
                  <c:v>125.18133950531164</c:v>
                </c:pt>
                <c:pt idx="227">
                  <c:v>124.771760109772</c:v>
                </c:pt>
                <c:pt idx="228">
                  <c:v>124.3654033770388</c:v>
                </c:pt>
                <c:pt idx="229">
                  <c:v>123.96222927400437</c:v>
                </c:pt>
                <c:pt idx="230">
                  <c:v>123.56219844551826</c:v>
                </c:pt>
                <c:pt idx="231">
                  <c:v>123.16527219987356</c:v>
                </c:pt>
                <c:pt idx="232">
                  <c:v>122.77141249467026</c:v>
                </c:pt>
                <c:pt idx="233">
                  <c:v>122.38058192304048</c:v>
                </c:pt>
                <c:pt idx="234">
                  <c:v>121.99274370022775</c:v>
                </c:pt>
                <c:pt idx="235">
                  <c:v>121.60786165050706</c:v>
                </c:pt>
                <c:pt idx="236">
                  <c:v>121.22590019443861</c:v>
                </c:pt>
                <c:pt idx="237">
                  <c:v>120.84682433644164</c:v>
                </c:pt>
                <c:pt idx="238">
                  <c:v>120.47059965268248</c:v>
                </c:pt>
                <c:pt idx="239">
                  <c:v>120.09719227926477</c:v>
                </c:pt>
                <c:pt idx="240">
                  <c:v>119.72656890071485</c:v>
                </c:pt>
                <c:pt idx="241">
                  <c:v>119.35869673875278</c:v>
                </c:pt>
                <c:pt idx="242">
                  <c:v>118.99354354134076</c:v>
                </c:pt>
                <c:pt idx="243">
                  <c:v>118.63107757200123</c:v>
                </c:pt>
                <c:pt idx="244">
                  <c:v>118.27126759939691</c:v>
                </c:pt>
                <c:pt idx="245">
                  <c:v>117.91408288716482</c:v>
                </c:pt>
                <c:pt idx="246">
                  <c:v>117.55949318399739</c:v>
                </c:pt>
                <c:pt idx="247">
                  <c:v>117.20746871396356</c:v>
                </c:pt>
                <c:pt idx="248">
                  <c:v>116.85798016706319</c:v>
                </c:pt>
                <c:pt idx="249">
                  <c:v>116.5109986900079</c:v>
                </c:pt>
                <c:pt idx="250">
                  <c:v>116.16649587722206</c:v>
                </c:pt>
                <c:pt idx="251">
                  <c:v>115.82444376205842</c:v>
                </c:pt>
              </c:numCache>
            </c:numRef>
          </c:val>
          <c:smooth val="0"/>
          <c:extLst>
            <c:ext xmlns:c16="http://schemas.microsoft.com/office/drawing/2014/chart" uri="{C3380CC4-5D6E-409C-BE32-E72D297353CC}">
              <c16:uniqueId val="{00000001-3A48-3645-8BE1-AD44ED45ED4D}"/>
            </c:ext>
          </c:extLst>
        </c:ser>
        <c:dLbls>
          <c:showLegendKey val="0"/>
          <c:showVal val="0"/>
          <c:showCatName val="0"/>
          <c:showSerName val="0"/>
          <c:showPercent val="0"/>
          <c:showBubbleSize val="0"/>
        </c:dLbls>
        <c:smooth val="0"/>
        <c:axId val="129448960"/>
        <c:axId val="129471232"/>
      </c:lineChart>
      <c:catAx>
        <c:axId val="129448960"/>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471232"/>
        <c:crosses val="autoZero"/>
        <c:auto val="1"/>
        <c:lblAlgn val="ctr"/>
        <c:lblOffset val="100"/>
        <c:noMultiLvlLbl val="0"/>
      </c:catAx>
      <c:valAx>
        <c:axId val="1294712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Production</a:t>
                </a:r>
                <a:r>
                  <a:rPr lang="en-US" baseline="0"/>
                  <a:t> (</a:t>
                </a:r>
                <a:r>
                  <a:rPr lang="en-US"/>
                  <a:t>Mcf/d)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4489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CF!$F$2</c:f>
              <c:strCache>
                <c:ptCount val="1"/>
                <c:pt idx="0">
                  <c:v>Cash Flow</c:v>
                </c:pt>
              </c:strCache>
            </c:strRef>
          </c:tx>
          <c:spPr>
            <a:solidFill>
              <a:srgbClr val="00B050"/>
            </a:solidFill>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CF!$E$3:$E$12</c:f>
              <c:numCache>
                <c:formatCode>General</c:formatCode>
                <c:ptCount val="10"/>
                <c:pt idx="0">
                  <c:v>0</c:v>
                </c:pt>
                <c:pt idx="1">
                  <c:v>1</c:v>
                </c:pt>
                <c:pt idx="2">
                  <c:v>2</c:v>
                </c:pt>
                <c:pt idx="3">
                  <c:v>3</c:v>
                </c:pt>
                <c:pt idx="4">
                  <c:v>4</c:v>
                </c:pt>
                <c:pt idx="5">
                  <c:v>5</c:v>
                </c:pt>
                <c:pt idx="6">
                  <c:v>6</c:v>
                </c:pt>
                <c:pt idx="7">
                  <c:v>7</c:v>
                </c:pt>
                <c:pt idx="8">
                  <c:v>8</c:v>
                </c:pt>
                <c:pt idx="9">
                  <c:v>9</c:v>
                </c:pt>
              </c:numCache>
            </c:numRef>
          </c:cat>
          <c:val>
            <c:numRef>
              <c:f>CF!$F$3:$F$12</c:f>
              <c:numCache>
                <c:formatCode>"$"#,##0_);[Red]\("$"#,##0\)</c:formatCode>
                <c:ptCount val="10"/>
                <c:pt idx="0">
                  <c:v>2544728.4083336955</c:v>
                </c:pt>
                <c:pt idx="1">
                  <c:v>956510.57027529343</c:v>
                </c:pt>
                <c:pt idx="2">
                  <c:v>586664.45597248664</c:v>
                </c:pt>
                <c:pt idx="3">
                  <c:v>447524.54864710208</c:v>
                </c:pt>
                <c:pt idx="4">
                  <c:v>349292.69990062399</c:v>
                </c:pt>
                <c:pt idx="5">
                  <c:v>279061.10211528995</c:v>
                </c:pt>
                <c:pt idx="6">
                  <c:v>229352.72167710442</c:v>
                </c:pt>
                <c:pt idx="7">
                  <c:v>194382.20482752688</c:v>
                </c:pt>
                <c:pt idx="8">
                  <c:v>168406.82251866921</c:v>
                </c:pt>
              </c:numCache>
            </c:numRef>
          </c:val>
          <c:extLst>
            <c:ext xmlns:c16="http://schemas.microsoft.com/office/drawing/2014/chart" uri="{C3380CC4-5D6E-409C-BE32-E72D297353CC}">
              <c16:uniqueId val="{00000000-746D-47A5-BDD3-97044460924A}"/>
            </c:ext>
          </c:extLst>
        </c:ser>
        <c:ser>
          <c:idx val="1"/>
          <c:order val="1"/>
          <c:tx>
            <c:strRef>
              <c:f>CF!$G$2</c:f>
              <c:strCache>
                <c:ptCount val="1"/>
                <c:pt idx="0">
                  <c:v>DCET</c:v>
                </c:pt>
              </c:strCache>
            </c:strRef>
          </c:tx>
          <c:spPr>
            <a:solidFill>
              <a:srgbClr val="FF0000"/>
            </a:solidFill>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CF!$E$3:$E$12</c:f>
              <c:numCache>
                <c:formatCode>General</c:formatCode>
                <c:ptCount val="10"/>
                <c:pt idx="0">
                  <c:v>0</c:v>
                </c:pt>
                <c:pt idx="1">
                  <c:v>1</c:v>
                </c:pt>
                <c:pt idx="2">
                  <c:v>2</c:v>
                </c:pt>
                <c:pt idx="3">
                  <c:v>3</c:v>
                </c:pt>
                <c:pt idx="4">
                  <c:v>4</c:v>
                </c:pt>
                <c:pt idx="5">
                  <c:v>5</c:v>
                </c:pt>
                <c:pt idx="6">
                  <c:v>6</c:v>
                </c:pt>
                <c:pt idx="7">
                  <c:v>7</c:v>
                </c:pt>
                <c:pt idx="8">
                  <c:v>8</c:v>
                </c:pt>
                <c:pt idx="9">
                  <c:v>9</c:v>
                </c:pt>
              </c:numCache>
            </c:numRef>
          </c:cat>
          <c:val>
            <c:numRef>
              <c:f>CF!$G$3:$G$12</c:f>
              <c:numCache>
                <c:formatCode>General</c:formatCode>
                <c:ptCount val="10"/>
                <c:pt idx="0" formatCode="&quot;$&quot;#,##0.00_);[Red]\(&quot;$&quot;#,##0.00\)">
                  <c:v>-3750000</c:v>
                </c:pt>
              </c:numCache>
            </c:numRef>
          </c:val>
          <c:extLst>
            <c:ext xmlns:c16="http://schemas.microsoft.com/office/drawing/2014/chart" uri="{C3380CC4-5D6E-409C-BE32-E72D297353CC}">
              <c16:uniqueId val="{00000001-746D-47A5-BDD3-97044460924A}"/>
            </c:ext>
          </c:extLst>
        </c:ser>
        <c:ser>
          <c:idx val="2"/>
          <c:order val="2"/>
          <c:tx>
            <c:strRef>
              <c:f>CF!$H$2</c:f>
              <c:strCache>
                <c:ptCount val="1"/>
                <c:pt idx="0">
                  <c:v>ARO</c:v>
                </c:pt>
              </c:strCache>
            </c:strRef>
          </c:tx>
          <c:spPr>
            <a:solidFill>
              <a:schemeClr val="bg1">
                <a:lumMod val="50000"/>
              </a:schemeClr>
            </a:solidFill>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CF!$E$3:$E$12</c:f>
              <c:numCache>
                <c:formatCode>General</c:formatCode>
                <c:ptCount val="10"/>
                <c:pt idx="0">
                  <c:v>0</c:v>
                </c:pt>
                <c:pt idx="1">
                  <c:v>1</c:v>
                </c:pt>
                <c:pt idx="2">
                  <c:v>2</c:v>
                </c:pt>
                <c:pt idx="3">
                  <c:v>3</c:v>
                </c:pt>
                <c:pt idx="4">
                  <c:v>4</c:v>
                </c:pt>
                <c:pt idx="5">
                  <c:v>5</c:v>
                </c:pt>
                <c:pt idx="6">
                  <c:v>6</c:v>
                </c:pt>
                <c:pt idx="7">
                  <c:v>7</c:v>
                </c:pt>
                <c:pt idx="8">
                  <c:v>8</c:v>
                </c:pt>
                <c:pt idx="9">
                  <c:v>9</c:v>
                </c:pt>
              </c:numCache>
            </c:numRef>
          </c:cat>
          <c:val>
            <c:numRef>
              <c:f>CF!$H$3:$H$12</c:f>
              <c:numCache>
                <c:formatCode>General</c:formatCode>
                <c:ptCount val="10"/>
                <c:pt idx="9" formatCode="&quot;$&quot;#,##0.00_);[Red]\(&quot;$&quot;#,##0.00\)">
                  <c:v>0</c:v>
                </c:pt>
              </c:numCache>
            </c:numRef>
          </c:val>
          <c:extLst>
            <c:ext xmlns:c16="http://schemas.microsoft.com/office/drawing/2014/chart" uri="{C3380CC4-5D6E-409C-BE32-E72D297353CC}">
              <c16:uniqueId val="{00000002-746D-47A5-BDD3-97044460924A}"/>
            </c:ext>
          </c:extLst>
        </c:ser>
        <c:dLbls>
          <c:showLegendKey val="0"/>
          <c:showVal val="0"/>
          <c:showCatName val="0"/>
          <c:showSerName val="0"/>
          <c:showPercent val="0"/>
          <c:showBubbleSize val="0"/>
        </c:dLbls>
        <c:gapWidth val="55"/>
        <c:overlap val="82"/>
        <c:axId val="111427584"/>
        <c:axId val="111429504"/>
      </c:barChart>
      <c:catAx>
        <c:axId val="111427584"/>
        <c:scaling>
          <c:orientation val="minMax"/>
        </c:scaling>
        <c:delete val="0"/>
        <c:axPos val="b"/>
        <c:title>
          <c:tx>
            <c:rich>
              <a:bodyPr/>
              <a:lstStyle/>
              <a:p>
                <a:pPr>
                  <a:defRPr/>
                </a:pPr>
                <a:r>
                  <a:rPr lang="en-US"/>
                  <a:t>Years</a:t>
                </a:r>
              </a:p>
            </c:rich>
          </c:tx>
          <c:overlay val="0"/>
        </c:title>
        <c:numFmt formatCode="General" sourceLinked="1"/>
        <c:majorTickMark val="out"/>
        <c:minorTickMark val="none"/>
        <c:tickLblPos val="low"/>
        <c:crossAx val="111429504"/>
        <c:crosses val="autoZero"/>
        <c:auto val="1"/>
        <c:lblAlgn val="ctr"/>
        <c:lblOffset val="100"/>
        <c:noMultiLvlLbl val="0"/>
      </c:catAx>
      <c:valAx>
        <c:axId val="111429504"/>
        <c:scaling>
          <c:orientation val="minMax"/>
          <c:max val="3000000"/>
          <c:min val="-4000000"/>
        </c:scaling>
        <c:delete val="0"/>
        <c:axPos val="l"/>
        <c:majorGridlines>
          <c:spPr>
            <a:ln>
              <a:noFill/>
            </a:ln>
          </c:spPr>
        </c:majorGridlines>
        <c:title>
          <c:tx>
            <c:rich>
              <a:bodyPr rot="0" vert="horz"/>
              <a:lstStyle/>
              <a:p>
                <a:pPr>
                  <a:defRPr/>
                </a:pPr>
                <a:r>
                  <a:rPr lang="en-US"/>
                  <a:t>Present</a:t>
                </a:r>
                <a:r>
                  <a:rPr lang="en-US" baseline="0"/>
                  <a:t> Value</a:t>
                </a:r>
              </a:p>
            </c:rich>
          </c:tx>
          <c:overlay val="0"/>
        </c:title>
        <c:numFmt formatCode="&quot;$&quot;#,##0_);[Red]\(&quot;$&quot;#,##0\)" sourceLinked="1"/>
        <c:majorTickMark val="out"/>
        <c:minorTickMark val="none"/>
        <c:tickLblPos val="nextTo"/>
        <c:crossAx val="111427584"/>
        <c:crosses val="autoZero"/>
        <c:crossBetween val="between"/>
        <c:majorUnit val="1000000"/>
      </c:valAx>
    </c:plotArea>
    <c:legend>
      <c:legendPos val="t"/>
      <c:layout>
        <c:manualLayout>
          <c:xMode val="edge"/>
          <c:yMode val="edge"/>
          <c:x val="0.73279843560631408"/>
          <c:y val="1.6494845360824743E-2"/>
          <c:w val="0.22453572964396401"/>
          <c:h val="4.4665901137357827E-2"/>
        </c:manualLayout>
      </c:layout>
      <c:overlay val="0"/>
      <c:txPr>
        <a:bodyPr/>
        <a:lstStyle/>
        <a:p>
          <a:pPr>
            <a:defRPr sz="1100"/>
          </a:pPr>
          <a:endParaRPr lang="en-US"/>
        </a:p>
      </c:txPr>
    </c:legend>
    <c:plotVisOnly val="1"/>
    <c:dispBlanksAs val="gap"/>
    <c:showDLblsOverMax val="0"/>
  </c:chart>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0</xdr:col>
      <xdr:colOff>0</xdr:colOff>
      <xdr:row>2</xdr:row>
      <xdr:rowOff>40821</xdr:rowOff>
    </xdr:from>
    <xdr:to>
      <xdr:col>7</xdr:col>
      <xdr:colOff>519545</xdr:colOff>
      <xdr:row>29</xdr:row>
      <xdr:rowOff>190500</xdr:rowOff>
    </xdr:to>
    <xdr:graphicFrame macro="">
      <xdr:nvGraphicFramePr>
        <xdr:cNvPr id="2" name="Chart 1">
          <a:extLst>
            <a:ext uri="{FF2B5EF4-FFF2-40B4-BE49-F238E27FC236}">
              <a16:creationId xmlns:a16="http://schemas.microsoft.com/office/drawing/2014/main" id="{00000000-0008-0000-0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-1</xdr:colOff>
      <xdr:row>2</xdr:row>
      <xdr:rowOff>0</xdr:rowOff>
    </xdr:from>
    <xdr:to>
      <xdr:col>23</xdr:col>
      <xdr:colOff>623453</xdr:colOff>
      <xdr:row>30</xdr:row>
      <xdr:rowOff>0</xdr:rowOff>
    </xdr:to>
    <xdr:graphicFrame macro="">
      <xdr:nvGraphicFramePr>
        <xdr:cNvPr id="5" name="Chart 4">
          <a:extLst>
            <a:ext uri="{FF2B5EF4-FFF2-40B4-BE49-F238E27FC236}">
              <a16:creationId xmlns:a16="http://schemas.microsoft.com/office/drawing/2014/main" id="{00000000-0008-0000-01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27214</xdr:colOff>
      <xdr:row>2</xdr:row>
      <xdr:rowOff>0</xdr:rowOff>
    </xdr:from>
    <xdr:to>
      <xdr:col>15</xdr:col>
      <xdr:colOff>435429</xdr:colOff>
      <xdr:row>30</xdr:row>
      <xdr:rowOff>13607</xdr:rowOff>
    </xdr:to>
    <xdr:graphicFrame macro="">
      <xdr:nvGraphicFramePr>
        <xdr:cNvPr id="12" name="Chart 11">
          <a:extLst>
            <a:ext uri="{FF2B5EF4-FFF2-40B4-BE49-F238E27FC236}">
              <a16:creationId xmlns:a16="http://schemas.microsoft.com/office/drawing/2014/main" id="{00000000-0008-0000-01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1784350</xdr:colOff>
      <xdr:row>11</xdr:row>
      <xdr:rowOff>184150</xdr:rowOff>
    </xdr:from>
    <xdr:to>
      <xdr:col>14</xdr:col>
      <xdr:colOff>736600</xdr:colOff>
      <xdr:row>33</xdr:row>
      <xdr:rowOff>25400</xdr:rowOff>
    </xdr:to>
    <xdr:graphicFrame macro="">
      <xdr:nvGraphicFramePr>
        <xdr:cNvPr id="4" name="Chart 3">
          <a:extLst>
            <a:ext uri="{FF2B5EF4-FFF2-40B4-BE49-F238E27FC236}">
              <a16:creationId xmlns:a16="http://schemas.microsoft.com/office/drawing/2014/main" id="{00000000-0008-0000-0C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1504950</xdr:colOff>
      <xdr:row>10</xdr:row>
      <xdr:rowOff>184150</xdr:rowOff>
    </xdr:from>
    <xdr:to>
      <xdr:col>13</xdr:col>
      <xdr:colOff>254000</xdr:colOff>
      <xdr:row>29</xdr:row>
      <xdr:rowOff>190500</xdr:rowOff>
    </xdr:to>
    <xdr:graphicFrame macro="">
      <xdr:nvGraphicFramePr>
        <xdr:cNvPr id="2" name="Chart 1">
          <a:extLst>
            <a:ext uri="{FF2B5EF4-FFF2-40B4-BE49-F238E27FC236}">
              <a16:creationId xmlns:a16="http://schemas.microsoft.com/office/drawing/2014/main" id="{00000000-0008-0000-0D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8</xdr:col>
      <xdr:colOff>238124</xdr:colOff>
      <xdr:row>1</xdr:row>
      <xdr:rowOff>9525</xdr:rowOff>
    </xdr:from>
    <xdr:to>
      <xdr:col>20</xdr:col>
      <xdr:colOff>438149</xdr:colOff>
      <xdr:row>28</xdr:row>
      <xdr:rowOff>95250</xdr:rowOff>
    </xdr:to>
    <xdr:graphicFrame macro="">
      <xdr:nvGraphicFramePr>
        <xdr:cNvPr id="2" name="Chart 1">
          <a:extLst>
            <a:ext uri="{FF2B5EF4-FFF2-40B4-BE49-F238E27FC236}">
              <a16:creationId xmlns:a16="http://schemas.microsoft.com/office/drawing/2014/main" id="{00000000-0008-0000-1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RStar%20Workbook.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odel"/>
      <sheetName val="Royalties"/>
      <sheetName val="Oil Production"/>
      <sheetName val="Gas Production"/>
      <sheetName val="Liquids Production"/>
    </sheetNames>
    <sheetDataSet>
      <sheetData sheetId="0" refreshError="1"/>
      <sheetData sheetId="1" refreshError="1"/>
      <sheetData sheetId="2">
        <row r="5">
          <cell r="A5" t="str">
            <v>Months</v>
          </cell>
          <cell r="B5" t="str">
            <v>Daily production (Bbl/d)</v>
          </cell>
          <cell r="C5" t="str">
            <v>Monthly production (Bbls)</v>
          </cell>
          <cell r="D5" t="str">
            <v>Cumulative Production (Bbls)</v>
          </cell>
        </row>
        <row r="7">
          <cell r="A7">
            <v>1</v>
          </cell>
          <cell r="B7">
            <v>243.78363670856345</v>
          </cell>
          <cell r="C7">
            <v>7415.0856165521382</v>
          </cell>
          <cell r="D7">
            <v>7415.0856165521382</v>
          </cell>
        </row>
        <row r="8">
          <cell r="A8">
            <v>2</v>
          </cell>
          <cell r="B8">
            <v>182.67840003098269</v>
          </cell>
          <cell r="C8">
            <v>5556.4680009423901</v>
          </cell>
          <cell r="D8">
            <v>12971.553617494528</v>
          </cell>
        </row>
        <row r="9">
          <cell r="A9">
            <v>3</v>
          </cell>
          <cell r="B9">
            <v>154.30544362643755</v>
          </cell>
          <cell r="C9">
            <v>4693.4572436374756</v>
          </cell>
          <cell r="D9">
            <v>17665.010861132003</v>
          </cell>
        </row>
        <row r="10">
          <cell r="A10">
            <v>4</v>
          </cell>
          <cell r="B10">
            <v>136.88940852816268</v>
          </cell>
          <cell r="C10">
            <v>4163.7195093982818</v>
          </cell>
          <cell r="D10">
            <v>21828.730370530284</v>
          </cell>
        </row>
        <row r="11">
          <cell r="A11">
            <v>5</v>
          </cell>
          <cell r="B11">
            <v>124.74601198856659</v>
          </cell>
          <cell r="C11">
            <v>3794.3578646522342</v>
          </cell>
          <cell r="D11">
            <v>25623.088235182517</v>
          </cell>
        </row>
        <row r="12">
          <cell r="A12">
            <v>6</v>
          </cell>
          <cell r="B12">
            <v>115.62823468519711</v>
          </cell>
          <cell r="C12">
            <v>3517.0254716747459</v>
          </cell>
          <cell r="D12">
            <v>29140.113706857264</v>
          </cell>
        </row>
        <row r="13">
          <cell r="A13">
            <v>7</v>
          </cell>
          <cell r="B13">
            <v>108.44118777864109</v>
          </cell>
          <cell r="C13">
            <v>3298.4194616003333</v>
          </cell>
          <cell r="D13">
            <v>32438.533168457598</v>
          </cell>
        </row>
        <row r="14">
          <cell r="A14">
            <v>8</v>
          </cell>
          <cell r="B14">
            <v>102.57759080445241</v>
          </cell>
          <cell r="C14">
            <v>3120.0683869687609</v>
          </cell>
          <cell r="D14">
            <v>35558.601555426358</v>
          </cell>
        </row>
        <row r="15">
          <cell r="A15">
            <v>9</v>
          </cell>
          <cell r="B15">
            <v>97.669270399867315</v>
          </cell>
          <cell r="C15">
            <v>2970.7736413292978</v>
          </cell>
          <cell r="D15">
            <v>38529.375196755653</v>
          </cell>
        </row>
        <row r="16">
          <cell r="A16">
            <v>10</v>
          </cell>
          <cell r="B16">
            <v>93.477979851289291</v>
          </cell>
          <cell r="C16">
            <v>2843.2885538100495</v>
          </cell>
          <cell r="D16">
            <v>41372.663750565705</v>
          </cell>
        </row>
        <row r="17">
          <cell r="A17">
            <v>11</v>
          </cell>
          <cell r="B17">
            <v>89.841654418063442</v>
          </cell>
          <cell r="C17">
            <v>2732.6836552160967</v>
          </cell>
          <cell r="D17">
            <v>44105.347405781802</v>
          </cell>
        </row>
        <row r="18">
          <cell r="A18">
            <v>12</v>
          </cell>
          <cell r="B18">
            <v>86.645605898276415</v>
          </cell>
          <cell r="C18">
            <v>2635.4705127392413</v>
          </cell>
          <cell r="D18">
            <v>46740.817918521047</v>
          </cell>
        </row>
        <row r="19">
          <cell r="A19">
            <v>13</v>
          </cell>
          <cell r="B19">
            <v>83.806025336714384</v>
          </cell>
          <cell r="C19">
            <v>2549.0999373250625</v>
          </cell>
          <cell r="D19">
            <v>49289.917855846106</v>
          </cell>
        </row>
        <row r="20">
          <cell r="A20">
            <v>14</v>
          </cell>
          <cell r="B20">
            <v>81.260017892602249</v>
          </cell>
          <cell r="C20">
            <v>2471.6588775666519</v>
          </cell>
          <cell r="D20">
            <v>51761.576733412759</v>
          </cell>
        </row>
        <row r="21">
          <cell r="A21">
            <v>15</v>
          </cell>
          <cell r="B21">
            <v>78.959314006527435</v>
          </cell>
          <cell r="C21">
            <v>2401.6791343652094</v>
          </cell>
          <cell r="D21">
            <v>54163.255867777967</v>
          </cell>
        </row>
        <row r="22">
          <cell r="A22">
            <v>16</v>
          </cell>
          <cell r="B22">
            <v>76.866152380817155</v>
          </cell>
          <cell r="C22">
            <v>2338.012134916522</v>
          </cell>
          <cell r="D22">
            <v>56501.268002694487</v>
          </cell>
        </row>
        <row r="23">
          <cell r="A23">
            <v>17</v>
          </cell>
          <cell r="B23">
            <v>74.95049938593634</v>
          </cell>
          <cell r="C23">
            <v>2279.7443563222305</v>
          </cell>
          <cell r="D23">
            <v>58781.01235901672</v>
          </cell>
        </row>
        <row r="24">
          <cell r="A24">
            <v>18</v>
          </cell>
          <cell r="B24">
            <v>73.188119964634339</v>
          </cell>
          <cell r="C24">
            <v>2226.1386489242946</v>
          </cell>
          <cell r="D24">
            <v>61007.151007941015</v>
          </cell>
        </row>
        <row r="25">
          <cell r="A25">
            <v>19</v>
          </cell>
          <cell r="B25">
            <v>71.559207628030549</v>
          </cell>
          <cell r="C25">
            <v>2176.592565352596</v>
          </cell>
          <cell r="D25">
            <v>63183.743573293614</v>
          </cell>
        </row>
        <row r="26">
          <cell r="A26">
            <v>20</v>
          </cell>
          <cell r="B26">
            <v>70.047391317639324</v>
          </cell>
          <cell r="C26">
            <v>2130.608152578196</v>
          </cell>
          <cell r="D26">
            <v>65314.351725871813</v>
          </cell>
        </row>
        <row r="27">
          <cell r="A27">
            <v>21</v>
          </cell>
          <cell r="B27">
            <v>68.639002245933966</v>
          </cell>
          <cell r="C27">
            <v>2087.7696516471583</v>
          </cell>
          <cell r="D27">
            <v>67402.121377518968</v>
          </cell>
        </row>
        <row r="28">
          <cell r="A28">
            <v>22</v>
          </cell>
          <cell r="B28">
            <v>67.322523803550183</v>
          </cell>
          <cell r="C28">
            <v>2047.7267656913182</v>
          </cell>
          <cell r="D28">
            <v>69449.848143210285</v>
          </cell>
        </row>
        <row r="29">
          <cell r="A29">
            <v>23</v>
          </cell>
          <cell r="B29">
            <v>66.088172764198234</v>
          </cell>
          <cell r="C29">
            <v>2010.1819215776964</v>
          </cell>
          <cell r="D29">
            <v>71460.030064787978</v>
          </cell>
        </row>
        <row r="30">
          <cell r="A30">
            <v>24</v>
          </cell>
          <cell r="B30">
            <v>64.927576226678752</v>
          </cell>
          <cell r="C30">
            <v>1974.8804435614788</v>
          </cell>
          <cell r="D30">
            <v>73434.910508349451</v>
          </cell>
        </row>
        <row r="31">
          <cell r="A31">
            <v>25</v>
          </cell>
          <cell r="B31">
            <v>63.833519415640758</v>
          </cell>
          <cell r="C31">
            <v>1941.6028822257399</v>
          </cell>
          <cell r="D31">
            <v>75376.513390575186</v>
          </cell>
        </row>
        <row r="32">
          <cell r="A32">
            <v>26</v>
          </cell>
          <cell r="B32">
            <v>62.799746644887094</v>
          </cell>
          <cell r="C32">
            <v>1910.1589604486492</v>
          </cell>
          <cell r="D32">
            <v>77286.672351023837</v>
          </cell>
        </row>
        <row r="33">
          <cell r="A33">
            <v>27</v>
          </cell>
          <cell r="B33">
            <v>61.820802664203661</v>
          </cell>
          <cell r="C33">
            <v>1880.3827477028615</v>
          </cell>
          <cell r="D33">
            <v>79167.055098726705</v>
          </cell>
        </row>
        <row r="34">
          <cell r="A34">
            <v>28</v>
          </cell>
          <cell r="B34">
            <v>60.891905033214876</v>
          </cell>
          <cell r="C34">
            <v>1852.1287780936193</v>
          </cell>
          <cell r="D34">
            <v>81019.183876820331</v>
          </cell>
        </row>
        <row r="35">
          <cell r="A35">
            <v>29</v>
          </cell>
          <cell r="B35">
            <v>60.008840584260781</v>
          </cell>
          <cell r="C35">
            <v>1825.2689011045989</v>
          </cell>
          <cell r="D35">
            <v>82844.452777924933</v>
          </cell>
        </row>
        <row r="36">
          <cell r="A36">
            <v>30</v>
          </cell>
          <cell r="B36">
            <v>59.167880769208764</v>
          </cell>
          <cell r="C36">
            <v>1799.6897067300999</v>
          </cell>
          <cell r="D36">
            <v>84644.142484655036</v>
          </cell>
        </row>
        <row r="37">
          <cell r="A37">
            <v>31</v>
          </cell>
          <cell r="B37">
            <v>58.365711942813306</v>
          </cell>
          <cell r="C37">
            <v>1775.2904049272381</v>
          </cell>
          <cell r="D37">
            <v>86419.432889582269</v>
          </cell>
        </row>
        <row r="38">
          <cell r="A38">
            <v>32</v>
          </cell>
          <cell r="B38">
            <v>57.599377558929241</v>
          </cell>
          <cell r="C38">
            <v>1751.9810674174312</v>
          </cell>
          <cell r="D38">
            <v>88171.413956999706</v>
          </cell>
        </row>
        <row r="39">
          <cell r="A39">
            <v>33</v>
          </cell>
          <cell r="B39">
            <v>56.866229941779373</v>
          </cell>
          <cell r="C39">
            <v>1729.6811607291227</v>
          </cell>
          <cell r="D39">
            <v>89901.095117728823</v>
          </cell>
        </row>
        <row r="40">
          <cell r="A40">
            <v>34</v>
          </cell>
          <cell r="B40">
            <v>56.163889809036739</v>
          </cell>
          <cell r="C40">
            <v>1708.3183150248676</v>
          </cell>
          <cell r="D40">
            <v>91609.413432753689</v>
          </cell>
        </row>
        <row r="41">
          <cell r="A41">
            <v>35</v>
          </cell>
          <cell r="B41">
            <v>55.490212113213488</v>
          </cell>
          <cell r="C41">
            <v>1687.8272851102436</v>
          </cell>
          <cell r="D41">
            <v>93297.240717863926</v>
          </cell>
        </row>
        <row r="42">
          <cell r="A42">
            <v>36</v>
          </cell>
          <cell r="B42">
            <v>54.843257065683815</v>
          </cell>
          <cell r="C42">
            <v>1668.1490690812161</v>
          </cell>
          <cell r="D42">
            <v>94965.389786945147</v>
          </cell>
        </row>
        <row r="43">
          <cell r="A43">
            <v>37</v>
          </cell>
          <cell r="B43">
            <v>54.221265437190631</v>
          </cell>
          <cell r="C43">
            <v>1649.2301570478817</v>
          </cell>
          <cell r="D43">
            <v>96614.619943993035</v>
          </cell>
        </row>
        <row r="44">
          <cell r="A44">
            <v>38</v>
          </cell>
          <cell r="B44">
            <v>53.622637406960614</v>
          </cell>
          <cell r="C44">
            <v>1631.021887795052</v>
          </cell>
          <cell r="D44">
            <v>98245.641831788089</v>
          </cell>
        </row>
        <row r="45">
          <cell r="A45">
            <v>39</v>
          </cell>
          <cell r="B45">
            <v>53.04591437205319</v>
          </cell>
          <cell r="C45">
            <v>1613.4798954832845</v>
          </cell>
          <cell r="D45">
            <v>99859.121727271369</v>
          </cell>
        </row>
        <row r="46">
          <cell r="A46">
            <v>40</v>
          </cell>
          <cell r="B46">
            <v>52.489763238489772</v>
          </cell>
          <cell r="C46">
            <v>1596.5636318373972</v>
          </cell>
          <cell r="D46">
            <v>101455.68535910877</v>
          </cell>
        </row>
        <row r="47">
          <cell r="A47">
            <v>41</v>
          </cell>
          <cell r="B47">
            <v>51.952962802900331</v>
          </cell>
          <cell r="C47">
            <v>1580.2359519215518</v>
          </cell>
          <cell r="D47">
            <v>103035.92131103032</v>
          </cell>
        </row>
        <row r="48">
          <cell r="A48">
            <v>42</v>
          </cell>
          <cell r="B48">
            <v>51.434391903013996</v>
          </cell>
          <cell r="C48">
            <v>1564.4627537166757</v>
          </cell>
          <cell r="D48">
            <v>104600.38406474701</v>
          </cell>
        </row>
        <row r="49">
          <cell r="A49">
            <v>43</v>
          </cell>
          <cell r="B49">
            <v>50.933019071192632</v>
          </cell>
          <cell r="C49">
            <v>1549.2126634154426</v>
          </cell>
          <cell r="D49">
            <v>106149.59672816245</v>
          </cell>
        </row>
        <row r="50">
          <cell r="A50">
            <v>44</v>
          </cell>
          <cell r="B50">
            <v>50.447893470317936</v>
          </cell>
          <cell r="C50">
            <v>1534.4567597221705</v>
          </cell>
          <cell r="D50">
            <v>107684.05348788462</v>
          </cell>
        </row>
        <row r="51">
          <cell r="A51">
            <v>45</v>
          </cell>
          <cell r="B51">
            <v>49.978136927959021</v>
          </cell>
          <cell r="C51">
            <v>1520.1683315587536</v>
          </cell>
          <cell r="D51">
            <v>109204.22181944338</v>
          </cell>
        </row>
        <row r="52">
          <cell r="A52">
            <v>46</v>
          </cell>
          <cell r="B52">
            <v>49.522936914620296</v>
          </cell>
          <cell r="C52">
            <v>1506.3226644863673</v>
          </cell>
          <cell r="D52">
            <v>110710.54448392974</v>
          </cell>
        </row>
        <row r="53">
          <cell r="A53">
            <v>47</v>
          </cell>
          <cell r="B53">
            <v>49.081540336358316</v>
          </cell>
          <cell r="C53">
            <v>1492.8968518975655</v>
          </cell>
          <cell r="D53">
            <v>112203.4413358273</v>
          </cell>
        </row>
        <row r="54">
          <cell r="A54">
            <v>48</v>
          </cell>
          <cell r="B54">
            <v>48.653248032224063</v>
          </cell>
          <cell r="C54">
            <v>1479.8696276468154</v>
          </cell>
          <cell r="D54">
            <v>113683.31096347411</v>
          </cell>
        </row>
        <row r="55">
          <cell r="A55">
            <v>49</v>
          </cell>
          <cell r="B55">
            <v>48.23740988366928</v>
          </cell>
          <cell r="C55">
            <v>1467.2212172949407</v>
          </cell>
          <cell r="D55">
            <v>115150.53218076905</v>
          </cell>
        </row>
        <row r="56">
          <cell r="A56">
            <v>50</v>
          </cell>
          <cell r="B56">
            <v>47.833420456912485</v>
          </cell>
          <cell r="C56">
            <v>1454.9332055644215</v>
          </cell>
          <cell r="D56">
            <v>116605.46538633347</v>
          </cell>
        </row>
        <row r="57">
          <cell r="A57">
            <v>51</v>
          </cell>
          <cell r="B57">
            <v>47.440715110817322</v>
          </cell>
          <cell r="C57">
            <v>1442.988417954027</v>
          </cell>
          <cell r="D57">
            <v>118048.45380428749</v>
          </cell>
        </row>
        <row r="58">
          <cell r="A58">
            <v>52</v>
          </cell>
          <cell r="B58">
            <v>47.058766512510793</v>
          </cell>
          <cell r="C58">
            <v>1431.3708147555367</v>
          </cell>
          <cell r="D58">
            <v>119479.82461904302</v>
          </cell>
        </row>
        <row r="59">
          <cell r="A59">
            <v>53</v>
          </cell>
          <cell r="B59">
            <v>46.687081511099564</v>
          </cell>
          <cell r="C59">
            <v>1420.0653959626118</v>
          </cell>
          <cell r="D59">
            <v>120899.89001500563</v>
          </cell>
        </row>
        <row r="60">
          <cell r="A60">
            <v>54</v>
          </cell>
          <cell r="B60">
            <v>46.325198326697745</v>
          </cell>
          <cell r="C60">
            <v>1409.0581157703898</v>
          </cell>
          <cell r="D60">
            <v>122308.94813077601</v>
          </cell>
        </row>
        <row r="61">
          <cell r="A61">
            <v>55</v>
          </cell>
          <cell r="B61">
            <v>45.972684017781383</v>
          </cell>
          <cell r="C61">
            <v>1398.3358055408505</v>
          </cell>
          <cell r="D61">
            <v>123707.28393631686</v>
          </cell>
        </row>
        <row r="62">
          <cell r="A62">
            <v>56</v>
          </cell>
          <cell r="B62">
            <v>45.629132194808591</v>
          </cell>
          <cell r="C62">
            <v>1387.8861042587614</v>
          </cell>
          <cell r="D62">
            <v>125095.17004057563</v>
          </cell>
        </row>
        <row r="63">
          <cell r="A63">
            <v>57</v>
          </cell>
          <cell r="B63">
            <v>45.29416095223808</v>
          </cell>
          <cell r="C63">
            <v>1377.6973956305751</v>
          </cell>
          <cell r="D63">
            <v>126472.8674362062</v>
          </cell>
        </row>
        <row r="64">
          <cell r="A64">
            <v>58</v>
          </cell>
          <cell r="B64">
            <v>44.967410994660838</v>
          </cell>
          <cell r="C64">
            <v>1367.7587510876006</v>
          </cell>
          <cell r="D64">
            <v>127840.6261872938</v>
          </cell>
        </row>
        <row r="65">
          <cell r="A65">
            <v>59</v>
          </cell>
          <cell r="B65">
            <v>44.648543935827298</v>
          </cell>
          <cell r="C65">
            <v>1358.0598780480805</v>
          </cell>
          <cell r="D65">
            <v>129198.68606534188</v>
          </cell>
        </row>
        <row r="66">
          <cell r="A66">
            <v>60</v>
          </cell>
          <cell r="B66">
            <v>44.337240751989029</v>
          </cell>
          <cell r="C66">
            <v>1348.5910728729996</v>
          </cell>
          <cell r="D66">
            <v>130547.27713821488</v>
          </cell>
        </row>
        <row r="67">
          <cell r="A67">
            <v>61</v>
          </cell>
          <cell r="B67">
            <v>44.033200373243048</v>
          </cell>
          <cell r="C67">
            <v>1339.343178019476</v>
          </cell>
          <cell r="D67">
            <v>131886.62031623436</v>
          </cell>
        </row>
        <row r="68">
          <cell r="A68">
            <v>62</v>
          </cell>
          <cell r="B68">
            <v>43.73613839852861</v>
          </cell>
          <cell r="C68">
            <v>1330.3075429552453</v>
          </cell>
          <cell r="D68">
            <v>133216.9278591896</v>
          </cell>
        </row>
        <row r="69">
          <cell r="A69">
            <v>63</v>
          </cell>
          <cell r="B69">
            <v>43.445785921622686</v>
          </cell>
          <cell r="C69">
            <v>1321.4759884493567</v>
          </cell>
          <cell r="D69">
            <v>134538.40384763895</v>
          </cell>
        </row>
        <row r="70">
          <cell r="A70">
            <v>64</v>
          </cell>
          <cell r="B70">
            <v>43.161888456954287</v>
          </cell>
          <cell r="C70">
            <v>1312.8407738990263</v>
          </cell>
          <cell r="D70">
            <v>135851.24462153798</v>
          </cell>
        </row>
        <row r="71">
          <cell r="A71">
            <v>65</v>
          </cell>
          <cell r="B71">
            <v>42.884204955338795</v>
          </cell>
          <cell r="C71">
            <v>1304.394567391555</v>
          </cell>
          <cell r="D71">
            <v>137155.63918892952</v>
          </cell>
        </row>
        <row r="72">
          <cell r="A72">
            <v>66</v>
          </cell>
          <cell r="B72">
            <v>42.612506900851024</v>
          </cell>
          <cell r="C72">
            <v>1296.1304182342187</v>
          </cell>
          <cell r="D72">
            <v>138451.76960716373</v>
          </cell>
        </row>
        <row r="73">
          <cell r="A73">
            <v>67</v>
          </cell>
          <cell r="B73">
            <v>42.346577481032071</v>
          </cell>
          <cell r="C73">
            <v>1288.0417317147255</v>
          </cell>
          <cell r="D73">
            <v>139739.81133887847</v>
          </cell>
        </row>
        <row r="74">
          <cell r="A74">
            <v>68</v>
          </cell>
          <cell r="B74">
            <v>42.086210823479924</v>
          </cell>
          <cell r="C74">
            <v>1280.1222458808477</v>
          </cell>
          <cell r="D74">
            <v>141019.9335847593</v>
          </cell>
        </row>
        <row r="75">
          <cell r="A75">
            <v>69</v>
          </cell>
          <cell r="B75">
            <v>41.831211292624211</v>
          </cell>
          <cell r="C75">
            <v>1272.3660101506532</v>
          </cell>
          <cell r="D75">
            <v>142292.29959490994</v>
          </cell>
        </row>
        <row r="76">
          <cell r="A76">
            <v>70</v>
          </cell>
          <cell r="B76">
            <v>41.581392841144748</v>
          </cell>
          <cell r="C76">
            <v>1264.7673655848196</v>
          </cell>
          <cell r="D76">
            <v>143557.06696049476</v>
          </cell>
        </row>
        <row r="77">
          <cell r="A77">
            <v>71</v>
          </cell>
          <cell r="B77">
            <v>41.336578411075351</v>
          </cell>
          <cell r="C77">
            <v>1257.3209266702086</v>
          </cell>
          <cell r="D77">
            <v>144814.38788716498</v>
          </cell>
        </row>
        <row r="78">
          <cell r="A78">
            <v>72</v>
          </cell>
          <cell r="B78">
            <v>41.096599380146493</v>
          </cell>
          <cell r="C78">
            <v>1250.0215644794559</v>
          </cell>
          <cell r="D78">
            <v>146064.40945164443</v>
          </cell>
        </row>
        <row r="79">
          <cell r="A79">
            <v>73</v>
          </cell>
          <cell r="B79">
            <v>40.861295049374426</v>
          </cell>
          <cell r="C79">
            <v>1242.8643910851388</v>
          </cell>
          <cell r="D79">
            <v>147307.27384272957</v>
          </cell>
        </row>
        <row r="80">
          <cell r="A80">
            <v>74</v>
          </cell>
          <cell r="B80">
            <v>40.630512168306097</v>
          </cell>
          <cell r="C80">
            <v>1235.8447451193106</v>
          </cell>
          <cell r="D80">
            <v>148543.11858784888</v>
          </cell>
        </row>
        <row r="81">
          <cell r="A81">
            <v>75</v>
          </cell>
          <cell r="B81">
            <v>40.404104494685576</v>
          </cell>
          <cell r="C81">
            <v>1228.9581783800197</v>
          </cell>
          <cell r="D81">
            <v>149772.07676622889</v>
          </cell>
        </row>
        <row r="82">
          <cell r="A82">
            <v>76</v>
          </cell>
          <cell r="B82">
            <v>40.181932385624272</v>
          </cell>
          <cell r="C82">
            <v>1222.2004433960717</v>
          </cell>
          <cell r="D82">
            <v>150994.27720962497</v>
          </cell>
        </row>
        <row r="83">
          <cell r="A83">
            <v>77</v>
          </cell>
          <cell r="B83">
            <v>39.963862417640144</v>
          </cell>
          <cell r="C83">
            <v>1215.5674818698878</v>
          </cell>
          <cell r="D83">
            <v>152209.84469149486</v>
          </cell>
        </row>
        <row r="84">
          <cell r="A84">
            <v>78</v>
          </cell>
          <cell r="B84">
            <v>39.749767033181648</v>
          </cell>
          <cell r="C84">
            <v>1209.0554139259418</v>
          </cell>
          <cell r="D84">
            <v>153418.90010542079</v>
          </cell>
        </row>
        <row r="85">
          <cell r="A85">
            <v>79</v>
          </cell>
          <cell r="B85">
            <v>39.53952421147725</v>
          </cell>
          <cell r="C85">
            <v>1202.6605280990998</v>
          </cell>
          <cell r="D85">
            <v>154621.5606335199</v>
          </cell>
        </row>
        <row r="86">
          <cell r="A86">
            <v>80</v>
          </cell>
          <cell r="B86">
            <v>39.333017161752664</v>
          </cell>
          <cell r="C86">
            <v>1196.3792720033102</v>
          </cell>
          <cell r="D86">
            <v>155817.93990552321</v>
          </cell>
        </row>
        <row r="87">
          <cell r="A87">
            <v>81</v>
          </cell>
          <cell r="B87">
            <v>39.130134037036903</v>
          </cell>
          <cell r="C87">
            <v>1190.2082436265391</v>
          </cell>
          <cell r="D87">
            <v>157008.14814914975</v>
          </cell>
        </row>
        <row r="88">
          <cell r="A88">
            <v>82</v>
          </cell>
          <cell r="B88">
            <v>38.930767666940824</v>
          </cell>
          <cell r="C88">
            <v>1184.1441832027833</v>
          </cell>
          <cell r="D88">
            <v>158192.29233235255</v>
          </cell>
        </row>
        <row r="89">
          <cell r="A89">
            <v>83</v>
          </cell>
          <cell r="B89">
            <v>38.734815307935719</v>
          </cell>
          <cell r="C89">
            <v>1178.1839656163781</v>
          </cell>
          <cell r="D89">
            <v>159370.47629796891</v>
          </cell>
        </row>
        <row r="90">
          <cell r="A90">
            <v>84</v>
          </cell>
          <cell r="B90">
            <v>38.542178409790999</v>
          </cell>
          <cell r="C90">
            <v>1172.3245932978095</v>
          </cell>
          <cell r="D90">
            <v>160542.80089126673</v>
          </cell>
        </row>
        <row r="91">
          <cell r="A91">
            <v>85</v>
          </cell>
          <cell r="B91">
            <v>38.352762396946538</v>
          </cell>
          <cell r="C91">
            <v>1166.5631895737906</v>
          </cell>
          <cell r="D91">
            <v>161709.36408084052</v>
          </cell>
        </row>
        <row r="92">
          <cell r="A92">
            <v>86</v>
          </cell>
          <cell r="B92">
            <v>38.16647646370172</v>
          </cell>
          <cell r="C92">
            <v>1160.896992437594</v>
          </cell>
          <cell r="D92">
            <v>162870.26107327812</v>
          </cell>
        </row>
        <row r="93">
          <cell r="A93">
            <v>87</v>
          </cell>
          <cell r="B93">
            <v>37.983233382198797</v>
          </cell>
          <cell r="C93">
            <v>1155.3233487085467</v>
          </cell>
          <cell r="D93">
            <v>164025.58442198666</v>
          </cell>
        </row>
        <row r="94">
          <cell r="A94">
            <v>88</v>
          </cell>
          <cell r="B94">
            <v>37.802949322264389</v>
          </cell>
          <cell r="C94">
            <v>1149.8397085522085</v>
          </cell>
          <cell r="D94">
            <v>165175.42413053886</v>
          </cell>
        </row>
        <row r="95">
          <cell r="A95">
            <v>89</v>
          </cell>
          <cell r="B95">
            <v>37.625543682251518</v>
          </cell>
          <cell r="C95">
            <v>1144.4436203351504</v>
          </cell>
          <cell r="D95">
            <v>166319.86775087399</v>
          </cell>
        </row>
        <row r="96">
          <cell r="A96">
            <v>90</v>
          </cell>
          <cell r="B96">
            <v>37.450938930095198</v>
          </cell>
          <cell r="C96">
            <v>1139.1327257903956</v>
          </cell>
          <cell r="D96">
            <v>167459.0004766644</v>
          </cell>
        </row>
        <row r="97">
          <cell r="A97">
            <v>91</v>
          </cell>
          <cell r="B97">
            <v>37.279060453859252</v>
          </cell>
          <cell r="C97">
            <v>1133.9047554715523</v>
          </cell>
          <cell r="D97">
            <v>168592.90523213596</v>
          </cell>
        </row>
        <row r="98">
          <cell r="A98">
            <v>92</v>
          </cell>
          <cell r="B98">
            <v>37.10983642111011</v>
          </cell>
          <cell r="C98">
            <v>1128.7575244754325</v>
          </cell>
          <cell r="D98">
            <v>169721.66275661139</v>
          </cell>
        </row>
        <row r="99">
          <cell r="A99">
            <v>93</v>
          </cell>
          <cell r="B99">
            <v>36.943197646506803</v>
          </cell>
          <cell r="C99">
            <v>1123.6889284145821</v>
          </cell>
          <cell r="D99">
            <v>170845.35168502596</v>
          </cell>
        </row>
        <row r="100">
          <cell r="A100">
            <v>94</v>
          </cell>
          <cell r="B100">
            <v>36.779077467044445</v>
          </cell>
          <cell r="C100">
            <v>1118.6969396226018</v>
          </cell>
          <cell r="D100">
            <v>171964.04862464857</v>
          </cell>
        </row>
        <row r="101">
          <cell r="A101">
            <v>95</v>
          </cell>
          <cell r="B101">
            <v>36.617411624432677</v>
          </cell>
          <cell r="C101">
            <v>1113.7796035764939</v>
          </cell>
          <cell r="D101">
            <v>173077.82822822506</v>
          </cell>
        </row>
        <row r="102">
          <cell r="A102">
            <v>96</v>
          </cell>
          <cell r="B102">
            <v>36.458138154130843</v>
          </cell>
          <cell r="C102">
            <v>1108.9350355214799</v>
          </cell>
          <cell r="D102">
            <v>174186.76326374654</v>
          </cell>
        </row>
        <row r="103">
          <cell r="A103">
            <v>97</v>
          </cell>
          <cell r="B103">
            <v>36.301197280598082</v>
          </cell>
          <cell r="C103">
            <v>1104.1614172848583</v>
          </cell>
          <cell r="D103">
            <v>175290.92468103141</v>
          </cell>
        </row>
        <row r="104">
          <cell r="A104">
            <v>98</v>
          </cell>
          <cell r="B104">
            <v>36.14653131835027</v>
          </cell>
          <cell r="C104">
            <v>1099.4569942664875</v>
          </cell>
          <cell r="D104">
            <v>176390.38167529789</v>
          </cell>
        </row>
        <row r="105">
          <cell r="A105">
            <v>99</v>
          </cell>
          <cell r="B105">
            <v>35.994084578446362</v>
          </cell>
          <cell r="C105">
            <v>1094.8200725944102</v>
          </cell>
          <cell r="D105">
            <v>177485.20174789231</v>
          </cell>
        </row>
        <row r="106">
          <cell r="A106">
            <v>100</v>
          </cell>
          <cell r="B106">
            <v>35.843803280054608</v>
          </cell>
          <cell r="C106">
            <v>1090.2490164349945</v>
          </cell>
          <cell r="D106">
            <v>178575.45076432731</v>
          </cell>
        </row>
        <row r="107">
          <cell r="A107">
            <v>101</v>
          </cell>
          <cell r="B107">
            <v>35.695635466775215</v>
          </cell>
          <cell r="C107">
            <v>1085.7422454477462</v>
          </cell>
          <cell r="D107">
            <v>179661.19300977504</v>
          </cell>
        </row>
        <row r="108">
          <cell r="A108">
            <v>102</v>
          </cell>
          <cell r="B108">
            <v>35.549530927419077</v>
          </cell>
          <cell r="C108">
            <v>1081.2982323756637</v>
          </cell>
          <cell r="D108">
            <v>180742.49124215072</v>
          </cell>
        </row>
        <row r="109">
          <cell r="A109">
            <v>103</v>
          </cell>
          <cell r="B109">
            <v>35.405441120964475</v>
          </cell>
          <cell r="C109">
            <v>1076.9155007626696</v>
          </cell>
          <cell r="D109">
            <v>181819.40674291339</v>
          </cell>
        </row>
        <row r="110">
          <cell r="A110">
            <v>104</v>
          </cell>
          <cell r="B110">
            <v>35.263319105433148</v>
          </cell>
          <cell r="C110">
            <v>1072.5926227902582</v>
          </cell>
          <cell r="D110">
            <v>182891.99936570364</v>
          </cell>
        </row>
        <row r="111">
          <cell r="A111">
            <v>105</v>
          </cell>
          <cell r="B111">
            <v>35.123119470445374</v>
          </cell>
          <cell r="C111">
            <v>1068.3282172260469</v>
          </cell>
          <cell r="D111">
            <v>183960.32758292969</v>
          </cell>
        </row>
        <row r="112">
          <cell r="A112">
            <v>106</v>
          </cell>
          <cell r="B112">
            <v>34.984798273231078</v>
          </cell>
          <cell r="C112">
            <v>1064.1209474774453</v>
          </cell>
          <cell r="D112">
            <v>185024.44853040713</v>
          </cell>
        </row>
        <row r="113">
          <cell r="A113">
            <v>107</v>
          </cell>
          <cell r="B113">
            <v>34.848312977888888</v>
          </cell>
          <cell r="C113">
            <v>1059.9695197441204</v>
          </cell>
          <cell r="D113">
            <v>186084.41805015126</v>
          </cell>
        </row>
        <row r="114">
          <cell r="A114">
            <v>108</v>
          </cell>
          <cell r="B114">
            <v>34.713622397699801</v>
          </cell>
          <cell r="C114">
            <v>1055.872681263369</v>
          </cell>
          <cell r="D114">
            <v>187140.29073141463</v>
          </cell>
        </row>
        <row r="115">
          <cell r="A115">
            <v>109</v>
          </cell>
          <cell r="B115">
            <v>34.580686640315051</v>
          </cell>
          <cell r="C115">
            <v>1051.8292186429162</v>
          </cell>
          <cell r="D115">
            <v>188192.11995005753</v>
          </cell>
        </row>
        <row r="116">
          <cell r="A116">
            <v>110</v>
          </cell>
          <cell r="B116">
            <v>34.449467055650111</v>
          </cell>
          <cell r="C116">
            <v>1047.8379562760242</v>
          </cell>
          <cell r="D116">
            <v>189239.95790633356</v>
          </cell>
        </row>
        <row r="117">
          <cell r="A117">
            <v>111</v>
          </cell>
          <cell r="B117">
            <v>34.319926186328118</v>
          </cell>
          <cell r="C117">
            <v>1043.897754834147</v>
          </cell>
          <cell r="D117">
            <v>190283.8556611677</v>
          </cell>
        </row>
        <row r="118">
          <cell r="A118">
            <v>112</v>
          </cell>
          <cell r="B118">
            <v>34.192027720525978</v>
          </cell>
          <cell r="C118">
            <v>1040.0075098326652</v>
          </cell>
          <cell r="D118">
            <v>191323.86317100038</v>
          </cell>
        </row>
        <row r="119">
          <cell r="A119">
            <v>113</v>
          </cell>
          <cell r="B119">
            <v>34.065736447086728</v>
          </cell>
          <cell r="C119">
            <v>1036.1661502655547</v>
          </cell>
          <cell r="D119">
            <v>192360.02932126593</v>
          </cell>
        </row>
        <row r="120">
          <cell r="A120">
            <v>114</v>
          </cell>
          <cell r="B120">
            <v>33.941018212770032</v>
          </cell>
          <cell r="C120">
            <v>1032.3726373050886</v>
          </cell>
          <cell r="D120">
            <v>193392.40195857102</v>
          </cell>
        </row>
        <row r="121">
          <cell r="A121">
            <v>115</v>
          </cell>
          <cell r="B121">
            <v>33.817839881521202</v>
          </cell>
          <cell r="C121">
            <v>1028.6259630629365</v>
          </cell>
          <cell r="D121">
            <v>194421.02792163397</v>
          </cell>
        </row>
        <row r="122">
          <cell r="A122">
            <v>116</v>
          </cell>
          <cell r="B122">
            <v>33.696169295647003</v>
          </cell>
          <cell r="C122">
            <v>1024.925149409263</v>
          </cell>
          <cell r="D122">
            <v>195445.95307104324</v>
          </cell>
        </row>
        <row r="123">
          <cell r="A123">
            <v>117</v>
          </cell>
          <cell r="B123">
            <v>33.575975238793227</v>
          </cell>
          <cell r="C123">
            <v>1021.2692468466273</v>
          </cell>
          <cell r="D123">
            <v>196467.22231788989</v>
          </cell>
        </row>
        <row r="124">
          <cell r="A124">
            <v>118</v>
          </cell>
          <cell r="B124">
            <v>33.457227400625833</v>
          </cell>
          <cell r="C124">
            <v>1017.6573334357024</v>
          </cell>
          <cell r="D124">
            <v>197484.87965132558</v>
          </cell>
        </row>
        <row r="125">
          <cell r="A125">
            <v>119</v>
          </cell>
          <cell r="B125">
            <v>33.339896343123769</v>
          </cell>
          <cell r="C125">
            <v>1014.0885137700146</v>
          </cell>
          <cell r="D125">
            <v>198498.9681650956</v>
          </cell>
        </row>
        <row r="126">
          <cell r="A126">
            <v>120</v>
          </cell>
          <cell r="B126">
            <v>33.223953468396701</v>
          </cell>
          <cell r="C126">
            <v>1010.5619179970663</v>
          </cell>
          <cell r="D126">
            <v>199509.53008309266</v>
          </cell>
        </row>
        <row r="127">
          <cell r="A127">
            <v>121</v>
          </cell>
          <cell r="B127">
            <v>33.109370987947074</v>
          </cell>
          <cell r="C127">
            <v>1007.0767008833902</v>
          </cell>
          <cell r="D127">
            <v>200516.60678397605</v>
          </cell>
        </row>
        <row r="128">
          <cell r="A128">
            <v>122</v>
          </cell>
          <cell r="B128">
            <v>32.996121893299936</v>
          </cell>
          <cell r="C128">
            <v>1003.6320409212065</v>
          </cell>
          <cell r="D128">
            <v>201520.23882489727</v>
          </cell>
        </row>
        <row r="129">
          <cell r="A129">
            <v>123</v>
          </cell>
          <cell r="B129">
            <v>32.884179927929281</v>
          </cell>
          <cell r="C129">
            <v>1000.2271394745156</v>
          </cell>
          <cell r="D129">
            <v>202520.46596437178</v>
          </cell>
        </row>
        <row r="130">
          <cell r="A130">
            <v>124</v>
          </cell>
          <cell r="B130">
            <v>32.773519560413455</v>
          </cell>
          <cell r="C130">
            <v>996.861219962576</v>
          </cell>
          <cell r="D130">
            <v>203517.32718433434</v>
          </cell>
        </row>
        <row r="131">
          <cell r="A131">
            <v>125</v>
          </cell>
          <cell r="B131">
            <v>32.664115958756632</v>
          </cell>
          <cell r="C131">
            <v>993.53352707884756</v>
          </cell>
          <cell r="D131">
            <v>204510.86071141317</v>
          </cell>
        </row>
        <row r="132">
          <cell r="A132">
            <v>126</v>
          </cell>
          <cell r="B132">
            <v>32.555944965816622</v>
          </cell>
          <cell r="C132">
            <v>990.24332604358892</v>
          </cell>
          <cell r="D132">
            <v>205501.10403745677</v>
          </cell>
        </row>
        <row r="133">
          <cell r="A133">
            <v>127</v>
          </cell>
          <cell r="B133">
            <v>32.448983075783019</v>
          </cell>
          <cell r="C133">
            <v>986.98990188840025</v>
          </cell>
          <cell r="D133">
            <v>206488.09393934516</v>
          </cell>
        </row>
        <row r="134">
          <cell r="A134">
            <v>128</v>
          </cell>
          <cell r="B134">
            <v>32.343207411653061</v>
          </cell>
          <cell r="C134">
            <v>983.77255877111395</v>
          </cell>
          <cell r="D134">
            <v>207471.86649811626</v>
          </cell>
        </row>
        <row r="135">
          <cell r="A135">
            <v>129</v>
          </cell>
          <cell r="B135">
            <v>32.238595703655406</v>
          </cell>
          <cell r="C135">
            <v>980.59061931951862</v>
          </cell>
          <cell r="D135">
            <v>208452.45711743578</v>
          </cell>
        </row>
        <row r="136">
          <cell r="A136">
            <v>130</v>
          </cell>
          <cell r="B136">
            <v>32.135126268574695</v>
          </cell>
          <cell r="C136">
            <v>977.44342400248036</v>
          </cell>
          <cell r="D136">
            <v>209429.90054143826</v>
          </cell>
        </row>
        <row r="137">
          <cell r="A137">
            <v>131</v>
          </cell>
          <cell r="B137">
            <v>32.032777989933102</v>
          </cell>
          <cell r="C137">
            <v>974.33033052713188</v>
          </cell>
          <cell r="D137">
            <v>210404.23087196538</v>
          </cell>
        </row>
        <row r="138">
          <cell r="A138">
            <v>132</v>
          </cell>
          <cell r="B138">
            <v>31.931530298986754</v>
          </cell>
          <cell r="C138">
            <v>971.25071326084719</v>
          </cell>
          <cell r="D138">
            <v>211375.48158522623</v>
          </cell>
        </row>
        <row r="139">
          <cell r="A139">
            <v>133</v>
          </cell>
          <cell r="B139">
            <v>31.831363156497865</v>
          </cell>
          <cell r="C139">
            <v>968.20396267681008</v>
          </cell>
          <cell r="D139">
            <v>212343.68554790303</v>
          </cell>
        </row>
        <row r="140">
          <cell r="A140">
            <v>134</v>
          </cell>
          <cell r="B140">
            <v>31.732257035245237</v>
          </cell>
          <cell r="C140">
            <v>965.18948482204269</v>
          </cell>
          <cell r="D140">
            <v>213308.87503272507</v>
          </cell>
        </row>
        <row r="141">
          <cell r="A141">
            <v>135</v>
          </cell>
          <cell r="B141">
            <v>31.634192903237867</v>
          </cell>
          <cell r="C141">
            <v>962.2067008068185</v>
          </cell>
          <cell r="D141">
            <v>214271.0817335319</v>
          </cell>
        </row>
        <row r="142">
          <cell r="A142">
            <v>136</v>
          </cell>
          <cell r="B142">
            <v>31.537152207598815</v>
          </cell>
          <cell r="C142">
            <v>959.25504631446404</v>
          </cell>
          <cell r="D142">
            <v>215230.33677984637</v>
          </cell>
        </row>
        <row r="143">
          <cell r="A143">
            <v>137</v>
          </cell>
          <cell r="B143">
            <v>31.441116859087256</v>
          </cell>
          <cell r="C143">
            <v>956.33397113057072</v>
          </cell>
          <cell r="D143">
            <v>216186.67075097695</v>
          </cell>
        </row>
        <row r="144">
          <cell r="A144">
            <v>138</v>
          </cell>
          <cell r="B144">
            <v>31.34606921722952</v>
          </cell>
          <cell r="C144">
            <v>953.44293869073124</v>
          </cell>
          <cell r="D144">
            <v>217140.11368966769</v>
          </cell>
        </row>
        <row r="145">
          <cell r="A145">
            <v>139</v>
          </cell>
          <cell r="B145">
            <v>31.251992076030781</v>
          </cell>
          <cell r="C145">
            <v>950.58142564593629</v>
          </cell>
          <cell r="D145">
            <v>218090.69511531363</v>
          </cell>
        </row>
        <row r="146">
          <cell r="A146">
            <v>140</v>
          </cell>
          <cell r="B146">
            <v>31.158868650240521</v>
          </cell>
          <cell r="C146">
            <v>947.74892144481589</v>
          </cell>
          <cell r="D146">
            <v>219038.44403675845</v>
          </cell>
        </row>
        <row r="147">
          <cell r="A147">
            <v>141</v>
          </cell>
          <cell r="B147">
            <v>31.066682562146806</v>
          </cell>
          <cell r="C147">
            <v>944.94492793196537</v>
          </cell>
          <cell r="D147">
            <v>219983.38896469041</v>
          </cell>
        </row>
        <row r="148">
          <cell r="A148">
            <v>142</v>
          </cell>
          <cell r="B148">
            <v>30.975417828875344</v>
          </cell>
          <cell r="C148">
            <v>942.16895896162509</v>
          </cell>
          <cell r="D148">
            <v>220925.55792365203</v>
          </cell>
        </row>
        <row r="149">
          <cell r="A149">
            <v>143</v>
          </cell>
          <cell r="B149">
            <v>30.885058850170484</v>
          </cell>
          <cell r="C149">
            <v>939.4205400260189</v>
          </cell>
          <cell r="D149">
            <v>221864.97846367804</v>
          </cell>
        </row>
        <row r="150">
          <cell r="A150">
            <v>144</v>
          </cell>
          <cell r="B150">
            <v>30.795590396636815</v>
          </cell>
          <cell r="C150">
            <v>936.6992078977031</v>
          </cell>
          <cell r="D150">
            <v>222801.67767157574</v>
          </cell>
        </row>
        <row r="151">
          <cell r="A151">
            <v>145</v>
          </cell>
          <cell r="B151">
            <v>30.706997598420919</v>
          </cell>
          <cell r="C151">
            <v>934.00451028530301</v>
          </cell>
          <cell r="D151">
            <v>223735.68218186105</v>
          </cell>
        </row>
        <row r="152">
          <cell r="A152">
            <v>146</v>
          </cell>
          <cell r="B152">
            <v>30.619265934313741</v>
          </cell>
          <cell r="C152">
            <v>931.33600550204301</v>
          </cell>
          <cell r="D152">
            <v>224667.01818736308</v>
          </cell>
        </row>
        <row r="153">
          <cell r="A153">
            <v>147</v>
          </cell>
          <cell r="B153">
            <v>30.532381221255406</v>
          </cell>
          <cell r="C153">
            <v>928.69326214651869</v>
          </cell>
          <cell r="D153">
            <v>225595.7114495096</v>
          </cell>
        </row>
        <row r="154">
          <cell r="A154">
            <v>148</v>
          </cell>
          <cell r="B154">
            <v>30.446329604224857</v>
          </cell>
          <cell r="C154">
            <v>926.07585879517273</v>
          </cell>
          <cell r="D154">
            <v>226521.78730830477</v>
          </cell>
        </row>
        <row r="155">
          <cell r="A155">
            <v>149</v>
          </cell>
          <cell r="B155">
            <v>30.361097546497671</v>
          </cell>
          <cell r="C155">
            <v>923.48338370597082</v>
          </cell>
          <cell r="D155">
            <v>227445.27069201076</v>
          </cell>
        </row>
        <row r="156">
          <cell r="A156">
            <v>150</v>
          </cell>
          <cell r="B156">
            <v>30.276671820256439</v>
          </cell>
          <cell r="C156">
            <v>920.91543453280008</v>
          </cell>
          <cell r="D156">
            <v>228366.18612654356</v>
          </cell>
        </row>
        <row r="157">
          <cell r="A157">
            <v>151</v>
          </cell>
          <cell r="B157">
            <v>30.193039497538564</v>
          </cell>
          <cell r="C157">
            <v>918.37161805013136</v>
          </cell>
          <cell r="D157">
            <v>229284.55774459368</v>
          </cell>
        </row>
        <row r="158">
          <cell r="A158">
            <v>152</v>
          </cell>
          <cell r="B158">
            <v>30.110187941507231</v>
          </cell>
          <cell r="C158">
            <v>915.85154988751162</v>
          </cell>
          <cell r="D158">
            <v>230200.40929448119</v>
          </cell>
        </row>
        <row r="159">
          <cell r="A159">
            <v>153</v>
          </cell>
          <cell r="B159">
            <v>30.028104798032018</v>
          </cell>
          <cell r="C159">
            <v>913.35485427347396</v>
          </cell>
          <cell r="D159">
            <v>231113.76414875465</v>
          </cell>
        </row>
        <row r="160">
          <cell r="A160">
            <v>154</v>
          </cell>
          <cell r="B160">
            <v>29.946777987566108</v>
          </cell>
          <cell r="C160">
            <v>910.88116378846917</v>
          </cell>
          <cell r="D160">
            <v>232024.64531254311</v>
          </cell>
        </row>
        <row r="161">
          <cell r="A161">
            <v>155</v>
          </cell>
          <cell r="B161">
            <v>29.866195697308068</v>
          </cell>
          <cell r="C161">
            <v>908.43011912645375</v>
          </cell>
          <cell r="D161">
            <v>232933.07543166957</v>
          </cell>
        </row>
        <row r="162">
          <cell r="A162">
            <v>156</v>
          </cell>
          <cell r="B162">
            <v>29.786346373636036</v>
          </cell>
          <cell r="C162">
            <v>906.00136886476275</v>
          </cell>
          <cell r="D162">
            <v>233839.07680053433</v>
          </cell>
        </row>
        <row r="163">
          <cell r="A163">
            <v>157</v>
          </cell>
          <cell r="B163">
            <v>29.707218714803602</v>
          </cell>
          <cell r="C163">
            <v>903.59456924194296</v>
          </cell>
          <cell r="D163">
            <v>234742.67136977628</v>
          </cell>
        </row>
        <row r="164">
          <cell r="A164">
            <v>158</v>
          </cell>
          <cell r="B164">
            <v>29.628801663886421</v>
          </cell>
          <cell r="C164">
            <v>901.20938394321195</v>
          </cell>
          <cell r="D164">
            <v>235643.88075371948</v>
          </cell>
        </row>
        <row r="165">
          <cell r="A165">
            <v>159</v>
          </cell>
          <cell r="B165">
            <v>29.551084401969675</v>
          </cell>
          <cell r="C165">
            <v>898.84548389324436</v>
          </cell>
          <cell r="D165">
            <v>236542.72623761272</v>
          </cell>
        </row>
        <row r="166">
          <cell r="A166">
            <v>160</v>
          </cell>
          <cell r="B166">
            <v>29.474056341566428</v>
          </cell>
          <cell r="C166">
            <v>896.50254705597888</v>
          </cell>
          <cell r="D166">
            <v>237439.2287846687</v>
          </cell>
        </row>
        <row r="167">
          <cell r="A167">
            <v>161</v>
          </cell>
          <cell r="B167">
            <v>29.397707120257873</v>
          </cell>
          <cell r="C167">
            <v>894.18025824117706</v>
          </cell>
          <cell r="D167">
            <v>238333.40904290989</v>
          </cell>
        </row>
        <row r="168">
          <cell r="A168">
            <v>162</v>
          </cell>
          <cell r="B168">
            <v>29.322026594546674</v>
          </cell>
          <cell r="C168">
            <v>891.87830891746137</v>
          </cell>
          <cell r="D168">
            <v>239225.28735182734</v>
          </cell>
        </row>
        <row r="169">
          <cell r="A169">
            <v>163</v>
          </cell>
          <cell r="B169">
            <v>29.247004833914691</v>
          </cell>
          <cell r="C169">
            <v>889.59639703157188</v>
          </cell>
          <cell r="D169">
            <v>240114.88374885891</v>
          </cell>
        </row>
        <row r="170">
          <cell r="A170">
            <v>164</v>
          </cell>
          <cell r="B170">
            <v>29.172632115077651</v>
          </cell>
          <cell r="C170">
            <v>887.33422683361187</v>
          </cell>
          <cell r="D170">
            <v>241002.2179756925</v>
          </cell>
        </row>
        <row r="171">
          <cell r="A171">
            <v>165</v>
          </cell>
          <cell r="B171">
            <v>29.098898916428411</v>
          </cell>
          <cell r="C171">
            <v>885.09150870803091</v>
          </cell>
          <cell r="D171">
            <v>241887.30948440052</v>
          </cell>
        </row>
        <row r="172">
          <cell r="A172">
            <v>166</v>
          </cell>
          <cell r="B172">
            <v>29.025795912662058</v>
          </cell>
          <cell r="C172">
            <v>882.86795901013761</v>
          </cell>
          <cell r="D172">
            <v>242770.17744341065</v>
          </cell>
        </row>
        <row r="173">
          <cell r="A173">
            <v>167</v>
          </cell>
          <cell r="B173">
            <v>28.953313969575582</v>
          </cell>
          <cell r="C173">
            <v>880.66329990792394</v>
          </cell>
          <cell r="D173">
            <v>243650.84074331858</v>
          </cell>
        </row>
        <row r="174">
          <cell r="A174">
            <v>168</v>
          </cell>
          <cell r="B174">
            <v>28.881444139035519</v>
          </cell>
          <cell r="C174">
            <v>878.47725922899713</v>
          </cell>
          <cell r="D174">
            <v>244529.31800254757</v>
          </cell>
        </row>
        <row r="175">
          <cell r="A175">
            <v>169</v>
          </cell>
          <cell r="B175">
            <v>28.810177654107079</v>
          </cell>
          <cell r="C175">
            <v>876.30957031242372</v>
          </cell>
          <cell r="D175">
            <v>245405.62757285999</v>
          </cell>
        </row>
        <row r="176">
          <cell r="A176">
            <v>170</v>
          </cell>
          <cell r="B176">
            <v>28.739505924338854</v>
          </cell>
          <cell r="C176">
            <v>874.15997186530683</v>
          </cell>
          <cell r="D176">
            <v>246279.78754472529</v>
          </cell>
        </row>
        <row r="177">
          <cell r="A177">
            <v>171</v>
          </cell>
          <cell r="B177">
            <v>28.669420531197012</v>
          </cell>
          <cell r="C177">
            <v>872.02820782390916</v>
          </cell>
          <cell r="D177">
            <v>247151.81575254918</v>
          </cell>
        </row>
        <row r="178">
          <cell r="A178">
            <v>172</v>
          </cell>
          <cell r="B178">
            <v>28.599913223643664</v>
          </cell>
          <cell r="C178">
            <v>869.91402721916154</v>
          </cell>
          <cell r="D178">
            <v>248021.72977976836</v>
          </cell>
        </row>
        <row r="179">
          <cell r="A179">
            <v>173</v>
          </cell>
          <cell r="B179">
            <v>28.530975913853705</v>
          </cell>
          <cell r="C179">
            <v>867.81718404638355</v>
          </cell>
          <cell r="D179">
            <v>248889.54696381473</v>
          </cell>
        </row>
        <row r="180">
          <cell r="A180">
            <v>174</v>
          </cell>
          <cell r="B180">
            <v>28.462600673065388</v>
          </cell>
          <cell r="C180">
            <v>865.73743713907231</v>
          </cell>
          <cell r="D180">
            <v>249755.28440095379</v>
          </cell>
        </row>
        <row r="181">
          <cell r="A181">
            <v>175</v>
          </cell>
          <cell r="B181">
            <v>28.394779727559428</v>
          </cell>
          <cell r="C181">
            <v>863.67455004659928</v>
          </cell>
          <cell r="D181">
            <v>250618.95895100039</v>
          </cell>
        </row>
        <row r="182">
          <cell r="A182">
            <v>176</v>
          </cell>
          <cell r="B182">
            <v>28.327505454762129</v>
          </cell>
          <cell r="C182">
            <v>861.62829091568142</v>
          </cell>
          <cell r="D182">
            <v>251480.58724191607</v>
          </cell>
        </row>
        <row r="183">
          <cell r="A183">
            <v>177</v>
          </cell>
          <cell r="B183">
            <v>28.26077037946785</v>
          </cell>
          <cell r="C183">
            <v>859.59843237548046</v>
          </cell>
          <cell r="D183">
            <v>252340.18567429154</v>
          </cell>
        </row>
        <row r="184">
          <cell r="A184">
            <v>178</v>
          </cell>
          <cell r="B184">
            <v>28.194567170176747</v>
          </cell>
          <cell r="C184">
            <v>857.58475142620944</v>
          </cell>
          <cell r="D184">
            <v>253197.77042571775</v>
          </cell>
        </row>
        <row r="185">
          <cell r="A185">
            <v>179</v>
          </cell>
          <cell r="B185">
            <v>28.128888635543369</v>
          </cell>
          <cell r="C185">
            <v>855.58702933111078</v>
          </cell>
          <cell r="D185">
            <v>254053.35745504886</v>
          </cell>
        </row>
        <row r="186">
          <cell r="A186">
            <v>180</v>
          </cell>
          <cell r="B186">
            <v>28.063727720932427</v>
          </cell>
          <cell r="C186">
            <v>853.60505151169468</v>
          </cell>
          <cell r="D186">
            <v>254906.96250656055</v>
          </cell>
        </row>
        <row r="187">
          <cell r="A187">
            <v>181</v>
          </cell>
          <cell r="B187">
            <v>27.999077505077693</v>
          </cell>
          <cell r="C187">
            <v>851.63860744611316</v>
          </cell>
          <cell r="D187">
            <v>255758.60111400665</v>
          </cell>
        </row>
        <row r="188">
          <cell r="A188">
            <v>182</v>
          </cell>
          <cell r="B188">
            <v>27.934931196840523</v>
          </cell>
          <cell r="C188">
            <v>849.68749057056596</v>
          </cell>
          <cell r="D188">
            <v>256608.28860457722</v>
          </cell>
        </row>
        <row r="189">
          <cell r="A189">
            <v>183</v>
          </cell>
          <cell r="B189">
            <v>27.87128213206449</v>
          </cell>
          <cell r="C189">
            <v>847.75149818362831</v>
          </cell>
          <cell r="D189">
            <v>257456.04010276083</v>
          </cell>
        </row>
        <row r="190">
          <cell r="A190">
            <v>184</v>
          </cell>
          <cell r="B190">
            <v>27.808123770522734</v>
          </cell>
          <cell r="C190">
            <v>845.83043135339983</v>
          </cell>
          <cell r="D190">
            <v>258301.87053411422</v>
          </cell>
        </row>
        <row r="191">
          <cell r="A191">
            <v>185</v>
          </cell>
          <cell r="B191">
            <v>27.745449692954871</v>
          </cell>
          <cell r="C191">
            <v>843.92409482737742</v>
          </cell>
          <cell r="D191">
            <v>259145.7946289416</v>
          </cell>
        </row>
        <row r="192">
          <cell r="A192">
            <v>186</v>
          </cell>
          <cell r="B192">
            <v>27.683253598190188</v>
          </cell>
          <cell r="C192">
            <v>842.03229694495155</v>
          </cell>
          <cell r="D192">
            <v>259987.82692588656</v>
          </cell>
        </row>
        <row r="193">
          <cell r="A193">
            <v>187</v>
          </cell>
          <cell r="B193">
            <v>27.621529300354531</v>
          </cell>
          <cell r="C193">
            <v>840.1548495524504</v>
          </cell>
          <cell r="D193">
            <v>260827.98177543902</v>
          </cell>
        </row>
        <row r="194">
          <cell r="A194">
            <v>188</v>
          </cell>
          <cell r="B194">
            <v>27.560270726157547</v>
          </cell>
          <cell r="C194">
            <v>838.29156792062543</v>
          </cell>
          <cell r="D194">
            <v>261666.27334335964</v>
          </cell>
        </row>
        <row r="195">
          <cell r="A195">
            <v>189</v>
          </cell>
          <cell r="B195">
            <v>27.499471912257896</v>
          </cell>
          <cell r="C195">
            <v>836.44227066451106</v>
          </cell>
          <cell r="D195">
            <v>262502.71561402414</v>
          </cell>
        </row>
        <row r="196">
          <cell r="A196">
            <v>190</v>
          </cell>
          <cell r="B196">
            <v>27.439127002703756</v>
          </cell>
          <cell r="C196">
            <v>834.60677966557262</v>
          </cell>
          <cell r="D196">
            <v>263337.32239368971</v>
          </cell>
        </row>
        <row r="197">
          <cell r="A197">
            <v>191</v>
          </cell>
          <cell r="B197">
            <v>27.379230246445868</v>
          </cell>
          <cell r="C197">
            <v>832.78491999606183</v>
          </cell>
          <cell r="D197">
            <v>264170.10731368576</v>
          </cell>
        </row>
        <row r="198">
          <cell r="A198">
            <v>192</v>
          </cell>
          <cell r="B198">
            <v>27.31977599492096</v>
          </cell>
          <cell r="C198">
            <v>830.9765198455126</v>
          </cell>
          <cell r="D198">
            <v>265001.08383353124</v>
          </cell>
        </row>
        <row r="199">
          <cell r="A199">
            <v>193</v>
          </cell>
          <cell r="B199">
            <v>27.260758699703075</v>
          </cell>
          <cell r="C199">
            <v>829.18141044930189</v>
          </cell>
          <cell r="D199">
            <v>265830.26524398057</v>
          </cell>
        </row>
        <row r="200">
          <cell r="A200">
            <v>194</v>
          </cell>
          <cell r="B200">
            <v>27.20217291022049</v>
          </cell>
          <cell r="C200">
            <v>827.39942601920666</v>
          </cell>
          <cell r="D200">
            <v>266657.66466999979</v>
          </cell>
        </row>
        <row r="201">
          <cell r="A201">
            <v>195</v>
          </cell>
          <cell r="B201">
            <v>27.14401327153627</v>
          </cell>
          <cell r="C201">
            <v>825.63040367589497</v>
          </cell>
          <cell r="D201">
            <v>267483.29507367569</v>
          </cell>
        </row>
        <row r="202">
          <cell r="A202">
            <v>196</v>
          </cell>
          <cell r="B202">
            <v>27.086274522190212</v>
          </cell>
          <cell r="C202">
            <v>823.87418338328564</v>
          </cell>
          <cell r="D202">
            <v>268307.16925705899</v>
          </cell>
        </row>
        <row r="203">
          <cell r="A203">
            <v>197</v>
          </cell>
          <cell r="B203">
            <v>27.028951492100052</v>
          </cell>
          <cell r="C203">
            <v>822.13060788471</v>
          </cell>
          <cell r="D203">
            <v>269129.29986494372</v>
          </cell>
        </row>
        <row r="204">
          <cell r="A204">
            <v>198</v>
          </cell>
          <cell r="B204">
            <v>26.972039100520465</v>
          </cell>
          <cell r="C204">
            <v>820.39952264083081</v>
          </cell>
          <cell r="D204">
            <v>269949.69938758458</v>
          </cell>
        </row>
        <row r="205">
          <cell r="A205">
            <v>199</v>
          </cell>
          <cell r="B205">
            <v>26.915532354057405</v>
          </cell>
          <cell r="C205">
            <v>818.68077576924611</v>
          </cell>
          <cell r="D205">
            <v>270768.38016335381</v>
          </cell>
        </row>
        <row r="206">
          <cell r="A206">
            <v>200</v>
          </cell>
          <cell r="B206">
            <v>26.859426344736523</v>
          </cell>
          <cell r="C206">
            <v>816.97421798573589</v>
          </cell>
          <cell r="D206">
            <v>271585.35438133957</v>
          </cell>
        </row>
        <row r="207">
          <cell r="A207">
            <v>201</v>
          </cell>
          <cell r="B207">
            <v>26.803716248123528</v>
          </cell>
          <cell r="C207">
            <v>815.27970254709066</v>
          </cell>
          <cell r="D207">
            <v>272400.63408388663</v>
          </cell>
        </row>
        <row r="208">
          <cell r="A208">
            <v>202</v>
          </cell>
          <cell r="B208">
            <v>26.748397321495187</v>
          </cell>
          <cell r="C208">
            <v>813.5970851954786</v>
          </cell>
          <cell r="D208">
            <v>273214.23116908211</v>
          </cell>
        </row>
        <row r="209">
          <cell r="A209">
            <v>203</v>
          </cell>
          <cell r="B209">
            <v>26.693464902059091</v>
          </cell>
          <cell r="C209">
            <v>811.92622410429738</v>
          </cell>
          <cell r="D209">
            <v>274026.15739318641</v>
          </cell>
        </row>
        <row r="210">
          <cell r="A210">
            <v>204</v>
          </cell>
          <cell r="B210">
            <v>26.638914405220739</v>
          </cell>
          <cell r="C210">
            <v>810.2669798254642</v>
          </cell>
          <cell r="D210">
            <v>274836.42437301186</v>
          </cell>
        </row>
        <row r="211">
          <cell r="A211">
            <v>205</v>
          </cell>
          <cell r="B211">
            <v>26.584741322896594</v>
          </cell>
          <cell r="C211">
            <v>808.61921523810474</v>
          </cell>
          <cell r="D211">
            <v>275645.04358824994</v>
          </cell>
        </row>
        <row r="212">
          <cell r="A212">
            <v>206</v>
          </cell>
          <cell r="B212">
            <v>26.530941221871419</v>
          </cell>
          <cell r="C212">
            <v>806.98279549858898</v>
          </cell>
          <cell r="D212">
            <v>276452.02638374851</v>
          </cell>
        </row>
        <row r="213">
          <cell r="A213">
            <v>207</v>
          </cell>
          <cell r="B213">
            <v>26.477509742198738</v>
          </cell>
          <cell r="C213">
            <v>805.35758799187829</v>
          </cell>
          <cell r="D213">
            <v>277257.38397174038</v>
          </cell>
        </row>
        <row r="214">
          <cell r="A214">
            <v>208</v>
          </cell>
          <cell r="B214">
            <v>26.424442595642951</v>
          </cell>
          <cell r="C214">
            <v>803.74346228413981</v>
          </cell>
          <cell r="D214">
            <v>278061.12743402453</v>
          </cell>
        </row>
        <row r="215">
          <cell r="A215">
            <v>209</v>
          </cell>
          <cell r="B215">
            <v>26.371735564161998</v>
          </cell>
          <cell r="C215">
            <v>802.14029007659417</v>
          </cell>
          <cell r="D215">
            <v>278863.26772410114</v>
          </cell>
        </row>
        <row r="216">
          <cell r="A216">
            <v>210</v>
          </cell>
          <cell r="B216">
            <v>26.319384498429024</v>
          </cell>
          <cell r="C216">
            <v>800.54794516054949</v>
          </cell>
          <cell r="D216">
            <v>279663.81566926168</v>
          </cell>
        </row>
        <row r="217">
          <cell r="A217">
            <v>211</v>
          </cell>
          <cell r="B217">
            <v>26.267385316392193</v>
          </cell>
          <cell r="C217">
            <v>798.96630337359591</v>
          </cell>
          <cell r="D217">
            <v>280462.78197263525</v>
          </cell>
        </row>
        <row r="218">
          <cell r="A218">
            <v>212</v>
          </cell>
          <cell r="B218">
            <v>26.215734001871343</v>
          </cell>
          <cell r="C218">
            <v>797.39524255692004</v>
          </cell>
          <cell r="D218">
            <v>281260.17721519218</v>
          </cell>
        </row>
        <row r="219">
          <cell r="A219">
            <v>213</v>
          </cell>
          <cell r="B219">
            <v>26.16442660319025</v>
          </cell>
          <cell r="C219">
            <v>795.83464251370344</v>
          </cell>
          <cell r="D219">
            <v>282056.01185770589</v>
          </cell>
        </row>
        <row r="220">
          <cell r="A220">
            <v>214</v>
          </cell>
          <cell r="B220">
            <v>26.113459231843724</v>
          </cell>
          <cell r="C220">
            <v>794.28438496857996</v>
          </cell>
          <cell r="D220">
            <v>282850.29624267446</v>
          </cell>
        </row>
        <row r="221">
          <cell r="A221">
            <v>215</v>
          </cell>
          <cell r="B221">
            <v>26.062828061198172</v>
          </cell>
          <cell r="C221">
            <v>792.74435352811111</v>
          </cell>
          <cell r="D221">
            <v>283643.0405962026</v>
          </cell>
        </row>
        <row r="222">
          <cell r="A222">
            <v>216</v>
          </cell>
          <cell r="B222">
            <v>26.012529325224914</v>
          </cell>
          <cell r="C222">
            <v>791.21443364225786</v>
          </cell>
          <cell r="D222">
            <v>284434.25502984488</v>
          </cell>
        </row>
        <row r="223">
          <cell r="A223">
            <v>217</v>
          </cell>
          <cell r="B223">
            <v>25.962559317265129</v>
          </cell>
          <cell r="C223">
            <v>789.69451256681441</v>
          </cell>
          <cell r="D223">
            <v>285223.94954241172</v>
          </cell>
        </row>
        <row r="224">
          <cell r="A224">
            <v>218</v>
          </cell>
          <cell r="B224">
            <v>25.912914388825456</v>
          </cell>
          <cell r="C224">
            <v>788.18447932677429</v>
          </cell>
          <cell r="D224">
            <v>286012.13402173849</v>
          </cell>
        </row>
        <row r="225">
          <cell r="A225">
            <v>219</v>
          </cell>
          <cell r="B225">
            <v>25.863590948403452</v>
          </cell>
          <cell r="C225">
            <v>786.68422468060498</v>
          </cell>
          <cell r="D225">
            <v>286798.81824641908</v>
          </cell>
        </row>
        <row r="226">
          <cell r="A226">
            <v>220</v>
          </cell>
          <cell r="B226">
            <v>25.81458546034213</v>
          </cell>
          <cell r="C226">
            <v>785.19364108540651</v>
          </cell>
          <cell r="D226">
            <v>287584.01188750449</v>
          </cell>
        </row>
        <row r="227">
          <cell r="A227">
            <v>221</v>
          </cell>
          <cell r="B227">
            <v>25.765894443712401</v>
          </cell>
          <cell r="C227">
            <v>783.71262266291887</v>
          </cell>
          <cell r="D227">
            <v>288367.72451016738</v>
          </cell>
        </row>
        <row r="228">
          <cell r="A228">
            <v>222</v>
          </cell>
          <cell r="B228">
            <v>25.71751447122297</v>
          </cell>
          <cell r="C228">
            <v>782.24106516636539</v>
          </cell>
          <cell r="D228">
            <v>289149.96557533374</v>
          </cell>
        </row>
        <row r="229">
          <cell r="A229">
            <v>223</v>
          </cell>
          <cell r="B229">
            <v>25.669442168156689</v>
          </cell>
          <cell r="C229">
            <v>780.77886594809934</v>
          </cell>
          <cell r="D229">
            <v>289930.74444128183</v>
          </cell>
        </row>
        <row r="230">
          <cell r="A230">
            <v>224</v>
          </cell>
          <cell r="B230">
            <v>25.621674211332671</v>
          </cell>
          <cell r="C230">
            <v>779.32592392803542</v>
          </cell>
          <cell r="D230">
            <v>290710.07036520989</v>
          </cell>
        </row>
        <row r="231">
          <cell r="A231">
            <v>225</v>
          </cell>
          <cell r="B231">
            <v>25.574207328093379</v>
          </cell>
          <cell r="C231">
            <v>777.88213956284028</v>
          </cell>
          <cell r="D231">
            <v>291487.95250477275</v>
          </cell>
        </row>
        <row r="232">
          <cell r="A232">
            <v>226</v>
          </cell>
          <cell r="B232">
            <v>25.527038295316128</v>
          </cell>
          <cell r="C232">
            <v>776.44741481586561</v>
          </cell>
          <cell r="D232">
            <v>292264.39991958864</v>
          </cell>
        </row>
        <row r="233">
          <cell r="A233">
            <v>227</v>
          </cell>
          <cell r="B233">
            <v>25.480163938448101</v>
          </cell>
          <cell r="C233">
            <v>775.02165312779641</v>
          </cell>
          <cell r="D233">
            <v>293039.42157271644</v>
          </cell>
        </row>
        <row r="234">
          <cell r="A234">
            <v>228</v>
          </cell>
          <cell r="B234">
            <v>25.433581130564338</v>
          </cell>
          <cell r="C234">
            <v>773.60475938799868</v>
          </cell>
          <cell r="D234">
            <v>293813.02633210446</v>
          </cell>
        </row>
        <row r="235">
          <cell r="A235">
            <v>229</v>
          </cell>
          <cell r="B235">
            <v>25.387286791448069</v>
          </cell>
          <cell r="C235">
            <v>772.19663990654544</v>
          </cell>
          <cell r="D235">
            <v>294585.22297201102</v>
          </cell>
        </row>
        <row r="236">
          <cell r="A236">
            <v>230</v>
          </cell>
          <cell r="B236">
            <v>25.341277886692719</v>
          </cell>
          <cell r="C236">
            <v>770.79720238690356</v>
          </cell>
          <cell r="D236">
            <v>295356.02017439791</v>
          </cell>
        </row>
        <row r="237">
          <cell r="A237">
            <v>231</v>
          </cell>
          <cell r="B237">
            <v>25.295551426824961</v>
          </cell>
          <cell r="C237">
            <v>769.40635589925921</v>
          </cell>
          <cell r="D237">
            <v>296125.42653029715</v>
          </cell>
        </row>
        <row r="238">
          <cell r="A238">
            <v>232</v>
          </cell>
          <cell r="B238">
            <v>25.250104466448349</v>
          </cell>
          <cell r="C238">
            <v>768.02401085447059</v>
          </cell>
          <cell r="D238">
            <v>296893.45054115163</v>
          </cell>
        </row>
        <row r="239">
          <cell r="A239">
            <v>233</v>
          </cell>
          <cell r="B239">
            <v>25.204934103406767</v>
          </cell>
          <cell r="C239">
            <v>766.65007897862256</v>
          </cell>
          <cell r="D239">
            <v>297660.10062013025</v>
          </cell>
        </row>
        <row r="240">
          <cell r="A240">
            <v>234</v>
          </cell>
          <cell r="B240">
            <v>25.160037477967364</v>
          </cell>
          <cell r="C240">
            <v>765.28447328817401</v>
          </cell>
          <cell r="D240">
            <v>298425.38509341842</v>
          </cell>
        </row>
        <row r="241">
          <cell r="A241">
            <v>235</v>
          </cell>
          <cell r="B241">
            <v>25.115411772022323</v>
          </cell>
          <cell r="C241">
            <v>763.92710806567902</v>
          </cell>
          <cell r="D241">
            <v>299189.31220148411</v>
          </cell>
        </row>
        <row r="242">
          <cell r="A242">
            <v>236</v>
          </cell>
          <cell r="B242">
            <v>25.071054208308915</v>
          </cell>
          <cell r="C242">
            <v>762.5778988360629</v>
          </cell>
          <cell r="D242">
            <v>299951.89010032016</v>
          </cell>
        </row>
        <row r="243">
          <cell r="A243">
            <v>237</v>
          </cell>
          <cell r="B243">
            <v>25.026962049647484</v>
          </cell>
          <cell r="C243">
            <v>761.2367623434443</v>
          </cell>
          <cell r="D243">
            <v>300713.1268626636</v>
          </cell>
        </row>
        <row r="244">
          <cell r="A244">
            <v>238</v>
          </cell>
          <cell r="B244">
            <v>24.983132598196729</v>
          </cell>
          <cell r="C244">
            <v>759.90361652848389</v>
          </cell>
          <cell r="D244">
            <v>301473.03047919209</v>
          </cell>
        </row>
        <row r="245">
          <cell r="A245">
            <v>239</v>
          </cell>
          <cell r="B245">
            <v>24.93956319472591</v>
          </cell>
          <cell r="C245">
            <v>758.5783805062465</v>
          </cell>
          <cell r="D245">
            <v>302231.60885969835</v>
          </cell>
        </row>
        <row r="246">
          <cell r="A246">
            <v>240</v>
          </cell>
          <cell r="B246">
            <v>24.896251217903544</v>
          </cell>
          <cell r="C246">
            <v>757.26097454456612</v>
          </cell>
          <cell r="D246">
            <v>302988.86983424291</v>
          </cell>
        </row>
      </sheetData>
      <sheetData sheetId="3" refreshError="1"/>
      <sheetData sheetId="4">
        <row r="18">
          <cell r="B18">
            <v>0.52173913043478304</v>
          </cell>
          <cell r="C18">
            <v>55.2173913043478</v>
          </cell>
        </row>
        <row r="19">
          <cell r="B19">
            <v>0.92517694641051296</v>
          </cell>
          <cell r="C19">
            <v>63.913043478260803</v>
          </cell>
        </row>
        <row r="20">
          <cell r="B20">
            <v>1.4742163801819901</v>
          </cell>
          <cell r="C20">
            <v>69.130434782608702</v>
          </cell>
        </row>
        <row r="21">
          <cell r="B21">
            <v>2.0262891809908901</v>
          </cell>
          <cell r="C21">
            <v>72.608695652173907</v>
          </cell>
        </row>
        <row r="22">
          <cell r="B22">
            <v>2.57836198179979</v>
          </cell>
          <cell r="C22">
            <v>76.086956521739197</v>
          </cell>
        </row>
        <row r="23">
          <cell r="B23">
            <v>3.2699696663296201</v>
          </cell>
          <cell r="C23">
            <v>79.565217391304401</v>
          </cell>
        </row>
        <row r="24">
          <cell r="B24">
            <v>4.09807886754297</v>
          </cell>
          <cell r="C24">
            <v>84.7826086956522</v>
          </cell>
        </row>
        <row r="25">
          <cell r="B25">
            <v>4.5864509605662196</v>
          </cell>
          <cell r="C25">
            <v>84.7826086956522</v>
          </cell>
        </row>
        <row r="26">
          <cell r="B26">
            <v>4.99898887765419</v>
          </cell>
          <cell r="C26">
            <v>88.260869565217405</v>
          </cell>
        </row>
        <row r="27">
          <cell r="B27">
            <v>5.8270980788675404</v>
          </cell>
          <cell r="C27">
            <v>93.478260869565304</v>
          </cell>
        </row>
        <row r="28">
          <cell r="B28">
            <v>6.6643073811931197</v>
          </cell>
          <cell r="C28">
            <v>93.478260869565304</v>
          </cell>
        </row>
        <row r="29">
          <cell r="B29">
            <v>7.43174924165824</v>
          </cell>
          <cell r="C29">
            <v>93.478260869565304</v>
          </cell>
        </row>
        <row r="30">
          <cell r="B30">
            <v>8.0626895854398395</v>
          </cell>
          <cell r="C30">
            <v>92</v>
          </cell>
        </row>
        <row r="31">
          <cell r="B31">
            <v>9.0626895854398395</v>
          </cell>
          <cell r="C31">
            <v>87.321809873686405</v>
          </cell>
        </row>
        <row r="32">
          <cell r="B32">
            <v>10.062689585439839</v>
          </cell>
          <cell r="C32">
            <v>79.205102425857348</v>
          </cell>
        </row>
        <row r="33">
          <cell r="B33">
            <v>11.062689585439841</v>
          </cell>
          <cell r="C33">
            <v>72.510543092929751</v>
          </cell>
        </row>
        <row r="34">
          <cell r="B34">
            <v>12.062689585439839</v>
          </cell>
          <cell r="C34">
            <v>66.891412926135061</v>
          </cell>
        </row>
        <row r="35">
          <cell r="B35">
            <v>13.062689585439838</v>
          </cell>
          <cell r="C35">
            <v>62.105653511985544</v>
          </cell>
        </row>
        <row r="36">
          <cell r="B36">
            <v>14.062689585439838</v>
          </cell>
          <cell r="C36">
            <v>57.979063733217025</v>
          </cell>
        </row>
        <row r="37">
          <cell r="B37">
            <v>15.062689585439838</v>
          </cell>
          <cell r="C37">
            <v>54.383026565659094</v>
          </cell>
        </row>
        <row r="38">
          <cell r="B38">
            <v>16.062689585439834</v>
          </cell>
          <cell r="C38">
            <v>51.220480547096685</v>
          </cell>
        </row>
        <row r="39">
          <cell r="B39">
            <v>17.062689585439834</v>
          </cell>
          <cell r="C39">
            <v>48.41677899843517</v>
          </cell>
        </row>
        <row r="40">
          <cell r="B40">
            <v>18.062689585439834</v>
          </cell>
          <cell r="C40">
            <v>45.913557319886465</v>
          </cell>
        </row>
        <row r="41">
          <cell r="B41">
            <v>19.062689585439834</v>
          </cell>
          <cell r="C41">
            <v>43.664512365176193</v>
          </cell>
        </row>
        <row r="42">
          <cell r="B42">
            <v>20.062689585439834</v>
          </cell>
          <cell r="C42">
            <v>41.632432019631906</v>
          </cell>
        </row>
        <row r="43">
          <cell r="B43">
            <v>21.062689585439831</v>
          </cell>
          <cell r="C43">
            <v>39.787062804098859</v>
          </cell>
        </row>
        <row r="44">
          <cell r="B44">
            <v>22.062689585439831</v>
          </cell>
          <cell r="C44">
            <v>38.103551762394531</v>
          </cell>
        </row>
        <row r="45">
          <cell r="B45">
            <v>23.062689585439831</v>
          </cell>
          <cell r="C45">
            <v>36.561289744757445</v>
          </cell>
        </row>
        <row r="46">
          <cell r="B46">
            <v>24.062689585439827</v>
          </cell>
          <cell r="C46">
            <v>35.143040277399855</v>
          </cell>
        </row>
        <row r="47">
          <cell r="B47">
            <v>25.062689585439831</v>
          </cell>
          <cell r="C47">
            <v>33.834274914191383</v>
          </cell>
        </row>
        <row r="48">
          <cell r="B48">
            <v>26.062689585439834</v>
          </cell>
          <cell r="C48">
            <v>32.622660075049097</v>
          </cell>
        </row>
        <row r="49">
          <cell r="B49">
            <v>27.062689585439834</v>
          </cell>
          <cell r="C49">
            <v>31.497656516355335</v>
          </cell>
        </row>
        <row r="50">
          <cell r="B50">
            <v>28.062689585439834</v>
          </cell>
          <cell r="C50">
            <v>30.450203575360582</v>
          </cell>
        </row>
        <row r="51">
          <cell r="B51">
            <v>29.062689585439838</v>
          </cell>
          <cell r="C51">
            <v>29.47246794325341</v>
          </cell>
        </row>
        <row r="52">
          <cell r="B52">
            <v>30.062689585439841</v>
          </cell>
          <cell r="C52">
            <v>28.557642069722547</v>
          </cell>
        </row>
        <row r="53">
          <cell r="B53">
            <v>31.062689585439841</v>
          </cell>
          <cell r="C53">
            <v>27.699781110330612</v>
          </cell>
        </row>
        <row r="54">
          <cell r="B54">
            <v>32.062689585439841</v>
          </cell>
          <cell r="C54">
            <v>26.893670074344161</v>
          </cell>
        </row>
        <row r="55">
          <cell r="B55">
            <v>33.062689585439841</v>
          </cell>
          <cell r="C55">
            <v>26.134714834245361</v>
          </cell>
        </row>
        <row r="56">
          <cell r="B56">
            <v>34.062689585439848</v>
          </cell>
          <cell r="C56">
            <v>25.41885213578972</v>
          </cell>
        </row>
        <row r="57">
          <cell r="B57">
            <v>35.062689585439848</v>
          </cell>
          <cell r="C57">
            <v>24.742474848305317</v>
          </cell>
        </row>
        <row r="58">
          <cell r="B58">
            <v>36.062689585439848</v>
          </cell>
          <cell r="C58">
            <v>24.102369522833822</v>
          </cell>
        </row>
        <row r="59">
          <cell r="B59">
            <v>37.062689585439855</v>
          </cell>
          <cell r="C59">
            <v>23.49566395390115</v>
          </cell>
        </row>
        <row r="60">
          <cell r="B60">
            <v>38.062689585439855</v>
          </cell>
          <cell r="C60">
            <v>22.919782921340047</v>
          </cell>
        </row>
        <row r="61">
          <cell r="B61">
            <v>39.062689585439855</v>
          </cell>
          <cell r="C61">
            <v>22.372410659219039</v>
          </cell>
        </row>
        <row r="62">
          <cell r="B62">
            <v>40.062689585439855</v>
          </cell>
          <cell r="C62">
            <v>21.851458886857582</v>
          </cell>
        </row>
        <row r="63">
          <cell r="B63">
            <v>41.062689585439855</v>
          </cell>
          <cell r="C63">
            <v>21.355039462147872</v>
          </cell>
        </row>
        <row r="64">
          <cell r="B64">
            <v>42.062689585439863</v>
          </cell>
          <cell r="C64">
            <v>20.881440894774173</v>
          </cell>
        </row>
        <row r="65">
          <cell r="B65">
            <v>43.062689585439863</v>
          </cell>
          <cell r="C65">
            <v>20.42910809746995</v>
          </cell>
        </row>
        <row r="66">
          <cell r="B66">
            <v>44.062689585439863</v>
          </cell>
          <cell r="C66">
            <v>19.996624865488887</v>
          </cell>
        </row>
        <row r="67">
          <cell r="B67">
            <v>45.06268958543987</v>
          </cell>
          <cell r="C67">
            <v>19.582698664276563</v>
          </cell>
        </row>
        <row r="68">
          <cell r="B68">
            <v>46.06268958543987</v>
          </cell>
          <cell r="C68">
            <v>19.186147377712356</v>
          </cell>
        </row>
        <row r="69">
          <cell r="B69">
            <v>47.06268958543987</v>
          </cell>
          <cell r="C69">
            <v>18.805887727924883</v>
          </cell>
        </row>
        <row r="70">
          <cell r="B70">
            <v>48.06268958543987</v>
          </cell>
          <cell r="C70">
            <v>18.440925125414772</v>
          </cell>
        </row>
        <row r="71">
          <cell r="B71">
            <v>49.062689585439863</v>
          </cell>
          <cell r="C71">
            <v>18.090344747252011</v>
          </cell>
        </row>
        <row r="72">
          <cell r="B72">
            <v>50.062689585439855</v>
          </cell>
          <cell r="C72">
            <v>17.753303673180092</v>
          </cell>
        </row>
        <row r="73">
          <cell r="B73">
            <v>51.062689585439855</v>
          </cell>
          <cell r="C73">
            <v>17.429023935911417</v>
          </cell>
        </row>
        <row r="74">
          <cell r="B74">
            <v>52.062689585439855</v>
          </cell>
          <cell r="C74">
            <v>17.116786363808739</v>
          </cell>
        </row>
        <row r="75">
          <cell r="B75">
            <v>53.062689585439848</v>
          </cell>
          <cell r="C75">
            <v>16.815925112367772</v>
          </cell>
        </row>
        <row r="76">
          <cell r="B76">
            <v>54.062689585439841</v>
          </cell>
          <cell r="C76">
            <v>16.525822796123915</v>
          </cell>
        </row>
        <row r="77">
          <cell r="B77">
            <v>55.062689585439841</v>
          </cell>
          <cell r="C77">
            <v>16.245906145345117</v>
          </cell>
        </row>
        <row r="78">
          <cell r="B78">
            <v>56.062689585439841</v>
          </cell>
          <cell r="C78">
            <v>15.975642122581485</v>
          </cell>
        </row>
        <row r="79">
          <cell r="B79">
            <v>57.062689585439834</v>
          </cell>
          <cell r="C79">
            <v>15.714534443173346</v>
          </cell>
        </row>
        <row r="80">
          <cell r="B80">
            <v>58.062689585439827</v>
          </cell>
          <cell r="C80">
            <v>15.462120451460358</v>
          </cell>
        </row>
        <row r="81">
          <cell r="B81">
            <v>59.062689585439827</v>
          </cell>
          <cell r="C81">
            <v>15.217968310919023</v>
          </cell>
        </row>
        <row r="82">
          <cell r="B82">
            <v>60.062689585439827</v>
          </cell>
          <cell r="C82">
            <v>14.981674471976095</v>
          </cell>
        </row>
        <row r="83">
          <cell r="B83">
            <v>61.06268958543982</v>
          </cell>
          <cell r="C83">
            <v>14.752861385956795</v>
          </cell>
        </row>
        <row r="84">
          <cell r="B84">
            <v>62.062689585439813</v>
          </cell>
          <cell r="C84">
            <v>14.531175437660563</v>
          </cell>
        </row>
        <row r="85">
          <cell r="B85">
            <v>63.062689585439813</v>
          </cell>
          <cell r="C85">
            <v>14.316285072518946</v>
          </cell>
        </row>
        <row r="86">
          <cell r="B86">
            <v>64.062689585439813</v>
          </cell>
          <cell r="C86">
            <v>14.107879097268537</v>
          </cell>
        </row>
        <row r="87">
          <cell r="B87">
            <v>65.062689585439813</v>
          </cell>
          <cell r="C87">
            <v>13.905665135642371</v>
          </cell>
        </row>
        <row r="88">
          <cell r="B88">
            <v>66.062689585439799</v>
          </cell>
          <cell r="C88">
            <v>13.709368222804653</v>
          </cell>
        </row>
        <row r="89">
          <cell r="B89">
            <v>67.062689585439799</v>
          </cell>
          <cell r="C89">
            <v>13.518729524179966</v>
          </cell>
        </row>
        <row r="90">
          <cell r="B90">
            <v>68.062689585439799</v>
          </cell>
          <cell r="C90">
            <v>13.333505166001077</v>
          </cell>
        </row>
        <row r="91">
          <cell r="B91">
            <v>69.062689585439784</v>
          </cell>
          <cell r="C91">
            <v>13.153465166356179</v>
          </cell>
        </row>
        <row r="92">
          <cell r="B92">
            <v>70.062689585439784</v>
          </cell>
          <cell r="C92">
            <v>12.978392456787006</v>
          </cell>
        </row>
        <row r="93">
          <cell r="B93">
            <v>71.062689585439784</v>
          </cell>
          <cell r="C93">
            <v>12.808081985600456</v>
          </cell>
        </row>
        <row r="94">
          <cell r="B94">
            <v>72.062689585439784</v>
          </cell>
          <cell r="C94">
            <v>12.642339895029579</v>
          </cell>
        </row>
        <row r="95">
          <cell r="B95">
            <v>73.062689585439784</v>
          </cell>
          <cell r="C95">
            <v>12.480982765233662</v>
          </cell>
        </row>
        <row r="96">
          <cell r="B96">
            <v>74.06268958543977</v>
          </cell>
          <cell r="C96">
            <v>12.32383691887879</v>
          </cell>
        </row>
        <row r="97">
          <cell r="B97">
            <v>75.06268958543977</v>
          </cell>
          <cell r="C97">
            <v>12.170737780701495</v>
          </cell>
        </row>
        <row r="98">
          <cell r="B98">
            <v>76.06268958543977</v>
          </cell>
          <cell r="C98">
            <v>12.021529287042206</v>
          </cell>
        </row>
        <row r="99">
          <cell r="B99">
            <v>77.062689585439756</v>
          </cell>
          <cell r="C99">
            <v>11.876063340851779</v>
          </cell>
        </row>
        <row r="100">
          <cell r="B100">
            <v>78.062689585439756</v>
          </cell>
          <cell r="C100">
            <v>11.734199308130824</v>
          </cell>
        </row>
        <row r="101">
          <cell r="B101">
            <v>79.062689585439756</v>
          </cell>
          <cell r="C101">
            <v>11.595803552167947</v>
          </cell>
        </row>
        <row r="102">
          <cell r="B102">
            <v>80.062689585439756</v>
          </cell>
          <cell r="C102">
            <v>11.460749002302375</v>
          </cell>
        </row>
        <row r="103">
          <cell r="B103">
            <v>81.062689585439756</v>
          </cell>
          <cell r="C103">
            <v>11.328914754257504</v>
          </cell>
        </row>
        <row r="104">
          <cell r="B104">
            <v>82.062689585439742</v>
          </cell>
          <cell r="C104">
            <v>11.200185699377407</v>
          </cell>
        </row>
        <row r="105">
          <cell r="B105">
            <v>83.062689585439742</v>
          </cell>
          <cell r="C105">
            <v>11.074452180353081</v>
          </cell>
        </row>
        <row r="106">
          <cell r="B106">
            <v>84.062689585439742</v>
          </cell>
          <cell r="C106">
            <v>10.951609671253077</v>
          </cell>
        </row>
        <row r="107">
          <cell r="B107">
            <v>85.062689585439728</v>
          </cell>
          <cell r="C107">
            <v>10.831558479877252</v>
          </cell>
        </row>
        <row r="108">
          <cell r="B108">
            <v>86.062689585439728</v>
          </cell>
          <cell r="C108">
            <v>10.714203470634567</v>
          </cell>
        </row>
        <row r="109">
          <cell r="B109">
            <v>87.062689585439728</v>
          </cell>
          <cell r="C109">
            <v>10.599453806310406</v>
          </cell>
        </row>
        <row r="110">
          <cell r="B110">
            <v>88.062689585439728</v>
          </cell>
          <cell r="C110">
            <v>10.487222707235683</v>
          </cell>
        </row>
        <row r="111">
          <cell r="B111">
            <v>89.062689585439728</v>
          </cell>
          <cell r="C111">
            <v>10.377427226502917</v>
          </cell>
        </row>
        <row r="112">
          <cell r="B112">
            <v>90.062689585439713</v>
          </cell>
          <cell r="C112">
            <v>10.269988039993605</v>
          </cell>
        </row>
        <row r="113">
          <cell r="B113">
            <v>91.062689585439713</v>
          </cell>
          <cell r="C113">
            <v>10.164829250088889</v>
          </cell>
        </row>
        <row r="114">
          <cell r="B114">
            <v>92.062689585439713</v>
          </cell>
          <cell r="C114">
            <v>10.061878202033057</v>
          </cell>
        </row>
        <row r="115">
          <cell r="B115">
            <v>93.062689585439699</v>
          </cell>
          <cell r="C115">
            <v>9.9610653120067525</v>
          </cell>
        </row>
        <row r="116">
          <cell r="B116">
            <v>94.062689585439699</v>
          </cell>
          <cell r="C116">
            <v>9.8623239060467895</v>
          </cell>
        </row>
        <row r="117">
          <cell r="B117">
            <v>95.062689585439699</v>
          </cell>
          <cell r="C117">
            <v>9.7655900690212896</v>
          </cell>
        </row>
        <row r="118">
          <cell r="B118">
            <v>96.062689585439699</v>
          </cell>
          <cell r="C118">
            <v>9.6708025029343307</v>
          </cell>
        </row>
        <row r="119">
          <cell r="B119">
            <v>97.062689585439713</v>
          </cell>
          <cell r="C119">
            <v>9.5779023938933552</v>
          </cell>
        </row>
        <row r="120">
          <cell r="B120">
            <v>98.062689585439728</v>
          </cell>
          <cell r="C120">
            <v>9.4868332871271193</v>
          </cell>
        </row>
        <row r="121">
          <cell r="B121">
            <v>99.062689585439728</v>
          </cell>
          <cell r="C121">
            <v>9.3975409694902616</v>
          </cell>
        </row>
        <row r="122">
          <cell r="B122">
            <v>100.06268958543973</v>
          </cell>
          <cell r="C122">
            <v>9.3099733589359026</v>
          </cell>
        </row>
        <row r="123">
          <cell r="B123">
            <v>101.06268958543974</v>
          </cell>
          <cell r="C123">
            <v>9.2240804004779964</v>
          </cell>
        </row>
        <row r="124">
          <cell r="B124">
            <v>102.06268958543976</v>
          </cell>
          <cell r="C124">
            <v>9.1398139682027573</v>
          </cell>
        </row>
        <row r="125">
          <cell r="B125">
            <v>103.06268958543976</v>
          </cell>
          <cell r="C125">
            <v>9.0571277729217918</v>
          </cell>
        </row>
        <row r="126">
          <cell r="B126">
            <v>104.06268958543976</v>
          </cell>
          <cell r="C126">
            <v>8.9759772750913083</v>
          </cell>
        </row>
        <row r="127">
          <cell r="B127">
            <v>105.06268958543977</v>
          </cell>
          <cell r="C127">
            <v>8.8963196026496991</v>
          </cell>
        </row>
        <row r="128">
          <cell r="B128">
            <v>106.06268958543978</v>
          </cell>
          <cell r="C128">
            <v>8.8181134734519553</v>
          </cell>
        </row>
        <row r="129">
          <cell r="B129">
            <v>107.06268958543978</v>
          </cell>
          <cell r="C129">
            <v>8.7413191220031141</v>
          </cell>
        </row>
        <row r="130">
          <cell r="B130">
            <v>108.06268958543978</v>
          </cell>
          <cell r="C130">
            <v>8.665898230215042</v>
          </cell>
        </row>
        <row r="131">
          <cell r="B131">
            <v>109.0626895854398</v>
          </cell>
          <cell r="C131">
            <v>8.5918138619305733</v>
          </cell>
        </row>
        <row r="132">
          <cell r="B132">
            <v>110.06268958543981</v>
          </cell>
          <cell r="C132">
            <v>8.5190304009777069</v>
          </cell>
        </row>
        <row r="133">
          <cell r="B133">
            <v>111.06268958543981</v>
          </cell>
          <cell r="C133">
            <v>8.4475134925335755</v>
          </cell>
        </row>
        <row r="134">
          <cell r="B134">
            <v>112.06268958543981</v>
          </cell>
          <cell r="C134">
            <v>8.3772299875931573</v>
          </cell>
        </row>
        <row r="135">
          <cell r="B135">
            <v>113.06268958543983</v>
          </cell>
          <cell r="C135">
            <v>8.3081478903525152</v>
          </cell>
        </row>
        <row r="136">
          <cell r="B136">
            <v>114.06268958543984</v>
          </cell>
          <cell r="C136">
            <v>8.2402363083293348</v>
          </cell>
        </row>
        <row r="137">
          <cell r="B137">
            <v>115.06268958543984</v>
          </cell>
          <cell r="C137">
            <v>8.1734654050556976</v>
          </cell>
        </row>
        <row r="138">
          <cell r="B138">
            <v>116.06268958543984</v>
          </cell>
          <cell r="C138">
            <v>8.1078063551895418</v>
          </cell>
        </row>
        <row r="139">
          <cell r="B139">
            <v>117.06268958543986</v>
          </cell>
          <cell r="C139">
            <v>8.0432313019014909</v>
          </cell>
        </row>
        <row r="140">
          <cell r="B140">
            <v>118.06268958543987</v>
          </cell>
          <cell r="C140">
            <v>7.9797133164033838</v>
          </cell>
        </row>
        <row r="141">
          <cell r="B141">
            <v>119.06268958543987</v>
          </cell>
          <cell r="C141">
            <v>7.9172263594938022</v>
          </cell>
        </row>
        <row r="142">
          <cell r="B142">
            <v>120.06268958543987</v>
          </cell>
          <cell r="C142">
            <v>7.8557452450041731</v>
          </cell>
        </row>
        <row r="143">
          <cell r="B143">
            <v>121.06268958543988</v>
          </cell>
          <cell r="C143">
            <v>7.7952456050364054</v>
          </cell>
        </row>
        <row r="144">
          <cell r="B144">
            <v>122.0626895854399</v>
          </cell>
          <cell r="C144">
            <v>7.7357038568905256</v>
          </cell>
        </row>
        <row r="145">
          <cell r="B145">
            <v>123.0626895854399</v>
          </cell>
          <cell r="C145">
            <v>7.6770971715868761</v>
          </cell>
        </row>
        <row r="146">
          <cell r="B146">
            <v>124.0626895854399</v>
          </cell>
          <cell r="C146">
            <v>7.6194034438939058</v>
          </cell>
        </row>
        <row r="147">
          <cell r="B147">
            <v>125.06268958543991</v>
          </cell>
          <cell r="C147">
            <v>7.5626012637779692</v>
          </cell>
        </row>
        <row r="148">
          <cell r="B148">
            <v>126.06268958543993</v>
          </cell>
          <cell r="C148">
            <v>7.5066698891970427</v>
          </cell>
        </row>
        <row r="149">
          <cell r="B149">
            <v>127.06268958543993</v>
          </cell>
          <cell r="C149">
            <v>7.4515892201648501</v>
          </cell>
        </row>
        <row r="150">
          <cell r="B150">
            <v>128.06268958543993</v>
          </cell>
          <cell r="C150">
            <v>7.3973397740167597</v>
          </cell>
        </row>
        <row r="151">
          <cell r="B151">
            <v>129.06268958543995</v>
          </cell>
          <cell r="C151">
            <v>7.3439026618128231</v>
          </cell>
        </row>
        <row r="152">
          <cell r="B152">
            <v>130.06268958543995</v>
          </cell>
          <cell r="C152">
            <v>7.2912595658173158</v>
          </cell>
        </row>
        <row r="153">
          <cell r="B153">
            <v>131.06268958543995</v>
          </cell>
          <cell r="C153">
            <v>7.2393927179979238</v>
          </cell>
        </row>
        <row r="154">
          <cell r="B154">
            <v>132.06268958543995</v>
          </cell>
          <cell r="C154">
            <v>7.1882848794908654</v>
          </cell>
        </row>
        <row r="155">
          <cell r="B155">
            <v>133.06268958543995</v>
          </cell>
          <cell r="C155">
            <v>7.1379193209817853</v>
          </cell>
        </row>
        <row r="156">
          <cell r="B156">
            <v>134.06268958543998</v>
          </cell>
          <cell r="C156">
            <v>7.0882798039549755</v>
          </cell>
        </row>
        <row r="157">
          <cell r="B157">
            <v>135.06268958543998</v>
          </cell>
          <cell r="C157">
            <v>7.0393505627663586</v>
          </cell>
        </row>
        <row r="158">
          <cell r="B158">
            <v>136.06268958543998</v>
          </cell>
          <cell r="C158">
            <v>6.9911162874982287</v>
          </cell>
        </row>
        <row r="159">
          <cell r="B159">
            <v>137.06268958544001</v>
          </cell>
          <cell r="C159">
            <v>6.9435621075562608</v>
          </cell>
        </row>
        <row r="160">
          <cell r="B160">
            <v>138.06268958544001</v>
          </cell>
          <cell r="C160">
            <v>6.8966735759714357</v>
          </cell>
        </row>
        <row r="161">
          <cell r="B161">
            <v>139.06268958544001</v>
          </cell>
          <cell r="C161">
            <v>6.8504366543718378</v>
          </cell>
        </row>
        <row r="162">
          <cell r="B162">
            <v>140.06268958544001</v>
          </cell>
          <cell r="C162">
            <v>6.8048376985909904</v>
          </cell>
        </row>
        <row r="163">
          <cell r="B163">
            <v>141.06268958544001</v>
          </cell>
          <cell r="C163">
            <v>6.7598634448816757</v>
          </cell>
        </row>
        <row r="164">
          <cell r="B164">
            <v>142.06268958544004</v>
          </cell>
          <cell r="C164">
            <v>6.7155009967054475</v>
          </cell>
        </row>
        <row r="165">
          <cell r="B165">
            <v>143.06268958544004</v>
          </cell>
          <cell r="C165">
            <v>6.6717378120701438</v>
          </cell>
        </row>
        <row r="166">
          <cell r="B166">
            <v>144.06268958544004</v>
          </cell>
          <cell r="C166">
            <v>6.6285616913888292</v>
          </cell>
        </row>
        <row r="167">
          <cell r="B167">
            <v>145.06268958544007</v>
          </cell>
          <cell r="C167">
            <v>6.5859607658354369</v>
          </cell>
        </row>
        <row r="168">
          <cell r="B168">
            <v>146.06268958544007</v>
          </cell>
          <cell r="C168">
            <v>6.5439234861733562</v>
          </cell>
        </row>
        <row r="169">
          <cell r="B169">
            <v>147.06268958544007</v>
          </cell>
          <cell r="C169">
            <v>6.5024386120348048</v>
          </cell>
        </row>
        <row r="170">
          <cell r="B170">
            <v>148.06268958544007</v>
          </cell>
          <cell r="C170">
            <v>6.4614952016297913</v>
          </cell>
        </row>
        <row r="171">
          <cell r="B171">
            <v>149.06268958544007</v>
          </cell>
          <cell r="C171">
            <v>6.4210826018647218</v>
          </cell>
        </row>
        <row r="172">
          <cell r="B172">
            <v>150.0626895854401</v>
          </cell>
          <cell r="C172">
            <v>6.3811904388517071</v>
          </cell>
        </row>
        <row r="173">
          <cell r="B173">
            <v>151.0626895854401</v>
          </cell>
          <cell r="C173">
            <v>6.3418086087906271</v>
          </cell>
        </row>
        <row r="174">
          <cell r="B174">
            <v>152.0626895854401</v>
          </cell>
          <cell r="C174">
            <v>6.3029272692070331</v>
          </cell>
        </row>
        <row r="175">
          <cell r="B175">
            <v>153.06268958544013</v>
          </cell>
          <cell r="C175">
            <v>6.2645368305296456</v>
          </cell>
        </row>
        <row r="176">
          <cell r="B176">
            <v>154.06268958544013</v>
          </cell>
          <cell r="C176">
            <v>6.2266279479922417</v>
          </cell>
        </row>
        <row r="177">
          <cell r="B177">
            <v>155.06268958544013</v>
          </cell>
          <cell r="C177">
            <v>6.1891915138454578</v>
          </cell>
        </row>
        <row r="178">
          <cell r="B178">
            <v>156.06268958544013</v>
          </cell>
          <cell r="C178">
            <v>6.1522186498646008</v>
          </cell>
        </row>
        <row r="179">
          <cell r="B179">
            <v>157.06268958544013</v>
          </cell>
          <cell r="C179">
            <v>6.1157007001406072</v>
          </cell>
        </row>
        <row r="180">
          <cell r="B180">
            <v>158.06268958544015</v>
          </cell>
          <cell r="C180">
            <v>6.0796292241415051</v>
          </cell>
        </row>
        <row r="181">
          <cell r="B181">
            <v>159.06268958544015</v>
          </cell>
          <cell r="C181">
            <v>6.0439959900327933</v>
          </cell>
        </row>
        <row r="182">
          <cell r="B182">
            <v>160.06268958544015</v>
          </cell>
          <cell r="C182">
            <v>6.0087929682453582</v>
          </cell>
        </row>
        <row r="183">
          <cell r="B183">
            <v>161.06268958544018</v>
          </cell>
          <cell r="C183">
            <v>5.9740123252803574</v>
          </cell>
        </row>
        <row r="184">
          <cell r="B184">
            <v>162.06268958544018</v>
          </cell>
          <cell r="C184">
            <v>5.9396464177409607</v>
          </cell>
        </row>
        <row r="185">
          <cell r="B185">
            <v>163.06268958544018</v>
          </cell>
          <cell r="C185">
            <v>5.905687786581165</v>
          </cell>
        </row>
        <row r="186">
          <cell r="B186">
            <v>164.06268958544018</v>
          </cell>
          <cell r="C186">
            <v>5.8721291515626906</v>
          </cell>
        </row>
        <row r="187">
          <cell r="B187">
            <v>165.06268958544018</v>
          </cell>
          <cell r="C187">
            <v>5.8389634059110893</v>
          </cell>
        </row>
        <row r="188">
          <cell r="B188">
            <v>166.06268958544021</v>
          </cell>
          <cell r="C188">
            <v>5.8061836111627709</v>
          </cell>
        </row>
        <row r="189">
          <cell r="B189">
            <v>167.06268958544021</v>
          </cell>
          <cell r="C189">
            <v>5.7737829921950734</v>
          </cell>
        </row>
        <row r="190">
          <cell r="B190">
            <v>168.06268958544021</v>
          </cell>
          <cell r="C190">
            <v>5.7417549324317809</v>
          </cell>
        </row>
        <row r="191">
          <cell r="B191">
            <v>169.06268958544024</v>
          </cell>
          <cell r="C191">
            <v>5.710092969216868</v>
          </cell>
        </row>
        <row r="192">
          <cell r="B192">
            <v>170.06268958544024</v>
          </cell>
          <cell r="C192">
            <v>5.6787907893497112</v>
          </cell>
        </row>
        <row r="193">
          <cell r="B193">
            <v>171.06268958544024</v>
          </cell>
          <cell r="C193">
            <v>5.6478422247751228</v>
          </cell>
        </row>
        <row r="194">
          <cell r="B194">
            <v>172.06268958544024</v>
          </cell>
          <cell r="C194">
            <v>5.6172412484219976</v>
          </cell>
        </row>
        <row r="195">
          <cell r="B195">
            <v>173.06268958544024</v>
          </cell>
          <cell r="C195">
            <v>5.5869819701846577</v>
          </cell>
        </row>
        <row r="196">
          <cell r="B196">
            <v>174.06268958544027</v>
          </cell>
          <cell r="C196">
            <v>5.5570586330411542</v>
          </cell>
        </row>
        <row r="197">
          <cell r="B197">
            <v>175.06268958544027</v>
          </cell>
          <cell r="C197">
            <v>5.5274656093031451</v>
          </cell>
        </row>
        <row r="198">
          <cell r="B198">
            <v>176.06268958544027</v>
          </cell>
          <cell r="C198">
            <v>5.4981973969921292</v>
          </cell>
        </row>
        <row r="199">
          <cell r="B199">
            <v>177.0626895854403</v>
          </cell>
          <cell r="C199">
            <v>5.4692486163371408</v>
          </cell>
        </row>
        <row r="200">
          <cell r="B200">
            <v>178.0626895854403</v>
          </cell>
          <cell r="C200">
            <v>5.4406140063891186</v>
          </cell>
        </row>
        <row r="201">
          <cell r="B201">
            <v>179.0626895854403</v>
          </cell>
          <cell r="C201">
            <v>5.4122884217474665</v>
          </cell>
        </row>
        <row r="202">
          <cell r="B202">
            <v>180.0626895854403</v>
          </cell>
          <cell r="C202">
            <v>5.384266829394468</v>
          </cell>
        </row>
        <row r="203">
          <cell r="B203">
            <v>181.0626895854403</v>
          </cell>
          <cell r="C203">
            <v>5.3565443056334558</v>
          </cell>
        </row>
        <row r="204">
          <cell r="B204">
            <v>182.06268958544032</v>
          </cell>
          <cell r="C204">
            <v>5.3291160331267351</v>
          </cell>
        </row>
        <row r="205">
          <cell r="B205">
            <v>183.06268958544032</v>
          </cell>
          <cell r="C205">
            <v>5.3019772980295237</v>
          </cell>
        </row>
        <row r="206">
          <cell r="B206">
            <v>184.06268958544032</v>
          </cell>
          <cell r="C206">
            <v>5.2751234872163</v>
          </cell>
        </row>
        <row r="207">
          <cell r="B207">
            <v>185.06268958544035</v>
          </cell>
          <cell r="C207">
            <v>5.2485500855959932</v>
          </cell>
        </row>
        <row r="208">
          <cell r="B208">
            <v>186.06268958544035</v>
          </cell>
          <cell r="C208">
            <v>5.2222526735129309</v>
          </cell>
        </row>
        <row r="209">
          <cell r="B209">
            <v>187.06268958544035</v>
          </cell>
          <cell r="C209">
            <v>5.1962269242300438</v>
          </cell>
        </row>
        <row r="210">
          <cell r="B210">
            <v>188.06268958544035</v>
          </cell>
          <cell r="C210">
            <v>5.1704686014916517</v>
          </cell>
        </row>
        <row r="211">
          <cell r="B211">
            <v>189.06268958544035</v>
          </cell>
          <cell r="C211">
            <v>5.1449735571625812</v>
          </cell>
        </row>
        <row r="212">
          <cell r="B212">
            <v>190.06268958544038</v>
          </cell>
          <cell r="C212">
            <v>5.1197377289410921</v>
          </cell>
        </row>
        <row r="213">
          <cell r="B213">
            <v>191.06268958544038</v>
          </cell>
          <cell r="C213">
            <v>5.0947571381427599</v>
          </cell>
        </row>
        <row r="214">
          <cell r="B214">
            <v>192.06268958544035</v>
          </cell>
          <cell r="C214">
            <v>5.0700278875528531</v>
          </cell>
        </row>
        <row r="215">
          <cell r="B215">
            <v>193.06268958544035</v>
          </cell>
          <cell r="C215">
            <v>5.0455461593446884</v>
          </cell>
        </row>
        <row r="216">
          <cell r="B216">
            <v>194.06268958544035</v>
          </cell>
          <cell r="C216">
            <v>5.0213082130616256</v>
          </cell>
        </row>
        <row r="217">
          <cell r="B217">
            <v>195.06268958544032</v>
          </cell>
          <cell r="C217">
            <v>4.9973103836605013</v>
          </cell>
        </row>
        <row r="218">
          <cell r="B218">
            <v>196.0626895854403</v>
          </cell>
          <cell r="C218">
            <v>4.9735490796141626</v>
          </cell>
        </row>
        <row r="219">
          <cell r="B219">
            <v>197.0626895854403</v>
          </cell>
          <cell r="C219">
            <v>4.950020781071248</v>
          </cell>
        </row>
        <row r="220">
          <cell r="B220">
            <v>198.0626895854403</v>
          </cell>
          <cell r="C220">
            <v>4.9267220380709889</v>
          </cell>
        </row>
        <row r="221">
          <cell r="B221">
            <v>199.06268958544027</v>
          </cell>
          <cell r="C221">
            <v>4.9036494688113113</v>
          </cell>
        </row>
        <row r="222">
          <cell r="B222">
            <v>200.06268958544024</v>
          </cell>
          <cell r="C222">
            <v>4.8807997579682105</v>
          </cell>
        </row>
        <row r="223">
          <cell r="B223">
            <v>201.06268958544024</v>
          </cell>
          <cell r="C223">
            <v>4.858169655064815</v>
          </cell>
        </row>
        <row r="224">
          <cell r="B224">
            <v>202.06268958544024</v>
          </cell>
          <cell r="C224">
            <v>4.8357559728882196</v>
          </cell>
        </row>
        <row r="225">
          <cell r="B225">
            <v>203.06268958544021</v>
          </cell>
          <cell r="C225">
            <v>4.8135555859527122</v>
          </cell>
        </row>
        <row r="226">
          <cell r="B226">
            <v>204.06268958544018</v>
          </cell>
          <cell r="C226">
            <v>4.7915654290075684</v>
          </cell>
        </row>
        <row r="227">
          <cell r="B227">
            <v>205.06268958544018</v>
          </cell>
          <cell r="C227">
            <v>4.7697824955880703</v>
          </cell>
        </row>
        <row r="228">
          <cell r="B228">
            <v>206.06268958544018</v>
          </cell>
          <cell r="C228">
            <v>4.7482038366082584</v>
          </cell>
        </row>
        <row r="229">
          <cell r="B229">
            <v>207.06268958544015</v>
          </cell>
          <cell r="C229">
            <v>4.7268265589939675</v>
          </cell>
        </row>
        <row r="230">
          <cell r="B230">
            <v>208.06268958544013</v>
          </cell>
          <cell r="C230">
            <v>4.7056478243548634</v>
          </cell>
        </row>
        <row r="231">
          <cell r="B231">
            <v>209.06268958544013</v>
          </cell>
          <cell r="C231">
            <v>4.6846648476941732</v>
          </cell>
        </row>
        <row r="232">
          <cell r="B232">
            <v>210.06268958544013</v>
          </cell>
          <cell r="C232">
            <v>4.6638748961548409</v>
          </cell>
        </row>
        <row r="233">
          <cell r="B233">
            <v>211.0626895854401</v>
          </cell>
          <cell r="C233">
            <v>4.6432752878009476</v>
          </cell>
        </row>
        <row r="234">
          <cell r="B234">
            <v>212.06268958544007</v>
          </cell>
          <cell r="C234">
            <v>4.6228633904331966</v>
          </cell>
        </row>
        <row r="235">
          <cell r="B235">
            <v>213.06268958544007</v>
          </cell>
          <cell r="C235">
            <v>4.6026366204374183</v>
          </cell>
        </row>
        <row r="236">
          <cell r="B236">
            <v>214.06268958544007</v>
          </cell>
          <cell r="C236">
            <v>4.5825924416649766</v>
          </cell>
        </row>
        <row r="237">
          <cell r="B237">
            <v>215.06268958544004</v>
          </cell>
          <cell r="C237">
            <v>4.5627283643440322</v>
          </cell>
        </row>
        <row r="238">
          <cell r="B238">
            <v>216.06268958544001</v>
          </cell>
          <cell r="C238">
            <v>4.5430419440207581</v>
          </cell>
        </row>
        <row r="239">
          <cell r="B239">
            <v>217.06268958544001</v>
          </cell>
          <cell r="C239">
            <v>4.5235307805294429</v>
          </cell>
        </row>
        <row r="240">
          <cell r="B240">
            <v>218.06268958544001</v>
          </cell>
          <cell r="C240">
            <v>4.5041925169906545</v>
          </cell>
        </row>
        <row r="241">
          <cell r="B241">
            <v>219.06268958543998</v>
          </cell>
          <cell r="C241">
            <v>4.4850248388365159</v>
          </cell>
        </row>
        <row r="242">
          <cell r="B242">
            <v>220.06268958543995</v>
          </cell>
          <cell r="C242">
            <v>4.4660254728622615</v>
          </cell>
        </row>
        <row r="243">
          <cell r="B243">
            <v>221.06268958543995</v>
          </cell>
          <cell r="C243">
            <v>4.4471921863032486</v>
          </cell>
        </row>
        <row r="244">
          <cell r="B244">
            <v>222.06268958543995</v>
          </cell>
          <cell r="C244">
            <v>4.4285227859366376</v>
          </cell>
        </row>
        <row r="245">
          <cell r="B245">
            <v>223.06268958543993</v>
          </cell>
          <cell r="C245">
            <v>4.4100151172069522</v>
          </cell>
        </row>
        <row r="246">
          <cell r="B246">
            <v>224.0626895854399</v>
          </cell>
          <cell r="C246">
            <v>4.3916670633748236</v>
          </cell>
        </row>
        <row r="247">
          <cell r="B247">
            <v>225.0626895854399</v>
          </cell>
          <cell r="C247">
            <v>4.3734765446881179</v>
          </cell>
        </row>
        <row r="248">
          <cell r="B248">
            <v>226.0626895854399</v>
          </cell>
          <cell r="C248">
            <v>4.3554415175748922</v>
          </cell>
        </row>
        <row r="249">
          <cell r="B249">
            <v>227.06268958543987</v>
          </cell>
          <cell r="C249">
            <v>4.3375599738573545</v>
          </cell>
        </row>
        <row r="250">
          <cell r="B250">
            <v>228.06268958543984</v>
          </cell>
          <cell r="C250">
            <v>4.3198299399863549</v>
          </cell>
        </row>
        <row r="251">
          <cell r="B251">
            <v>229.06268958543984</v>
          </cell>
          <cell r="C251">
            <v>4.3022494762956418</v>
          </cell>
        </row>
        <row r="252">
          <cell r="B252">
            <v>230.06268958543984</v>
          </cell>
          <cell r="C252">
            <v>4.2848166762753888</v>
          </cell>
        </row>
        <row r="253">
          <cell r="B253">
            <v>231.06268958543981</v>
          </cell>
          <cell r="C253">
            <v>4.2675296658643314</v>
          </cell>
        </row>
        <row r="254">
          <cell r="B254">
            <v>232.06268958543978</v>
          </cell>
          <cell r="C254">
            <v>4.250386602760079</v>
          </cell>
        </row>
        <row r="255">
          <cell r="B255">
            <v>233.06268958543978</v>
          </cell>
          <cell r="C255">
            <v>4.2333856757468737</v>
          </cell>
        </row>
        <row r="256">
          <cell r="B256">
            <v>234.06268958543978</v>
          </cell>
          <cell r="C256">
            <v>4.2165251040404943</v>
          </cell>
        </row>
        <row r="257">
          <cell r="B257">
            <v>235.06268958543976</v>
          </cell>
          <cell r="C257">
            <v>4.1998031366496411</v>
          </cell>
        </row>
        <row r="258">
          <cell r="B258">
            <v>236.06268958543973</v>
          </cell>
          <cell r="C258">
            <v>4.1832180517533475</v>
          </cell>
        </row>
        <row r="259">
          <cell r="B259">
            <v>237.06268958543973</v>
          </cell>
          <cell r="C259">
            <v>4.1667681560940659</v>
          </cell>
        </row>
        <row r="260">
          <cell r="B260">
            <v>238.06268958543973</v>
          </cell>
          <cell r="C260">
            <v>4.1504517843857558</v>
          </cell>
        </row>
        <row r="261">
          <cell r="B261">
            <v>239.0626895854397</v>
          </cell>
          <cell r="C261">
            <v>4.134267298736761</v>
          </cell>
        </row>
        <row r="262">
          <cell r="B262">
            <v>240.06268958543967</v>
          </cell>
          <cell r="C262">
            <v>4.1182130880868941</v>
          </cell>
        </row>
      </sheetData>
    </sheetDataSet>
  </externalBook>
</externalLink>
</file>

<file path=xl/persons/person.xml><?xml version="1.0" encoding="utf-8"?>
<personList xmlns="http://schemas.microsoft.com/office/spreadsheetml/2018/threadedcomments" xmlns:x="http://schemas.openxmlformats.org/spreadsheetml/2006/main">
  <person displayName="Liam Vernon" id="{3FFEC98F-3FD0-BE43-80A3-BC95A78AC542}" userId="S::lvernon@ualberta.ca::5f0b89ad-9746-41d4-81a8-e76464caf424"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readedComments/threadedComment1.xml><?xml version="1.0" encoding="utf-8"?>
<ThreadedComments xmlns="http://schemas.microsoft.com/office/spreadsheetml/2018/threadedcomments" xmlns:x="http://schemas.openxmlformats.org/spreadsheetml/2006/main">
  <threadedComment ref="B5" dT="2019-02-23T16:17:15.12" personId="{3FFEC98F-3FD0-BE43-80A3-BC95A78AC542}" id="{D16C6062-AE4D-7F48-B74A-26A4A6AC595A}">
    <text>Reduced to 1114 from the March 2018 corporate pres page 10 cause this is a larger well</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1.xml"/><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J19"/>
  <sheetViews>
    <sheetView workbookViewId="0">
      <selection activeCell="E28" sqref="E28"/>
    </sheetView>
  </sheetViews>
  <sheetFormatPr defaultRowHeight="15.9"/>
  <cols>
    <col min="10" max="10" width="10.85546875" bestFit="1" customWidth="1"/>
  </cols>
  <sheetData>
    <row r="1" spans="1:10">
      <c r="A1" s="35" t="s">
        <v>918</v>
      </c>
    </row>
    <row r="3" spans="1:10">
      <c r="A3" s="77" t="s">
        <v>955</v>
      </c>
    </row>
    <row r="4" spans="1:10">
      <c r="J4" s="72"/>
    </row>
    <row r="5" spans="1:10">
      <c r="A5" s="35" t="s">
        <v>949</v>
      </c>
    </row>
    <row r="7" spans="1:10">
      <c r="A7" s="35" t="s">
        <v>919</v>
      </c>
    </row>
    <row r="9" spans="1:10">
      <c r="A9" s="245" t="s">
        <v>946</v>
      </c>
    </row>
    <row r="10" spans="1:10">
      <c r="A10" s="244" t="s">
        <v>947</v>
      </c>
    </row>
    <row r="11" spans="1:10">
      <c r="A11" s="244" t="s">
        <v>948</v>
      </c>
    </row>
    <row r="12" spans="1:10">
      <c r="A12" t="s">
        <v>950</v>
      </c>
    </row>
    <row r="14" spans="1:10">
      <c r="A14" s="35" t="s">
        <v>951</v>
      </c>
    </row>
    <row r="16" spans="1:10">
      <c r="A16" s="35" t="s">
        <v>952</v>
      </c>
    </row>
    <row r="17" spans="1:5">
      <c r="A17" s="47" t="s">
        <v>953</v>
      </c>
    </row>
    <row r="18" spans="1:5">
      <c r="A18" t="s">
        <v>727</v>
      </c>
      <c r="B18">
        <v>5350</v>
      </c>
      <c r="E18" t="s">
        <v>954</v>
      </c>
    </row>
    <row r="19" spans="1:5">
      <c r="A19" t="s">
        <v>961</v>
      </c>
      <c r="E19">
        <v>1.2904651162790697</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dimension ref="A1:AD332"/>
  <sheetViews>
    <sheetView zoomScale="55" zoomScaleNormal="55" workbookViewId="0">
      <selection activeCell="I9" sqref="I9"/>
    </sheetView>
  </sheetViews>
  <sheetFormatPr defaultRowHeight="15.9"/>
  <cols>
    <col min="1" max="1" width="16" bestFit="1" customWidth="1"/>
    <col min="2" max="2" width="25.140625" bestFit="1" customWidth="1"/>
    <col min="3" max="3" width="29.2109375" bestFit="1" customWidth="1"/>
    <col min="4" max="4" width="30.35546875" bestFit="1" customWidth="1"/>
    <col min="5" max="5" width="31.7109375" bestFit="1" customWidth="1"/>
    <col min="6" max="6" width="37.35546875" customWidth="1"/>
    <col min="7" max="7" width="27.35546875" customWidth="1"/>
    <col min="8" max="8" width="26.2109375" customWidth="1"/>
    <col min="9" max="9" width="29.640625" customWidth="1"/>
    <col min="10" max="10" width="30.35546875" bestFit="1" customWidth="1"/>
    <col min="11" max="11" width="31.7109375" bestFit="1" customWidth="1"/>
    <col min="12" max="12" width="37.35546875" bestFit="1" customWidth="1"/>
    <col min="13" max="13" width="7.140625" bestFit="1" customWidth="1"/>
    <col min="14" max="14" width="17" bestFit="1" customWidth="1"/>
    <col min="15" max="15" width="28.7109375" bestFit="1" customWidth="1"/>
    <col min="17" max="17" width="22.640625" bestFit="1" customWidth="1"/>
    <col min="18" max="18" width="16.5" bestFit="1" customWidth="1"/>
    <col min="19" max="20" width="18.140625" bestFit="1" customWidth="1"/>
    <col min="21" max="21" width="14" bestFit="1" customWidth="1"/>
    <col min="23" max="23" width="26.140625" bestFit="1" customWidth="1"/>
    <col min="24" max="25" width="14.5" bestFit="1" customWidth="1"/>
    <col min="27" max="27" width="32.140625" bestFit="1" customWidth="1"/>
    <col min="28" max="28" width="22.35546875" bestFit="1" customWidth="1"/>
    <col min="29" max="29" width="33.5" bestFit="1" customWidth="1"/>
    <col min="30" max="30" width="31.5" bestFit="1" customWidth="1"/>
  </cols>
  <sheetData>
    <row r="1" spans="1:30">
      <c r="A1" s="163" t="s">
        <v>728</v>
      </c>
      <c r="B1" s="163" t="s">
        <v>863</v>
      </c>
      <c r="C1" s="35" t="s">
        <v>900</v>
      </c>
      <c r="D1" s="163" t="s">
        <v>888</v>
      </c>
      <c r="F1" s="315" t="s">
        <v>817</v>
      </c>
      <c r="G1" s="315"/>
      <c r="H1" s="315"/>
      <c r="I1" s="315"/>
      <c r="K1" s="315" t="s">
        <v>803</v>
      </c>
      <c r="L1" s="315"/>
      <c r="M1" s="315"/>
    </row>
    <row r="2" spans="1:30">
      <c r="A2" s="173">
        <f>'Capital Cost Calculation'!B9</f>
        <v>6354768.5</v>
      </c>
      <c r="B2" s="84">
        <v>0.15898756717224713</v>
      </c>
      <c r="C2" s="12">
        <f>'Price Deck'!Q4</f>
        <v>0.33</v>
      </c>
      <c r="D2" s="164">
        <v>194</v>
      </c>
      <c r="F2" s="164" t="s">
        <v>901</v>
      </c>
      <c r="G2" s="164" t="s">
        <v>902</v>
      </c>
      <c r="H2" s="164" t="s">
        <v>903</v>
      </c>
      <c r="I2" s="164" t="s">
        <v>904</v>
      </c>
      <c r="J2" s="164" t="s">
        <v>812</v>
      </c>
      <c r="K2" s="164" t="s">
        <v>800</v>
      </c>
      <c r="L2" s="164" t="s">
        <v>801</v>
      </c>
      <c r="M2" s="164" t="s">
        <v>802</v>
      </c>
    </row>
    <row r="3" spans="1:30">
      <c r="F3" s="164">
        <v>0.1</v>
      </c>
      <c r="G3" t="s">
        <v>905</v>
      </c>
      <c r="H3" t="s">
        <v>906</v>
      </c>
      <c r="I3" t="s">
        <v>907</v>
      </c>
      <c r="J3" s="164">
        <v>0.36</v>
      </c>
      <c r="K3" s="164">
        <v>88.1</v>
      </c>
      <c r="L3" s="164">
        <v>143.16</v>
      </c>
      <c r="M3" s="164">
        <v>253.28</v>
      </c>
    </row>
    <row r="4" spans="1:30">
      <c r="A4" s="163" t="s">
        <v>816</v>
      </c>
    </row>
    <row r="5" spans="1:30">
      <c r="A5" s="164">
        <f>'Capital Cost Calculation'!B10</f>
        <v>24</v>
      </c>
    </row>
    <row r="8" spans="1:30">
      <c r="B8" s="163" t="s">
        <v>735</v>
      </c>
      <c r="H8" s="163" t="s">
        <v>570</v>
      </c>
    </row>
    <row r="9" spans="1:30">
      <c r="B9" s="52" t="str">
        <f>'Liquids Type Curve'!A17</f>
        <v>Years</v>
      </c>
      <c r="C9" s="52" t="str">
        <f>'Liquids Type Curve'!B17</f>
        <v>Months</v>
      </c>
      <c r="D9" s="172" t="str">
        <f>'Liquids Type Curve'!C17</f>
        <v>Daily production (Bbl/d)</v>
      </c>
      <c r="E9" s="172" t="str">
        <f>'Liquids Type Curve'!D17</f>
        <v>Monthly production (Bbl)</v>
      </c>
      <c r="F9" s="172" t="str">
        <f>'Liquids Type Curve'!E17</f>
        <v>Cumulative Production (Bbls)</v>
      </c>
      <c r="H9" s="264" t="str">
        <f>B9</f>
        <v>Years</v>
      </c>
      <c r="I9" s="264" t="str">
        <f t="shared" ref="I9:L9" si="0">C9</f>
        <v>Months</v>
      </c>
      <c r="J9" s="35" t="str">
        <f t="shared" si="0"/>
        <v>Daily production (Bbl/d)</v>
      </c>
      <c r="K9" s="35" t="str">
        <f t="shared" si="0"/>
        <v>Monthly production (Bbl)</v>
      </c>
      <c r="L9" s="35" t="str">
        <f t="shared" si="0"/>
        <v>Cumulative Production (Bbls)</v>
      </c>
      <c r="M9" s="35"/>
      <c r="N9" s="35" t="s">
        <v>885</v>
      </c>
      <c r="O9" s="35" t="s">
        <v>908</v>
      </c>
      <c r="Q9" s="35" t="s">
        <v>817</v>
      </c>
      <c r="R9" s="315" t="s">
        <v>817</v>
      </c>
      <c r="S9" s="315"/>
      <c r="T9" s="315"/>
      <c r="U9" s="315"/>
      <c r="W9" s="79" t="s">
        <v>807</v>
      </c>
      <c r="X9" s="163" t="s">
        <v>909</v>
      </c>
      <c r="Y9" s="163" t="s">
        <v>910</v>
      </c>
      <c r="AA9" s="79" t="s">
        <v>818</v>
      </c>
      <c r="AB9" s="79" t="s">
        <v>777</v>
      </c>
      <c r="AC9" s="158" t="s">
        <v>820</v>
      </c>
      <c r="AD9" s="79" t="s">
        <v>898</v>
      </c>
    </row>
    <row r="10" spans="1:30">
      <c r="R10" s="164" t="s">
        <v>901</v>
      </c>
      <c r="S10" t="s">
        <v>902</v>
      </c>
      <c r="T10" t="s">
        <v>903</v>
      </c>
      <c r="U10" t="s">
        <v>904</v>
      </c>
    </row>
    <row r="11" spans="1:30">
      <c r="A11" t="str">
        <f>'Price Deck'!A5</f>
        <v>03/2019</v>
      </c>
      <c r="B11" s="51">
        <f>'Liquids Type Curve'!A18</f>
        <v>4.3478260869565251E-2</v>
      </c>
      <c r="C11" s="51">
        <f>'Liquids Type Curve'!B18</f>
        <v>0.52173913043478304</v>
      </c>
      <c r="D11" s="51">
        <f>'Liquids Type Curve'!C18</f>
        <v>55.2173913043478</v>
      </c>
      <c r="E11" s="51">
        <f>'Liquids Type Curve'!D18</f>
        <v>1679.5289855072456</v>
      </c>
      <c r="F11" s="51">
        <f>'Liquids Type Curve'!E18</f>
        <v>1679.5289855072456</v>
      </c>
      <c r="G11" s="39"/>
      <c r="H11" s="51">
        <f>B11</f>
        <v>4.3478260869565251E-2</v>
      </c>
      <c r="I11" s="51">
        <f>C11</f>
        <v>0.52173913043478304</v>
      </c>
      <c r="J11" s="51">
        <f>D11*$C$2</f>
        <v>18.221739130434774</v>
      </c>
      <c r="K11" s="51">
        <f t="shared" ref="K11:L11" si="1">E11*$C$2</f>
        <v>554.24456521739103</v>
      </c>
      <c r="L11" s="51">
        <f t="shared" si="1"/>
        <v>554.24456521739103</v>
      </c>
      <c r="N11" s="51">
        <f>K11*$B$2</f>
        <v>88.11799504235286</v>
      </c>
      <c r="O11" s="51">
        <f>(('Price Deck'!Q5/'Propane Royalties'!$B$2))/'Price Deck'!M5</f>
        <v>179.2593</v>
      </c>
      <c r="P11" s="39"/>
      <c r="Q11" s="51">
        <f>MIN(IF(O11&gt;$M$3,U11,IF(O11&gt;$L$3,T11,IF(O11&gt;$K$3,S11,R11))),J3)</f>
        <v>0.25129022299999998</v>
      </c>
      <c r="R11" s="51">
        <f>$F$3</f>
        <v>0.1</v>
      </c>
      <c r="S11" s="51">
        <f>((O11-$K$3)*0.00202+0.1)</f>
        <v>0.28414178600000001</v>
      </c>
      <c r="T11" s="51">
        <f>((O11-$L$3)*0.00111+0.21122)</f>
        <v>0.25129022299999998</v>
      </c>
      <c r="U11" s="51">
        <f>((O11-$M$3)*0.00059+0.33347)</f>
        <v>0.28979778699999997</v>
      </c>
      <c r="W11" s="51">
        <f>IF(N11&gt;$D$2,0,((N11-$D$2)*0.00135))</f>
        <v>-0.14294070669282366</v>
      </c>
      <c r="X11" s="39">
        <f>MAX(0.05,W11+Q11)</f>
        <v>0.10834951630717632</v>
      </c>
      <c r="Y11" s="39">
        <f>IF(C11&gt;$A$5,X11,0.05)</f>
        <v>0.05</v>
      </c>
      <c r="AA11" s="85">
        <f>'Price Deck'!Q5/'Price Deck'!M5</f>
        <v>28.5</v>
      </c>
      <c r="AB11" s="72">
        <f>AA11*E11</f>
        <v>47866.576086956498</v>
      </c>
      <c r="AC11" s="72">
        <f>AB11*Y11</f>
        <v>2393.3288043478251</v>
      </c>
      <c r="AD11" s="85">
        <f>AC11/E11</f>
        <v>1.425</v>
      </c>
    </row>
    <row r="12" spans="1:30">
      <c r="A12" t="str">
        <f>'Price Deck'!A6</f>
        <v>04/2019</v>
      </c>
      <c r="B12" s="51">
        <f>'Liquids Type Curve'!A19</f>
        <v>7.7098078867542746E-2</v>
      </c>
      <c r="C12" s="51">
        <f>'Liquids Type Curve'!B19</f>
        <v>0.92517694641051296</v>
      </c>
      <c r="D12" s="51">
        <f>'Liquids Type Curve'!C19</f>
        <v>63.913043478260803</v>
      </c>
      <c r="E12" s="51">
        <f>'Liquids Type Curve'!D19</f>
        <v>1944.0217391304329</v>
      </c>
      <c r="F12" s="51">
        <f>'Liquids Type Curve'!E19</f>
        <v>3623.5507246376783</v>
      </c>
      <c r="H12" s="51">
        <f t="shared" ref="H12:H75" si="2">B12</f>
        <v>7.7098078867542746E-2</v>
      </c>
      <c r="I12" s="51">
        <f t="shared" ref="I12:I75" si="3">C12</f>
        <v>0.92517694641051296</v>
      </c>
      <c r="J12" s="51">
        <f t="shared" ref="J12:J75" si="4">D12*$C$2</f>
        <v>21.091304347826068</v>
      </c>
      <c r="K12" s="51">
        <f t="shared" ref="K12:K75" si="5">E12*$C$2</f>
        <v>641.52717391304293</v>
      </c>
      <c r="L12" s="51">
        <f t="shared" ref="L12:L75" si="6">F12*$C$2</f>
        <v>1195.7717391304338</v>
      </c>
      <c r="N12" s="51">
        <f t="shared" ref="N12:N75" si="7">K12*$B$2</f>
        <v>101.99484465532178</v>
      </c>
      <c r="O12" s="51">
        <f>(('Price Deck'!Q6/'Propane Royalties'!$B$2))/'Price Deck'!M6</f>
        <v>179.2593</v>
      </c>
      <c r="P12" s="39"/>
      <c r="Q12" s="51">
        <f t="shared" ref="Q12:Q75" si="8">MIN(IF(O12&gt;$M$3,U12,IF(O12&gt;$L$3,T12,IF(O12&gt;$K$3,S12,R12))),J4)</f>
        <v>0.25129022299999998</v>
      </c>
      <c r="R12" s="51">
        <f t="shared" ref="R12:R75" si="9">$F$3</f>
        <v>0.1</v>
      </c>
      <c r="S12" s="51">
        <f t="shared" ref="S12:S75" si="10">((O12-$K$3)*0.00202+0.1)</f>
        <v>0.28414178600000001</v>
      </c>
      <c r="T12" s="51">
        <f t="shared" ref="T12:T75" si="11">((O12-$L$3)*0.00111+0.21122)</f>
        <v>0.25129022299999998</v>
      </c>
      <c r="U12" s="51">
        <f t="shared" ref="U12:U75" si="12">((O12-$M$3)*0.00059+0.33347)</f>
        <v>0.28979778699999997</v>
      </c>
      <c r="W12" s="51">
        <f t="shared" ref="W12:W75" si="13">IF(N12&gt;$D$2,0,((N12-$D$2)*0.00135))</f>
        <v>-0.12420695971531559</v>
      </c>
      <c r="X12" s="39">
        <f t="shared" ref="X12:X75" si="14">MAX(0.05,W12+Q12)</f>
        <v>0.12708326328468439</v>
      </c>
      <c r="Y12" s="39">
        <f t="shared" ref="Y12:Y75" si="15">IF(C12&gt;$A$5,X12,0.05)</f>
        <v>0.05</v>
      </c>
      <c r="AA12" s="85">
        <f>'Price Deck'!Q6/'Price Deck'!M6</f>
        <v>28.5</v>
      </c>
      <c r="AB12" s="72">
        <f t="shared" ref="AB12:AB75" si="16">AA12*E12</f>
        <v>55404.619565217341</v>
      </c>
      <c r="AC12" s="72">
        <f t="shared" ref="AC12:AC75" si="17">AB12*Y12</f>
        <v>2770.2309782608672</v>
      </c>
      <c r="AD12" s="85">
        <f t="shared" ref="AD12:AD75" si="18">AC12/E12</f>
        <v>1.425</v>
      </c>
    </row>
    <row r="13" spans="1:30">
      <c r="A13" t="str">
        <f>'Price Deck'!A7</f>
        <v>05/2019</v>
      </c>
      <c r="B13" s="51">
        <f>'Liquids Type Curve'!A20</f>
        <v>0.12285136501516584</v>
      </c>
      <c r="C13" s="51">
        <f>'Liquids Type Curve'!B20</f>
        <v>1.4742163801819901</v>
      </c>
      <c r="D13" s="51">
        <f>'Liquids Type Curve'!C20</f>
        <v>69.130434782608702</v>
      </c>
      <c r="E13" s="51">
        <f>'Liquids Type Curve'!D20</f>
        <v>2102.717391304348</v>
      </c>
      <c r="F13" s="51">
        <f>'Liquids Type Curve'!E20</f>
        <v>5726.2681159420263</v>
      </c>
      <c r="H13" s="51">
        <f t="shared" si="2"/>
        <v>0.12285136501516584</v>
      </c>
      <c r="I13" s="51">
        <f t="shared" si="3"/>
        <v>1.4742163801819901</v>
      </c>
      <c r="J13" s="51">
        <f t="shared" si="4"/>
        <v>22.813043478260873</v>
      </c>
      <c r="K13" s="51">
        <f t="shared" si="5"/>
        <v>693.89673913043487</v>
      </c>
      <c r="L13" s="51">
        <f t="shared" si="6"/>
        <v>1889.6684782608688</v>
      </c>
      <c r="N13" s="51">
        <f t="shared" si="7"/>
        <v>110.32095442310326</v>
      </c>
      <c r="O13" s="51">
        <f>(('Price Deck'!Q7/'Propane Royalties'!$B$2))/'Price Deck'!M7</f>
        <v>179.2593</v>
      </c>
      <c r="P13" s="39"/>
      <c r="Q13" s="51">
        <f t="shared" si="8"/>
        <v>0.25129022299999998</v>
      </c>
      <c r="R13" s="51">
        <f t="shared" si="9"/>
        <v>0.1</v>
      </c>
      <c r="S13" s="51">
        <f t="shared" si="10"/>
        <v>0.28414178600000001</v>
      </c>
      <c r="T13" s="51">
        <f t="shared" si="11"/>
        <v>0.25129022299999998</v>
      </c>
      <c r="U13" s="51">
        <f t="shared" si="12"/>
        <v>0.28979778699999997</v>
      </c>
      <c r="W13" s="51">
        <f t="shared" si="13"/>
        <v>-0.1129667115288106</v>
      </c>
      <c r="X13" s="39">
        <f t="shared" si="14"/>
        <v>0.13832351147118938</v>
      </c>
      <c r="Y13" s="39">
        <f t="shared" si="15"/>
        <v>0.05</v>
      </c>
      <c r="AA13" s="85">
        <f>'Price Deck'!Q7/'Price Deck'!M7</f>
        <v>28.5</v>
      </c>
      <c r="AB13" s="72">
        <f t="shared" si="16"/>
        <v>59927.445652173919</v>
      </c>
      <c r="AC13" s="72">
        <f t="shared" si="17"/>
        <v>2996.372282608696</v>
      </c>
      <c r="AD13" s="85">
        <f t="shared" si="18"/>
        <v>1.425</v>
      </c>
    </row>
    <row r="14" spans="1:30">
      <c r="A14" t="str">
        <f>'Price Deck'!A8</f>
        <v>06/2019</v>
      </c>
      <c r="B14" s="51">
        <f>'Liquids Type Curve'!A21</f>
        <v>0.16885743174924084</v>
      </c>
      <c r="C14" s="51">
        <f>'Liquids Type Curve'!B21</f>
        <v>2.0262891809908901</v>
      </c>
      <c r="D14" s="51">
        <f>'Liquids Type Curve'!C21</f>
        <v>72.608695652173907</v>
      </c>
      <c r="E14" s="51">
        <f>'Liquids Type Curve'!D21</f>
        <v>2208.514492753623</v>
      </c>
      <c r="F14" s="51">
        <f>'Liquids Type Curve'!E21</f>
        <v>7934.7826086956493</v>
      </c>
      <c r="H14" s="51">
        <f t="shared" si="2"/>
        <v>0.16885743174924084</v>
      </c>
      <c r="I14" s="51">
        <f t="shared" si="3"/>
        <v>2.0262891809908901</v>
      </c>
      <c r="J14" s="51">
        <f t="shared" si="4"/>
        <v>23.96086956521739</v>
      </c>
      <c r="K14" s="51">
        <f t="shared" si="5"/>
        <v>728.80978260869563</v>
      </c>
      <c r="L14" s="51">
        <f t="shared" si="6"/>
        <v>2618.4782608695646</v>
      </c>
      <c r="N14" s="51">
        <f t="shared" si="7"/>
        <v>115.87169426829082</v>
      </c>
      <c r="O14" s="51">
        <f>(('Price Deck'!Q8/'Propane Royalties'!$B$2))/'Price Deck'!M8</f>
        <v>179.2593</v>
      </c>
      <c r="P14" s="39"/>
      <c r="Q14" s="51">
        <f t="shared" si="8"/>
        <v>0.25129022299999998</v>
      </c>
      <c r="R14" s="51">
        <f t="shared" si="9"/>
        <v>0.1</v>
      </c>
      <c r="S14" s="51">
        <f t="shared" si="10"/>
        <v>0.28414178600000001</v>
      </c>
      <c r="T14" s="51">
        <f t="shared" si="11"/>
        <v>0.25129022299999998</v>
      </c>
      <c r="U14" s="51">
        <f t="shared" si="12"/>
        <v>0.28979778699999997</v>
      </c>
      <c r="W14" s="51">
        <f t="shared" si="13"/>
        <v>-0.1054732127378074</v>
      </c>
      <c r="X14" s="39">
        <f t="shared" si="14"/>
        <v>0.14581701026219257</v>
      </c>
      <c r="Y14" s="39">
        <f t="shared" si="15"/>
        <v>0.05</v>
      </c>
      <c r="AA14" s="85">
        <f>'Price Deck'!Q8/'Price Deck'!M8</f>
        <v>28.5</v>
      </c>
      <c r="AB14" s="72">
        <f t="shared" si="16"/>
        <v>62942.663043478256</v>
      </c>
      <c r="AC14" s="72">
        <f t="shared" si="17"/>
        <v>3147.133152173913</v>
      </c>
      <c r="AD14" s="85">
        <f t="shared" si="18"/>
        <v>1.425</v>
      </c>
    </row>
    <row r="15" spans="1:30">
      <c r="A15" t="str">
        <f>'Price Deck'!A9</f>
        <v>07/2019</v>
      </c>
      <c r="B15" s="51">
        <f>'Liquids Type Curve'!A22</f>
        <v>0.21486349848331585</v>
      </c>
      <c r="C15" s="51">
        <f>'Liquids Type Curve'!B22</f>
        <v>2.57836198179979</v>
      </c>
      <c r="D15" s="51">
        <f>'Liquids Type Curve'!C22</f>
        <v>76.086956521739197</v>
      </c>
      <c r="E15" s="51">
        <f>'Liquids Type Curve'!D22</f>
        <v>2314.3115942029008</v>
      </c>
      <c r="F15" s="51">
        <f>'Liquids Type Curve'!E22</f>
        <v>10249.09420289855</v>
      </c>
      <c r="H15" s="51">
        <f t="shared" si="2"/>
        <v>0.21486349848331585</v>
      </c>
      <c r="I15" s="51">
        <f t="shared" si="3"/>
        <v>2.57836198179979</v>
      </c>
      <c r="J15" s="51">
        <f t="shared" si="4"/>
        <v>25.108695652173935</v>
      </c>
      <c r="K15" s="51">
        <f t="shared" si="5"/>
        <v>763.7228260869573</v>
      </c>
      <c r="L15" s="51">
        <f t="shared" si="6"/>
        <v>3382.2010869565215</v>
      </c>
      <c r="N15" s="51">
        <f t="shared" si="7"/>
        <v>121.42243411347853</v>
      </c>
      <c r="O15" s="51">
        <f>(('Price Deck'!Q9/'Propane Royalties'!$B$2))/'Price Deck'!M9</f>
        <v>179.2593</v>
      </c>
      <c r="P15" s="39"/>
      <c r="Q15" s="51">
        <f t="shared" si="8"/>
        <v>0.25129022299999998</v>
      </c>
      <c r="R15" s="51">
        <f t="shared" si="9"/>
        <v>0.1</v>
      </c>
      <c r="S15" s="51">
        <f t="shared" si="10"/>
        <v>0.28414178600000001</v>
      </c>
      <c r="T15" s="51">
        <f t="shared" si="11"/>
        <v>0.25129022299999998</v>
      </c>
      <c r="U15" s="51">
        <f t="shared" si="12"/>
        <v>0.28979778699999997</v>
      </c>
      <c r="W15" s="51">
        <f t="shared" si="13"/>
        <v>-9.7979713946803992E-2</v>
      </c>
      <c r="X15" s="39">
        <f t="shared" si="14"/>
        <v>0.15331050905319599</v>
      </c>
      <c r="Y15" s="39">
        <f t="shared" si="15"/>
        <v>0.05</v>
      </c>
      <c r="AA15" s="85">
        <f>'Price Deck'!Q9/'Price Deck'!M9</f>
        <v>28.5</v>
      </c>
      <c r="AB15" s="72">
        <f t="shared" si="16"/>
        <v>65957.880434782666</v>
      </c>
      <c r="AC15" s="72">
        <f t="shared" si="17"/>
        <v>3297.8940217391337</v>
      </c>
      <c r="AD15" s="85">
        <f t="shared" si="18"/>
        <v>1.425</v>
      </c>
    </row>
    <row r="16" spans="1:30">
      <c r="A16" t="str">
        <f>'Price Deck'!A10</f>
        <v>08/2019</v>
      </c>
      <c r="B16" s="51">
        <f>'Liquids Type Curve'!A23</f>
        <v>0.272497472194135</v>
      </c>
      <c r="C16" s="51">
        <f>'Liquids Type Curve'!B23</f>
        <v>3.2699696663296201</v>
      </c>
      <c r="D16" s="51">
        <f>'Liquids Type Curve'!C23</f>
        <v>79.565217391304401</v>
      </c>
      <c r="E16" s="51">
        <f>'Liquids Type Curve'!D23</f>
        <v>2420.1086956521758</v>
      </c>
      <c r="F16" s="51">
        <f>'Liquids Type Curve'!E23</f>
        <v>12669.202898550726</v>
      </c>
      <c r="H16" s="51">
        <f t="shared" si="2"/>
        <v>0.272497472194135</v>
      </c>
      <c r="I16" s="51">
        <f t="shared" si="3"/>
        <v>3.2699696663296201</v>
      </c>
      <c r="J16" s="51">
        <f t="shared" si="4"/>
        <v>26.256521739130452</v>
      </c>
      <c r="K16" s="51">
        <f t="shared" si="5"/>
        <v>798.63586956521806</v>
      </c>
      <c r="L16" s="51">
        <f t="shared" si="6"/>
        <v>4180.8369565217399</v>
      </c>
      <c r="N16" s="51">
        <f t="shared" si="7"/>
        <v>126.97317395866611</v>
      </c>
      <c r="O16" s="51">
        <f>(('Price Deck'!Q10/'Propane Royalties'!$B$2))/'Price Deck'!M10</f>
        <v>179.2593</v>
      </c>
      <c r="P16" s="39"/>
      <c r="Q16" s="51">
        <f t="shared" si="8"/>
        <v>0.25129022299999998</v>
      </c>
      <c r="R16" s="51">
        <f t="shared" si="9"/>
        <v>0.1</v>
      </c>
      <c r="S16" s="51">
        <f t="shared" si="10"/>
        <v>0.28414178600000001</v>
      </c>
      <c r="T16" s="51">
        <f t="shared" si="11"/>
        <v>0.25129022299999998</v>
      </c>
      <c r="U16" s="51">
        <f t="shared" si="12"/>
        <v>0.28979778699999997</v>
      </c>
      <c r="W16" s="51">
        <f t="shared" si="13"/>
        <v>-9.0486215155800756E-2</v>
      </c>
      <c r="X16" s="39">
        <f t="shared" si="14"/>
        <v>0.16080400784419924</v>
      </c>
      <c r="Y16" s="39">
        <f t="shared" si="15"/>
        <v>0.05</v>
      </c>
      <c r="AA16" s="85">
        <f>'Price Deck'!Q10/'Price Deck'!M10</f>
        <v>28.5</v>
      </c>
      <c r="AB16" s="72">
        <f t="shared" si="16"/>
        <v>68973.097826087003</v>
      </c>
      <c r="AC16" s="72">
        <f t="shared" si="17"/>
        <v>3448.6548913043503</v>
      </c>
      <c r="AD16" s="85">
        <f t="shared" si="18"/>
        <v>1.4249999999999998</v>
      </c>
    </row>
    <row r="17" spans="1:30">
      <c r="A17" t="str">
        <f>'Price Deck'!A11</f>
        <v>09/2019</v>
      </c>
      <c r="B17" s="51">
        <f>'Liquids Type Curve'!A24</f>
        <v>0.3415065722952475</v>
      </c>
      <c r="C17" s="51">
        <f>'Liquids Type Curve'!B24</f>
        <v>4.09807886754297</v>
      </c>
      <c r="D17" s="51">
        <f>'Liquids Type Curve'!C24</f>
        <v>84.7826086956522</v>
      </c>
      <c r="E17" s="51">
        <f>'Liquids Type Curve'!D24</f>
        <v>2578.8043478260879</v>
      </c>
      <c r="F17" s="51">
        <f>'Liquids Type Curve'!E24</f>
        <v>15248.007246376814</v>
      </c>
      <c r="H17" s="51">
        <f t="shared" si="2"/>
        <v>0.3415065722952475</v>
      </c>
      <c r="I17" s="51">
        <f t="shared" si="3"/>
        <v>4.09807886754297</v>
      </c>
      <c r="J17" s="51">
        <f t="shared" si="4"/>
        <v>27.978260869565226</v>
      </c>
      <c r="K17" s="51">
        <f t="shared" si="5"/>
        <v>851.00543478260909</v>
      </c>
      <c r="L17" s="51">
        <f t="shared" si="6"/>
        <v>5031.8423913043489</v>
      </c>
      <c r="N17" s="51">
        <f t="shared" si="7"/>
        <v>135.29928372644744</v>
      </c>
      <c r="O17" s="51">
        <f>(('Price Deck'!Q11/'Propane Royalties'!$B$2))/'Price Deck'!M11</f>
        <v>179.2593</v>
      </c>
      <c r="P17" s="39"/>
      <c r="Q17" s="51">
        <f t="shared" si="8"/>
        <v>0.25129022299999998</v>
      </c>
      <c r="R17" s="51">
        <f t="shared" si="9"/>
        <v>0.1</v>
      </c>
      <c r="S17" s="51">
        <f t="shared" si="10"/>
        <v>0.28414178600000001</v>
      </c>
      <c r="T17" s="51">
        <f t="shared" si="11"/>
        <v>0.25129022299999998</v>
      </c>
      <c r="U17" s="51">
        <f t="shared" si="12"/>
        <v>0.28979778699999997</v>
      </c>
      <c r="W17" s="51">
        <f t="shared" si="13"/>
        <v>-7.9245966969295964E-2</v>
      </c>
      <c r="X17" s="39">
        <f t="shared" si="14"/>
        <v>0.172044256030704</v>
      </c>
      <c r="Y17" s="39">
        <f t="shared" si="15"/>
        <v>0.05</v>
      </c>
      <c r="AA17" s="85">
        <f>'Price Deck'!Q11/'Price Deck'!M11</f>
        <v>28.5</v>
      </c>
      <c r="AB17" s="72">
        <f t="shared" si="16"/>
        <v>73495.923913043502</v>
      </c>
      <c r="AC17" s="72">
        <f t="shared" si="17"/>
        <v>3674.7961956521754</v>
      </c>
      <c r="AD17" s="85">
        <f t="shared" si="18"/>
        <v>1.425</v>
      </c>
    </row>
    <row r="18" spans="1:30">
      <c r="A18" t="str">
        <f>'Price Deck'!A12</f>
        <v>10/2019</v>
      </c>
      <c r="B18" s="51">
        <f>'Liquids Type Curve'!A25</f>
        <v>0.38220424671385161</v>
      </c>
      <c r="C18" s="51">
        <f>'Liquids Type Curve'!B25</f>
        <v>4.5864509605662196</v>
      </c>
      <c r="D18" s="51">
        <f>'Liquids Type Curve'!C25</f>
        <v>84.7826086956522</v>
      </c>
      <c r="E18" s="51">
        <f>'Liquids Type Curve'!D25</f>
        <v>2578.8043478260879</v>
      </c>
      <c r="F18" s="51">
        <f>'Liquids Type Curve'!E25</f>
        <v>17826.811594202904</v>
      </c>
      <c r="H18" s="51">
        <f t="shared" si="2"/>
        <v>0.38220424671385161</v>
      </c>
      <c r="I18" s="51">
        <f t="shared" si="3"/>
        <v>4.5864509605662196</v>
      </c>
      <c r="J18" s="51">
        <f t="shared" si="4"/>
        <v>27.978260869565226</v>
      </c>
      <c r="K18" s="51">
        <f t="shared" si="5"/>
        <v>851.00543478260909</v>
      </c>
      <c r="L18" s="51">
        <f t="shared" si="6"/>
        <v>5882.8478260869588</v>
      </c>
      <c r="N18" s="51">
        <f t="shared" si="7"/>
        <v>135.29928372644744</v>
      </c>
      <c r="O18" s="51">
        <f>(('Price Deck'!Q12/'Propane Royalties'!$B$2))/'Price Deck'!M12</f>
        <v>179.2593</v>
      </c>
      <c r="P18" s="39"/>
      <c r="Q18" s="51">
        <f t="shared" si="8"/>
        <v>0.25129022299999998</v>
      </c>
      <c r="R18" s="51">
        <f t="shared" si="9"/>
        <v>0.1</v>
      </c>
      <c r="S18" s="51">
        <f t="shared" si="10"/>
        <v>0.28414178600000001</v>
      </c>
      <c r="T18" s="51">
        <f t="shared" si="11"/>
        <v>0.25129022299999998</v>
      </c>
      <c r="U18" s="51">
        <f t="shared" si="12"/>
        <v>0.28979778699999997</v>
      </c>
      <c r="W18" s="51">
        <f t="shared" si="13"/>
        <v>-7.9245966969295964E-2</v>
      </c>
      <c r="X18" s="39">
        <f t="shared" si="14"/>
        <v>0.172044256030704</v>
      </c>
      <c r="Y18" s="39">
        <f t="shared" si="15"/>
        <v>0.05</v>
      </c>
      <c r="AA18" s="85">
        <f>'Price Deck'!Q12/'Price Deck'!M12</f>
        <v>28.5</v>
      </c>
      <c r="AB18" s="72">
        <f t="shared" si="16"/>
        <v>73495.923913043502</v>
      </c>
      <c r="AC18" s="72">
        <f t="shared" si="17"/>
        <v>3674.7961956521754</v>
      </c>
      <c r="AD18" s="85">
        <f t="shared" si="18"/>
        <v>1.425</v>
      </c>
    </row>
    <row r="19" spans="1:30">
      <c r="A19" t="str">
        <f>'Price Deck'!A13</f>
        <v>11/2019</v>
      </c>
      <c r="B19" s="51">
        <f>'Liquids Type Curve'!A26</f>
        <v>0.4165824064711825</v>
      </c>
      <c r="C19" s="51">
        <f>'Liquids Type Curve'!B26</f>
        <v>4.99898887765419</v>
      </c>
      <c r="D19" s="51">
        <f>'Liquids Type Curve'!C26</f>
        <v>88.260869565217405</v>
      </c>
      <c r="E19" s="51">
        <f>'Liquids Type Curve'!D26</f>
        <v>2684.6014492753629</v>
      </c>
      <c r="F19" s="51">
        <f>'Liquids Type Curve'!E26</f>
        <v>20511.413043478267</v>
      </c>
      <c r="H19" s="51">
        <f t="shared" si="2"/>
        <v>0.4165824064711825</v>
      </c>
      <c r="I19" s="51">
        <f t="shared" si="3"/>
        <v>4.99898887765419</v>
      </c>
      <c r="J19" s="51">
        <f t="shared" si="4"/>
        <v>29.126086956521746</v>
      </c>
      <c r="K19" s="51">
        <f t="shared" si="5"/>
        <v>885.91847826086985</v>
      </c>
      <c r="L19" s="51">
        <f t="shared" si="6"/>
        <v>6768.7663043478287</v>
      </c>
      <c r="N19" s="51">
        <f t="shared" si="7"/>
        <v>140.85002357163501</v>
      </c>
      <c r="O19" s="51">
        <f>(('Price Deck'!Q13/'Propane Royalties'!$B$2))/'Price Deck'!M13</f>
        <v>179.2593</v>
      </c>
      <c r="P19" s="39"/>
      <c r="Q19" s="51">
        <f t="shared" si="8"/>
        <v>0.25129022299999998</v>
      </c>
      <c r="R19" s="51">
        <f t="shared" si="9"/>
        <v>0.1</v>
      </c>
      <c r="S19" s="51">
        <f t="shared" si="10"/>
        <v>0.28414178600000001</v>
      </c>
      <c r="T19" s="51">
        <f t="shared" si="11"/>
        <v>0.25129022299999998</v>
      </c>
      <c r="U19" s="51">
        <f t="shared" si="12"/>
        <v>0.28979778699999997</v>
      </c>
      <c r="W19" s="51">
        <f t="shared" si="13"/>
        <v>-7.1752468178292741E-2</v>
      </c>
      <c r="X19" s="39">
        <f t="shared" si="14"/>
        <v>0.17953775482170725</v>
      </c>
      <c r="Y19" s="39">
        <f t="shared" si="15"/>
        <v>0.05</v>
      </c>
      <c r="AA19" s="85">
        <f>'Price Deck'!Q13/'Price Deck'!M13</f>
        <v>28.5</v>
      </c>
      <c r="AB19" s="72">
        <f t="shared" si="16"/>
        <v>76511.141304347839</v>
      </c>
      <c r="AC19" s="72">
        <f t="shared" si="17"/>
        <v>3825.5570652173919</v>
      </c>
      <c r="AD19" s="85">
        <f t="shared" si="18"/>
        <v>1.4249999999999998</v>
      </c>
    </row>
    <row r="20" spans="1:30">
      <c r="A20" t="str">
        <f>'Price Deck'!A14</f>
        <v>12/2019</v>
      </c>
      <c r="B20" s="51">
        <f>'Liquids Type Curve'!A27</f>
        <v>0.48559150657229505</v>
      </c>
      <c r="C20" s="51">
        <f>'Liquids Type Curve'!B27</f>
        <v>5.8270980788675404</v>
      </c>
      <c r="D20" s="51">
        <f>'Liquids Type Curve'!C27</f>
        <v>93.478260869565304</v>
      </c>
      <c r="E20" s="51">
        <f>'Liquids Type Curve'!D27</f>
        <v>2843.2971014492782</v>
      </c>
      <c r="F20" s="51">
        <f>'Liquids Type Curve'!E27</f>
        <v>23354.710144927547</v>
      </c>
      <c r="H20" s="51">
        <f t="shared" si="2"/>
        <v>0.48559150657229505</v>
      </c>
      <c r="I20" s="51">
        <f t="shared" si="3"/>
        <v>5.8270980788675404</v>
      </c>
      <c r="J20" s="51">
        <f t="shared" si="4"/>
        <v>30.847826086956552</v>
      </c>
      <c r="K20" s="51">
        <f t="shared" si="5"/>
        <v>938.2880434782619</v>
      </c>
      <c r="L20" s="51">
        <f t="shared" si="6"/>
        <v>7707.0543478260906</v>
      </c>
      <c r="N20" s="51">
        <f t="shared" si="7"/>
        <v>149.17613333941651</v>
      </c>
      <c r="O20" s="51">
        <f>(('Price Deck'!Q14/'Propane Royalties'!$B$2))/'Price Deck'!M14</f>
        <v>179.2593</v>
      </c>
      <c r="P20" s="39"/>
      <c r="Q20" s="51">
        <f t="shared" si="8"/>
        <v>0.25129022299999998</v>
      </c>
      <c r="R20" s="51">
        <f t="shared" si="9"/>
        <v>0.1</v>
      </c>
      <c r="S20" s="51">
        <f t="shared" si="10"/>
        <v>0.28414178600000001</v>
      </c>
      <c r="T20" s="51">
        <f t="shared" si="11"/>
        <v>0.25129022299999998</v>
      </c>
      <c r="U20" s="51">
        <f t="shared" si="12"/>
        <v>0.28979778699999997</v>
      </c>
      <c r="W20" s="51">
        <f t="shared" si="13"/>
        <v>-6.0512219991787713E-2</v>
      </c>
      <c r="X20" s="39">
        <f t="shared" si="14"/>
        <v>0.19077800300821227</v>
      </c>
      <c r="Y20" s="39">
        <f t="shared" si="15"/>
        <v>0.05</v>
      </c>
      <c r="AA20" s="85">
        <f>'Price Deck'!Q14/'Price Deck'!M14</f>
        <v>28.5</v>
      </c>
      <c r="AB20" s="72">
        <f t="shared" si="16"/>
        <v>81033.967391304424</v>
      </c>
      <c r="AC20" s="72">
        <f t="shared" si="17"/>
        <v>4051.6983695652216</v>
      </c>
      <c r="AD20" s="85">
        <f t="shared" si="18"/>
        <v>1.425</v>
      </c>
    </row>
    <row r="21" spans="1:30">
      <c r="A21" t="str">
        <f>'Price Deck'!A15</f>
        <v>01/2020</v>
      </c>
      <c r="B21" s="51">
        <f>'Liquids Type Curve'!A28</f>
        <v>0.55535894843276001</v>
      </c>
      <c r="C21" s="51">
        <f>'Liquids Type Curve'!B28</f>
        <v>6.6643073811931197</v>
      </c>
      <c r="D21" s="51">
        <f>'Liquids Type Curve'!C28</f>
        <v>93.478260869565304</v>
      </c>
      <c r="E21" s="51">
        <f>'Liquids Type Curve'!D28</f>
        <v>2843.2971014492782</v>
      </c>
      <c r="F21" s="51">
        <f>'Liquids Type Curve'!E28</f>
        <v>26198.007246376827</v>
      </c>
      <c r="H21" s="51">
        <f t="shared" si="2"/>
        <v>0.55535894843276001</v>
      </c>
      <c r="I21" s="51">
        <f t="shared" si="3"/>
        <v>6.6643073811931197</v>
      </c>
      <c r="J21" s="51">
        <f t="shared" si="4"/>
        <v>30.847826086956552</v>
      </c>
      <c r="K21" s="51">
        <f t="shared" si="5"/>
        <v>938.2880434782619</v>
      </c>
      <c r="L21" s="51">
        <f t="shared" si="6"/>
        <v>8645.3423913043534</v>
      </c>
      <c r="N21" s="51">
        <f t="shared" si="7"/>
        <v>149.17613333941651</v>
      </c>
      <c r="O21" s="51">
        <f>(('Price Deck'!Q15/'Propane Royalties'!$B$2))/'Price Deck'!M15</f>
        <v>206.33612195121952</v>
      </c>
      <c r="P21" s="39"/>
      <c r="Q21" s="51">
        <f t="shared" si="8"/>
        <v>0.28134549536585368</v>
      </c>
      <c r="R21" s="51">
        <f t="shared" si="9"/>
        <v>0.1</v>
      </c>
      <c r="S21" s="51">
        <f t="shared" si="10"/>
        <v>0.33883696634146343</v>
      </c>
      <c r="T21" s="51">
        <f t="shared" si="11"/>
        <v>0.28134549536585368</v>
      </c>
      <c r="U21" s="51">
        <f t="shared" si="12"/>
        <v>0.30577311195121948</v>
      </c>
      <c r="W21" s="51">
        <f t="shared" si="13"/>
        <v>-6.0512219991787713E-2</v>
      </c>
      <c r="X21" s="39">
        <f t="shared" si="14"/>
        <v>0.22083327537406597</v>
      </c>
      <c r="Y21" s="39">
        <f t="shared" si="15"/>
        <v>0.05</v>
      </c>
      <c r="AA21" s="85">
        <f>'Price Deck'!Q15/'Price Deck'!M15</f>
        <v>32.804878048780488</v>
      </c>
      <c r="AB21" s="72">
        <f t="shared" si="16"/>
        <v>93274.014669494616</v>
      </c>
      <c r="AC21" s="72">
        <f t="shared" si="17"/>
        <v>4663.7007334747314</v>
      </c>
      <c r="AD21" s="85">
        <f t="shared" si="18"/>
        <v>1.6402439024390245</v>
      </c>
    </row>
    <row r="22" spans="1:30">
      <c r="A22" t="str">
        <f>'Price Deck'!A16</f>
        <v>02/2020</v>
      </c>
      <c r="B22" s="51">
        <f>'Liquids Type Curve'!A29</f>
        <v>0.61931243680485337</v>
      </c>
      <c r="C22" s="51">
        <f>'Liquids Type Curve'!B29</f>
        <v>7.43174924165824</v>
      </c>
      <c r="D22" s="51">
        <f>'Liquids Type Curve'!C29</f>
        <v>93.478260869565304</v>
      </c>
      <c r="E22" s="51">
        <f>'Liquids Type Curve'!D29</f>
        <v>2843.2971014492782</v>
      </c>
      <c r="F22" s="51">
        <f>'Liquids Type Curve'!E29</f>
        <v>29041.304347826106</v>
      </c>
      <c r="H22" s="51">
        <f t="shared" si="2"/>
        <v>0.61931243680485337</v>
      </c>
      <c r="I22" s="51">
        <f t="shared" si="3"/>
        <v>7.43174924165824</v>
      </c>
      <c r="J22" s="51">
        <f t="shared" si="4"/>
        <v>30.847826086956552</v>
      </c>
      <c r="K22" s="51">
        <f t="shared" si="5"/>
        <v>938.2880434782619</v>
      </c>
      <c r="L22" s="51">
        <f t="shared" si="6"/>
        <v>9583.6304347826153</v>
      </c>
      <c r="N22" s="51">
        <f t="shared" si="7"/>
        <v>149.17613333941651</v>
      </c>
      <c r="O22" s="51">
        <f>(('Price Deck'!Q16/'Propane Royalties'!$B$2))/'Price Deck'!M16</f>
        <v>206.33612195121952</v>
      </c>
      <c r="P22" s="39"/>
      <c r="Q22" s="51">
        <f t="shared" si="8"/>
        <v>0.28134549536585368</v>
      </c>
      <c r="R22" s="51">
        <f t="shared" si="9"/>
        <v>0.1</v>
      </c>
      <c r="S22" s="51">
        <f t="shared" si="10"/>
        <v>0.33883696634146343</v>
      </c>
      <c r="T22" s="51">
        <f t="shared" si="11"/>
        <v>0.28134549536585368</v>
      </c>
      <c r="U22" s="51">
        <f t="shared" si="12"/>
        <v>0.30577311195121948</v>
      </c>
      <c r="W22" s="51">
        <f t="shared" si="13"/>
        <v>-6.0512219991787713E-2</v>
      </c>
      <c r="X22" s="39">
        <f t="shared" si="14"/>
        <v>0.22083327537406597</v>
      </c>
      <c r="Y22" s="39">
        <f t="shared" si="15"/>
        <v>0.05</v>
      </c>
      <c r="AA22" s="85">
        <f>'Price Deck'!Q16/'Price Deck'!M16</f>
        <v>32.804878048780488</v>
      </c>
      <c r="AB22" s="72">
        <f t="shared" si="16"/>
        <v>93274.014669494616</v>
      </c>
      <c r="AC22" s="72">
        <f t="shared" si="17"/>
        <v>4663.7007334747314</v>
      </c>
      <c r="AD22" s="85">
        <f t="shared" si="18"/>
        <v>1.6402439024390245</v>
      </c>
    </row>
    <row r="23" spans="1:30">
      <c r="A23" t="str">
        <f>'Price Deck'!A17</f>
        <v>03/2020</v>
      </c>
      <c r="B23" s="51">
        <f>'Liquids Type Curve'!A30</f>
        <v>0.67189079878665325</v>
      </c>
      <c r="C23" s="51">
        <f>'Liquids Type Curve'!B30</f>
        <v>8.0626895854398395</v>
      </c>
      <c r="D23" s="51">
        <f>'Liquids Type Curve'!C30</f>
        <v>92</v>
      </c>
      <c r="E23" s="51">
        <f>'Liquids Type Curve'!D30</f>
        <v>2798.3333333333335</v>
      </c>
      <c r="F23" s="51">
        <f>'Liquids Type Curve'!E30</f>
        <v>31839.637681159438</v>
      </c>
      <c r="H23" s="51">
        <f t="shared" si="2"/>
        <v>0.67189079878665325</v>
      </c>
      <c r="I23" s="51">
        <f t="shared" si="3"/>
        <v>8.0626895854398395</v>
      </c>
      <c r="J23" s="51">
        <f t="shared" si="4"/>
        <v>30.360000000000003</v>
      </c>
      <c r="K23" s="51">
        <f t="shared" si="5"/>
        <v>923.45</v>
      </c>
      <c r="L23" s="51">
        <f t="shared" si="6"/>
        <v>10507.080434782614</v>
      </c>
      <c r="N23" s="51">
        <f t="shared" si="7"/>
        <v>146.81706890521161</v>
      </c>
      <c r="O23" s="51">
        <f>(('Price Deck'!Q17/'Propane Royalties'!$B$2))/'Price Deck'!M17</f>
        <v>206.33612195121952</v>
      </c>
      <c r="P23" s="39"/>
      <c r="Q23" s="51">
        <f t="shared" si="8"/>
        <v>0.28134549536585368</v>
      </c>
      <c r="R23" s="51">
        <f t="shared" si="9"/>
        <v>0.1</v>
      </c>
      <c r="S23" s="51">
        <f t="shared" si="10"/>
        <v>0.33883696634146343</v>
      </c>
      <c r="T23" s="51">
        <f t="shared" si="11"/>
        <v>0.28134549536585368</v>
      </c>
      <c r="U23" s="51">
        <f t="shared" si="12"/>
        <v>0.30577311195121948</v>
      </c>
      <c r="W23" s="51">
        <f t="shared" si="13"/>
        <v>-6.369695697796432E-2</v>
      </c>
      <c r="X23" s="39">
        <f t="shared" si="14"/>
        <v>0.21764853838788936</v>
      </c>
      <c r="Y23" s="39">
        <f t="shared" si="15"/>
        <v>0.05</v>
      </c>
      <c r="AA23" s="85">
        <f>'Price Deck'!Q17/'Price Deck'!M17</f>
        <v>32.804878048780488</v>
      </c>
      <c r="AB23" s="72">
        <f t="shared" si="16"/>
        <v>91798.983739837407</v>
      </c>
      <c r="AC23" s="72">
        <f t="shared" si="17"/>
        <v>4589.9491869918702</v>
      </c>
      <c r="AD23" s="85">
        <f t="shared" si="18"/>
        <v>1.6402439024390243</v>
      </c>
    </row>
    <row r="24" spans="1:30">
      <c r="A24" t="str">
        <f>'Price Deck'!A18</f>
        <v>04/2020</v>
      </c>
      <c r="B24" s="51">
        <f>'Liquids Type Curve'!A31</f>
        <v>0.75522413211998662</v>
      </c>
      <c r="C24" s="51">
        <f>'Liquids Type Curve'!B31</f>
        <v>9.0626895854398395</v>
      </c>
      <c r="D24" s="51">
        <f>'Liquids Type Curve'!C31</f>
        <v>87.321809873686405</v>
      </c>
      <c r="E24" s="51">
        <f>'Liquids Type Curve'!D31</f>
        <v>2656.0383836579617</v>
      </c>
      <c r="F24" s="51">
        <f>'Liquids Type Curve'!E31</f>
        <v>34495.676064817402</v>
      </c>
      <c r="H24" s="51">
        <f t="shared" si="2"/>
        <v>0.75522413211998662</v>
      </c>
      <c r="I24" s="51">
        <f t="shared" si="3"/>
        <v>9.0626895854398395</v>
      </c>
      <c r="J24" s="51">
        <f t="shared" si="4"/>
        <v>28.816197258316514</v>
      </c>
      <c r="K24" s="51">
        <f t="shared" si="5"/>
        <v>876.49266660712738</v>
      </c>
      <c r="L24" s="51">
        <f t="shared" si="6"/>
        <v>11383.573101389744</v>
      </c>
      <c r="N24" s="51">
        <f t="shared" si="7"/>
        <v>139.35143670818266</v>
      </c>
      <c r="O24" s="51">
        <f>(('Price Deck'!Q18/'Propane Royalties'!$B$2))/'Price Deck'!M18</f>
        <v>206.33612195121952</v>
      </c>
      <c r="P24" s="39"/>
      <c r="Q24" s="51">
        <f t="shared" si="8"/>
        <v>0.28134549536585368</v>
      </c>
      <c r="R24" s="51">
        <f t="shared" si="9"/>
        <v>0.1</v>
      </c>
      <c r="S24" s="51">
        <f t="shared" si="10"/>
        <v>0.33883696634146343</v>
      </c>
      <c r="T24" s="51">
        <f t="shared" si="11"/>
        <v>0.28134549536585368</v>
      </c>
      <c r="U24" s="51">
        <f t="shared" si="12"/>
        <v>0.30577311195121948</v>
      </c>
      <c r="W24" s="51">
        <f t="shared" si="13"/>
        <v>-7.3775560443953406E-2</v>
      </c>
      <c r="X24" s="39">
        <f t="shared" si="14"/>
        <v>0.20756993492190029</v>
      </c>
      <c r="Y24" s="39">
        <f t="shared" si="15"/>
        <v>0.05</v>
      </c>
      <c r="AA24" s="85">
        <f>'Price Deck'!Q18/'Price Deck'!M18</f>
        <v>32.804878048780488</v>
      </c>
      <c r="AB24" s="72">
        <f t="shared" si="16"/>
        <v>87131.015268779476</v>
      </c>
      <c r="AC24" s="72">
        <f t="shared" si="17"/>
        <v>4356.5507634389742</v>
      </c>
      <c r="AD24" s="85">
        <f t="shared" si="18"/>
        <v>1.6402439024390245</v>
      </c>
    </row>
    <row r="25" spans="1:30">
      <c r="A25" t="str">
        <f>'Price Deck'!A19</f>
        <v>05/2020</v>
      </c>
      <c r="B25" s="51">
        <f>'Liquids Type Curve'!A32</f>
        <v>0.83855746545331999</v>
      </c>
      <c r="C25" s="51">
        <f>'Liquids Type Curve'!B32</f>
        <v>10.062689585439839</v>
      </c>
      <c r="D25" s="51">
        <f>'Liquids Type Curve'!C32</f>
        <v>79.205102425857348</v>
      </c>
      <c r="E25" s="51">
        <f>'Liquids Type Curve'!D32</f>
        <v>2409.1551987864946</v>
      </c>
      <c r="F25" s="51">
        <f>'Liquids Type Curve'!E32</f>
        <v>36904.831263603897</v>
      </c>
      <c r="H25" s="51">
        <f t="shared" si="2"/>
        <v>0.83855746545331999</v>
      </c>
      <c r="I25" s="51">
        <f t="shared" si="3"/>
        <v>10.062689585439839</v>
      </c>
      <c r="J25" s="51">
        <f t="shared" si="4"/>
        <v>26.137683800532926</v>
      </c>
      <c r="K25" s="51">
        <f t="shared" si="5"/>
        <v>795.02121559954321</v>
      </c>
      <c r="L25" s="51">
        <f t="shared" si="6"/>
        <v>12178.594316989287</v>
      </c>
      <c r="N25" s="51">
        <f t="shared" si="7"/>
        <v>126.39848891849394</v>
      </c>
      <c r="O25" s="51">
        <f>(('Price Deck'!Q19/'Propane Royalties'!$B$2))/'Price Deck'!M19</f>
        <v>206.33612195121952</v>
      </c>
      <c r="P25" s="39"/>
      <c r="Q25" s="51">
        <f t="shared" si="8"/>
        <v>0.28134549536585368</v>
      </c>
      <c r="R25" s="51">
        <f t="shared" si="9"/>
        <v>0.1</v>
      </c>
      <c r="S25" s="51">
        <f t="shared" si="10"/>
        <v>0.33883696634146343</v>
      </c>
      <c r="T25" s="51">
        <f t="shared" si="11"/>
        <v>0.28134549536585368</v>
      </c>
      <c r="U25" s="51">
        <f t="shared" si="12"/>
        <v>0.30577311195121948</v>
      </c>
      <c r="W25" s="51">
        <f t="shared" si="13"/>
        <v>-9.1262039960033181E-2</v>
      </c>
      <c r="X25" s="39">
        <f t="shared" si="14"/>
        <v>0.1900834554058205</v>
      </c>
      <c r="Y25" s="39">
        <f t="shared" si="15"/>
        <v>0.05</v>
      </c>
      <c r="AA25" s="85">
        <f>'Price Deck'!Q19/'Price Deck'!M19</f>
        <v>32.804878048780488</v>
      </c>
      <c r="AB25" s="72">
        <f t="shared" si="16"/>
        <v>79032.04249677647</v>
      </c>
      <c r="AC25" s="72">
        <f t="shared" si="17"/>
        <v>3951.6021248388238</v>
      </c>
      <c r="AD25" s="85">
        <f t="shared" si="18"/>
        <v>1.6402439024390245</v>
      </c>
    </row>
    <row r="26" spans="1:30">
      <c r="A26" t="str">
        <f>'Price Deck'!A20</f>
        <v>06/2020</v>
      </c>
      <c r="B26" s="51">
        <f>'Liquids Type Curve'!A33</f>
        <v>0.92189079878665336</v>
      </c>
      <c r="C26" s="51">
        <f>'Liquids Type Curve'!B33</f>
        <v>11.062689585439841</v>
      </c>
      <c r="D26" s="51">
        <f>'Liquids Type Curve'!C33</f>
        <v>72.510543092929751</v>
      </c>
      <c r="E26" s="51">
        <f>'Liquids Type Curve'!D33</f>
        <v>2205.5290190766132</v>
      </c>
      <c r="F26" s="51">
        <f>'Liquids Type Curve'!E33</f>
        <v>39110.360282680507</v>
      </c>
      <c r="H26" s="51">
        <f t="shared" si="2"/>
        <v>0.92189079878665336</v>
      </c>
      <c r="I26" s="51">
        <f t="shared" si="3"/>
        <v>11.062689585439841</v>
      </c>
      <c r="J26" s="51">
        <f t="shared" si="4"/>
        <v>23.928479220666819</v>
      </c>
      <c r="K26" s="51">
        <f t="shared" si="5"/>
        <v>727.82457629528233</v>
      </c>
      <c r="L26" s="51">
        <f t="shared" si="6"/>
        <v>12906.418893284568</v>
      </c>
      <c r="N26" s="51">
        <f t="shared" si="7"/>
        <v>115.7150587133585</v>
      </c>
      <c r="O26" s="51">
        <f>(('Price Deck'!Q20/'Propane Royalties'!$B$2))/'Price Deck'!M20</f>
        <v>206.33612195121952</v>
      </c>
      <c r="P26" s="39"/>
      <c r="Q26" s="51">
        <f t="shared" si="8"/>
        <v>0.28134549536585368</v>
      </c>
      <c r="R26" s="51">
        <f t="shared" si="9"/>
        <v>0.1</v>
      </c>
      <c r="S26" s="51">
        <f t="shared" si="10"/>
        <v>0.33883696634146343</v>
      </c>
      <c r="T26" s="51">
        <f t="shared" si="11"/>
        <v>0.28134549536585368</v>
      </c>
      <c r="U26" s="51">
        <f t="shared" si="12"/>
        <v>0.30577311195121948</v>
      </c>
      <c r="W26" s="51">
        <f t="shared" si="13"/>
        <v>-0.10568467073696602</v>
      </c>
      <c r="X26" s="39">
        <f t="shared" si="14"/>
        <v>0.17566082462888766</v>
      </c>
      <c r="Y26" s="39">
        <f t="shared" si="15"/>
        <v>0.05</v>
      </c>
      <c r="AA26" s="85">
        <f>'Price Deck'!Q20/'Price Deck'!M20</f>
        <v>32.804878048780488</v>
      </c>
      <c r="AB26" s="72">
        <f t="shared" si="16"/>
        <v>72352.110503854754</v>
      </c>
      <c r="AC26" s="72">
        <f t="shared" si="17"/>
        <v>3617.6055251927378</v>
      </c>
      <c r="AD26" s="85">
        <f t="shared" si="18"/>
        <v>1.6402439024390245</v>
      </c>
    </row>
    <row r="27" spans="1:30">
      <c r="A27" t="str">
        <f>'Price Deck'!A21</f>
        <v>07/2020</v>
      </c>
      <c r="B27" s="51">
        <f>'Liquids Type Curve'!A34</f>
        <v>1.0052241321199866</v>
      </c>
      <c r="C27" s="51">
        <f>'Liquids Type Curve'!B34</f>
        <v>12.062689585439839</v>
      </c>
      <c r="D27" s="51">
        <f>'Liquids Type Curve'!C34</f>
        <v>66.891412926135061</v>
      </c>
      <c r="E27" s="51">
        <f>'Liquids Type Curve'!D34</f>
        <v>2034.6138098366082</v>
      </c>
      <c r="F27" s="51">
        <f>'Liquids Type Curve'!E34</f>
        <v>41144.974092517114</v>
      </c>
      <c r="H27" s="51">
        <f t="shared" si="2"/>
        <v>1.0052241321199866</v>
      </c>
      <c r="I27" s="51">
        <f t="shared" si="3"/>
        <v>12.062689585439839</v>
      </c>
      <c r="J27" s="51">
        <f t="shared" si="4"/>
        <v>22.074166265624569</v>
      </c>
      <c r="K27" s="51">
        <f t="shared" si="5"/>
        <v>671.42255724608071</v>
      </c>
      <c r="L27" s="51">
        <f t="shared" si="6"/>
        <v>13577.841450530648</v>
      </c>
      <c r="N27" s="51">
        <f t="shared" si="7"/>
        <v>106.7478389211232</v>
      </c>
      <c r="O27" s="51">
        <f>(('Price Deck'!Q21/'Propane Royalties'!$B$2))/'Price Deck'!M21</f>
        <v>206.33612195121952</v>
      </c>
      <c r="P27" s="39"/>
      <c r="Q27" s="51">
        <f t="shared" si="8"/>
        <v>0.28134549536585368</v>
      </c>
      <c r="R27" s="51">
        <f t="shared" si="9"/>
        <v>0.1</v>
      </c>
      <c r="S27" s="51">
        <f t="shared" si="10"/>
        <v>0.33883696634146343</v>
      </c>
      <c r="T27" s="51">
        <f t="shared" si="11"/>
        <v>0.28134549536585368</v>
      </c>
      <c r="U27" s="51">
        <f t="shared" si="12"/>
        <v>0.30577311195121948</v>
      </c>
      <c r="W27" s="51">
        <f t="shared" si="13"/>
        <v>-0.11779041745648368</v>
      </c>
      <c r="X27" s="39">
        <f t="shared" si="14"/>
        <v>0.16355507790937002</v>
      </c>
      <c r="Y27" s="39">
        <f t="shared" si="15"/>
        <v>0.05</v>
      </c>
      <c r="AA27" s="85">
        <f>'Price Deck'!Q21/'Price Deck'!M21</f>
        <v>32.804878048780488</v>
      </c>
      <c r="AB27" s="72">
        <f t="shared" si="16"/>
        <v>66745.257908054584</v>
      </c>
      <c r="AC27" s="72">
        <f t="shared" si="17"/>
        <v>3337.2628954027296</v>
      </c>
      <c r="AD27" s="85">
        <f t="shared" si="18"/>
        <v>1.6402439024390245</v>
      </c>
    </row>
    <row r="28" spans="1:30">
      <c r="A28" t="str">
        <f>'Price Deck'!A22</f>
        <v>08/2020</v>
      </c>
      <c r="B28" s="51">
        <f>'Liquids Type Curve'!A35</f>
        <v>1.0885574654533199</v>
      </c>
      <c r="C28" s="51">
        <f>'Liquids Type Curve'!B35</f>
        <v>13.062689585439838</v>
      </c>
      <c r="D28" s="51">
        <f>'Liquids Type Curve'!C35</f>
        <v>62.105653511985544</v>
      </c>
      <c r="E28" s="51">
        <f>'Liquids Type Curve'!D35</f>
        <v>1889.0469609895604</v>
      </c>
      <c r="F28" s="51">
        <f>'Liquids Type Curve'!E35</f>
        <v>43034.021053506673</v>
      </c>
      <c r="H28" s="51">
        <f t="shared" si="2"/>
        <v>1.0885574654533199</v>
      </c>
      <c r="I28" s="51">
        <f t="shared" si="3"/>
        <v>13.062689585439838</v>
      </c>
      <c r="J28" s="51">
        <f t="shared" si="4"/>
        <v>20.494865658955231</v>
      </c>
      <c r="K28" s="51">
        <f t="shared" si="5"/>
        <v>623.38549712655492</v>
      </c>
      <c r="L28" s="51">
        <f t="shared" si="6"/>
        <v>14201.226947657202</v>
      </c>
      <c r="N28" s="51">
        <f t="shared" si="7"/>
        <v>99.110543598612821</v>
      </c>
      <c r="O28" s="51">
        <f>(('Price Deck'!Q22/'Propane Royalties'!$B$2))/'Price Deck'!M22</f>
        <v>206.33612195121952</v>
      </c>
      <c r="P28" s="39"/>
      <c r="Q28" s="51">
        <f t="shared" si="8"/>
        <v>0.28134549536585368</v>
      </c>
      <c r="R28" s="51">
        <f t="shared" si="9"/>
        <v>0.1</v>
      </c>
      <c r="S28" s="51">
        <f t="shared" si="10"/>
        <v>0.33883696634146343</v>
      </c>
      <c r="T28" s="51">
        <f t="shared" si="11"/>
        <v>0.28134549536585368</v>
      </c>
      <c r="U28" s="51">
        <f t="shared" si="12"/>
        <v>0.30577311195121948</v>
      </c>
      <c r="W28" s="51">
        <f t="shared" si="13"/>
        <v>-0.12810076614187269</v>
      </c>
      <c r="X28" s="39">
        <f t="shared" si="14"/>
        <v>0.153244729223981</v>
      </c>
      <c r="Y28" s="39">
        <f t="shared" si="15"/>
        <v>0.05</v>
      </c>
      <c r="AA28" s="85">
        <f>'Price Deck'!Q22/'Price Deck'!M22</f>
        <v>32.804878048780488</v>
      </c>
      <c r="AB28" s="72">
        <f t="shared" si="16"/>
        <v>61969.955183681923</v>
      </c>
      <c r="AC28" s="72">
        <f t="shared" si="17"/>
        <v>3098.4977591840961</v>
      </c>
      <c r="AD28" s="85">
        <f t="shared" si="18"/>
        <v>1.6402439024390245</v>
      </c>
    </row>
    <row r="29" spans="1:30">
      <c r="A29" t="str">
        <f>'Price Deck'!A23</f>
        <v>09/2020</v>
      </c>
      <c r="B29" s="51">
        <f>'Liquids Type Curve'!A36</f>
        <v>1.1718907987866531</v>
      </c>
      <c r="C29" s="51">
        <f>'Liquids Type Curve'!B36</f>
        <v>14.062689585439838</v>
      </c>
      <c r="D29" s="51">
        <f>'Liquids Type Curve'!C36</f>
        <v>57.979063733217025</v>
      </c>
      <c r="E29" s="51">
        <f>'Liquids Type Curve'!D36</f>
        <v>1763.5298552186846</v>
      </c>
      <c r="F29" s="51">
        <f>'Liquids Type Curve'!E36</f>
        <v>44797.550908725359</v>
      </c>
      <c r="H29" s="51">
        <f t="shared" si="2"/>
        <v>1.1718907987866531</v>
      </c>
      <c r="I29" s="51">
        <f t="shared" si="3"/>
        <v>14.062689585439838</v>
      </c>
      <c r="J29" s="51">
        <f t="shared" si="4"/>
        <v>19.133091031961619</v>
      </c>
      <c r="K29" s="51">
        <f t="shared" si="5"/>
        <v>581.96485222216597</v>
      </c>
      <c r="L29" s="51">
        <f t="shared" si="6"/>
        <v>14783.191799879369</v>
      </c>
      <c r="N29" s="51">
        <f t="shared" si="7"/>
        <v>92.525176034558484</v>
      </c>
      <c r="O29" s="51">
        <f>(('Price Deck'!Q23/'Propane Royalties'!$B$2))/'Price Deck'!M23</f>
        <v>206.33612195121952</v>
      </c>
      <c r="P29" s="39"/>
      <c r="Q29" s="51">
        <f t="shared" si="8"/>
        <v>0.28134549536585368</v>
      </c>
      <c r="R29" s="51">
        <f t="shared" si="9"/>
        <v>0.1</v>
      </c>
      <c r="S29" s="51">
        <f t="shared" si="10"/>
        <v>0.33883696634146343</v>
      </c>
      <c r="T29" s="51">
        <f t="shared" si="11"/>
        <v>0.28134549536585368</v>
      </c>
      <c r="U29" s="51">
        <f t="shared" si="12"/>
        <v>0.30577311195121948</v>
      </c>
      <c r="W29" s="51">
        <f t="shared" si="13"/>
        <v>-0.13699101235334604</v>
      </c>
      <c r="X29" s="39">
        <f t="shared" si="14"/>
        <v>0.14435448301250764</v>
      </c>
      <c r="Y29" s="39">
        <f t="shared" si="15"/>
        <v>0.05</v>
      </c>
      <c r="AA29" s="85">
        <f>'Price Deck'!Q23/'Price Deck'!M23</f>
        <v>32.804878048780488</v>
      </c>
      <c r="AB29" s="72">
        <f t="shared" si="16"/>
        <v>57852.381835832457</v>
      </c>
      <c r="AC29" s="72">
        <f t="shared" si="17"/>
        <v>2892.6190917916228</v>
      </c>
      <c r="AD29" s="85">
        <f t="shared" si="18"/>
        <v>1.6402439024390243</v>
      </c>
    </row>
    <row r="30" spans="1:30">
      <c r="A30" t="str">
        <f>'Price Deck'!A24</f>
        <v>10/2020</v>
      </c>
      <c r="B30" s="51">
        <f>'Liquids Type Curve'!A37</f>
        <v>1.2552241321199864</v>
      </c>
      <c r="C30" s="51">
        <f>'Liquids Type Curve'!B37</f>
        <v>15.062689585439838</v>
      </c>
      <c r="D30" s="51">
        <f>'Liquids Type Curve'!C37</f>
        <v>54.383026565659094</v>
      </c>
      <c r="E30" s="51">
        <f>'Liquids Type Curve'!D37</f>
        <v>1654.1503913721308</v>
      </c>
      <c r="F30" s="51">
        <f>'Liquids Type Curve'!E37</f>
        <v>46451.701300097491</v>
      </c>
      <c r="H30" s="51">
        <f t="shared" si="2"/>
        <v>1.2552241321199864</v>
      </c>
      <c r="I30" s="51">
        <f t="shared" si="3"/>
        <v>15.062689585439838</v>
      </c>
      <c r="J30" s="51">
        <f t="shared" si="4"/>
        <v>17.946398766667503</v>
      </c>
      <c r="K30" s="51">
        <f t="shared" si="5"/>
        <v>545.86962915280321</v>
      </c>
      <c r="L30" s="51">
        <f t="shared" si="6"/>
        <v>15329.061429032174</v>
      </c>
      <c r="N30" s="51">
        <f t="shared" si="7"/>
        <v>86.786484332220937</v>
      </c>
      <c r="O30" s="51">
        <f>(('Price Deck'!Q24/'Propane Royalties'!$B$2))/'Price Deck'!M24</f>
        <v>206.33612195121952</v>
      </c>
      <c r="P30" s="39"/>
      <c r="Q30" s="51">
        <f t="shared" si="8"/>
        <v>0.28134549536585368</v>
      </c>
      <c r="R30" s="51">
        <f t="shared" si="9"/>
        <v>0.1</v>
      </c>
      <c r="S30" s="51">
        <f t="shared" si="10"/>
        <v>0.33883696634146343</v>
      </c>
      <c r="T30" s="51">
        <f t="shared" si="11"/>
        <v>0.28134549536585368</v>
      </c>
      <c r="U30" s="51">
        <f t="shared" si="12"/>
        <v>0.30577311195121948</v>
      </c>
      <c r="W30" s="51">
        <f t="shared" si="13"/>
        <v>-0.14473824615150174</v>
      </c>
      <c r="X30" s="39">
        <f t="shared" si="14"/>
        <v>0.13660724921435194</v>
      </c>
      <c r="Y30" s="39">
        <f t="shared" si="15"/>
        <v>0.05</v>
      </c>
      <c r="AA30" s="85">
        <f>'Price Deck'!Q24/'Price Deck'!M24</f>
        <v>32.804878048780488</v>
      </c>
      <c r="AB30" s="72">
        <f t="shared" si="16"/>
        <v>54264.201863305265</v>
      </c>
      <c r="AC30" s="72">
        <f t="shared" si="17"/>
        <v>2713.2100931652635</v>
      </c>
      <c r="AD30" s="85">
        <f t="shared" si="18"/>
        <v>1.6402439024390245</v>
      </c>
    </row>
    <row r="31" spans="1:30">
      <c r="A31" t="str">
        <f>'Price Deck'!A25</f>
        <v>11/2020</v>
      </c>
      <c r="B31" s="51">
        <f>'Liquids Type Curve'!A38</f>
        <v>1.3385574654533197</v>
      </c>
      <c r="C31" s="51">
        <f>'Liquids Type Curve'!B38</f>
        <v>16.062689585439834</v>
      </c>
      <c r="D31" s="51">
        <f>'Liquids Type Curve'!C38</f>
        <v>51.220480547096685</v>
      </c>
      <c r="E31" s="51">
        <f>'Liquids Type Curve'!D38</f>
        <v>1557.9562833075242</v>
      </c>
      <c r="F31" s="51">
        <f>'Liquids Type Curve'!E38</f>
        <v>48009.657583405016</v>
      </c>
      <c r="H31" s="51">
        <f t="shared" si="2"/>
        <v>1.3385574654533197</v>
      </c>
      <c r="I31" s="51">
        <f t="shared" si="3"/>
        <v>16.062689585439834</v>
      </c>
      <c r="J31" s="51">
        <f t="shared" si="4"/>
        <v>16.902758580541906</v>
      </c>
      <c r="K31" s="51">
        <f t="shared" si="5"/>
        <v>514.12557349148301</v>
      </c>
      <c r="L31" s="51">
        <f t="shared" si="6"/>
        <v>15843.187002523657</v>
      </c>
      <c r="N31" s="51">
        <f t="shared" si="7"/>
        <v>81.73957415044724</v>
      </c>
      <c r="O31" s="51">
        <f>(('Price Deck'!Q25/'Propane Royalties'!$B$2))/'Price Deck'!M25</f>
        <v>206.33612195121952</v>
      </c>
      <c r="P31" s="39"/>
      <c r="Q31" s="51">
        <f t="shared" si="8"/>
        <v>0.28134549536585368</v>
      </c>
      <c r="R31" s="51">
        <f t="shared" si="9"/>
        <v>0.1</v>
      </c>
      <c r="S31" s="51">
        <f t="shared" si="10"/>
        <v>0.33883696634146343</v>
      </c>
      <c r="T31" s="51">
        <f t="shared" si="11"/>
        <v>0.28134549536585368</v>
      </c>
      <c r="U31" s="51">
        <f t="shared" si="12"/>
        <v>0.30577311195121948</v>
      </c>
      <c r="W31" s="51">
        <f t="shared" si="13"/>
        <v>-0.15155157489689625</v>
      </c>
      <c r="X31" s="39">
        <f t="shared" si="14"/>
        <v>0.12979392046895744</v>
      </c>
      <c r="Y31" s="39">
        <f t="shared" si="15"/>
        <v>0.05</v>
      </c>
      <c r="AA31" s="85">
        <f>'Price Deck'!Q25/'Price Deck'!M25</f>
        <v>32.804878048780488</v>
      </c>
      <c r="AB31" s="72">
        <f t="shared" si="16"/>
        <v>51108.565879234637</v>
      </c>
      <c r="AC31" s="72">
        <f t="shared" si="17"/>
        <v>2555.4282939617319</v>
      </c>
      <c r="AD31" s="85">
        <f t="shared" si="18"/>
        <v>1.6402439024390245</v>
      </c>
    </row>
    <row r="32" spans="1:30">
      <c r="A32" t="str">
        <f>'Price Deck'!A26</f>
        <v>12/2020</v>
      </c>
      <c r="B32" s="51">
        <f>'Liquids Type Curve'!A39</f>
        <v>1.4218907987866529</v>
      </c>
      <c r="C32" s="51">
        <f>'Liquids Type Curve'!B39</f>
        <v>17.062689585439834</v>
      </c>
      <c r="D32" s="51">
        <f>'Liquids Type Curve'!C39</f>
        <v>48.41677899843517</v>
      </c>
      <c r="E32" s="51">
        <f>'Liquids Type Curve'!D39</f>
        <v>1472.6770278690699</v>
      </c>
      <c r="F32" s="51">
        <f>'Liquids Type Curve'!E39</f>
        <v>49482.334611274084</v>
      </c>
      <c r="H32" s="51">
        <f t="shared" si="2"/>
        <v>1.4218907987866529</v>
      </c>
      <c r="I32" s="51">
        <f t="shared" si="3"/>
        <v>17.062689585439834</v>
      </c>
      <c r="J32" s="51">
        <f t="shared" si="4"/>
        <v>15.977537069483606</v>
      </c>
      <c r="K32" s="51">
        <f t="shared" si="5"/>
        <v>485.98341919679308</v>
      </c>
      <c r="L32" s="51">
        <f t="shared" si="6"/>
        <v>16329.170421720448</v>
      </c>
      <c r="N32" s="51">
        <f t="shared" si="7"/>
        <v>77.265321504148474</v>
      </c>
      <c r="O32" s="51">
        <f>(('Price Deck'!Q26/'Propane Royalties'!$B$2))/'Price Deck'!M26</f>
        <v>206.33612195121952</v>
      </c>
      <c r="P32" s="39"/>
      <c r="Q32" s="51">
        <f t="shared" si="8"/>
        <v>0.28134549536585368</v>
      </c>
      <c r="R32" s="51">
        <f t="shared" si="9"/>
        <v>0.1</v>
      </c>
      <c r="S32" s="51">
        <f t="shared" si="10"/>
        <v>0.33883696634146343</v>
      </c>
      <c r="T32" s="51">
        <f t="shared" si="11"/>
        <v>0.28134549536585368</v>
      </c>
      <c r="U32" s="51">
        <f t="shared" si="12"/>
        <v>0.30577311195121948</v>
      </c>
      <c r="W32" s="51">
        <f t="shared" si="13"/>
        <v>-0.15759181596939956</v>
      </c>
      <c r="X32" s="39">
        <f t="shared" si="14"/>
        <v>0.12375367939645412</v>
      </c>
      <c r="Y32" s="39">
        <f t="shared" si="15"/>
        <v>0.05</v>
      </c>
      <c r="AA32" s="85">
        <f>'Price Deck'!Q26/'Price Deck'!M26</f>
        <v>32.804878048780488</v>
      </c>
      <c r="AB32" s="72">
        <f t="shared" si="16"/>
        <v>48310.990304485342</v>
      </c>
      <c r="AC32" s="72">
        <f t="shared" si="17"/>
        <v>2415.549515224267</v>
      </c>
      <c r="AD32" s="85">
        <f t="shared" si="18"/>
        <v>1.6402439024390243</v>
      </c>
    </row>
    <row r="33" spans="1:30">
      <c r="A33" t="str">
        <f>'Price Deck'!A27</f>
        <v>01/2021</v>
      </c>
      <c r="B33" s="51">
        <f>'Liquids Type Curve'!A40</f>
        <v>1.5052241321199862</v>
      </c>
      <c r="C33" s="51">
        <f>'Liquids Type Curve'!B40</f>
        <v>18.062689585439834</v>
      </c>
      <c r="D33" s="51">
        <f>'Liquids Type Curve'!C40</f>
        <v>45.913557319886465</v>
      </c>
      <c r="E33" s="51">
        <f>'Liquids Type Curve'!D40</f>
        <v>1396.5373684798801</v>
      </c>
      <c r="F33" s="51">
        <f>'Liquids Type Curve'!E40</f>
        <v>50878.871979753967</v>
      </c>
      <c r="H33" s="51">
        <f t="shared" si="2"/>
        <v>1.5052241321199862</v>
      </c>
      <c r="I33" s="51">
        <f t="shared" si="3"/>
        <v>18.062689585439834</v>
      </c>
      <c r="J33" s="51">
        <f t="shared" si="4"/>
        <v>15.151473915562534</v>
      </c>
      <c r="K33" s="51">
        <f t="shared" si="5"/>
        <v>460.85733159836047</v>
      </c>
      <c r="L33" s="51">
        <f t="shared" si="6"/>
        <v>16790.027753318809</v>
      </c>
      <c r="N33" s="51">
        <f t="shared" si="7"/>
        <v>73.270585964316908</v>
      </c>
      <c r="O33" s="51">
        <f>(('Price Deck'!Q27/'Propane Royalties'!$B$2))/'Price Deck'!M27</f>
        <v>221.67709756097562</v>
      </c>
      <c r="P33" s="39"/>
      <c r="Q33" s="51">
        <f t="shared" si="8"/>
        <v>0.29837397829268297</v>
      </c>
      <c r="R33" s="51">
        <f t="shared" si="9"/>
        <v>0.1</v>
      </c>
      <c r="S33" s="51">
        <f t="shared" si="10"/>
        <v>0.36982573707317079</v>
      </c>
      <c r="T33" s="51">
        <f t="shared" si="11"/>
        <v>0.29837397829268297</v>
      </c>
      <c r="U33" s="51">
        <f t="shared" si="12"/>
        <v>0.31482428756097558</v>
      </c>
      <c r="W33" s="51">
        <f t="shared" si="13"/>
        <v>-0.16298470894817219</v>
      </c>
      <c r="X33" s="39">
        <f t="shared" si="14"/>
        <v>0.13538926934451079</v>
      </c>
      <c r="Y33" s="39">
        <f t="shared" si="15"/>
        <v>0.05</v>
      </c>
      <c r="AA33" s="85">
        <f>'Price Deck'!Q27/'Price Deck'!M27</f>
        <v>35.243902439024389</v>
      </c>
      <c r="AB33" s="72">
        <f t="shared" si="16"/>
        <v>49219.42676715675</v>
      </c>
      <c r="AC33" s="72">
        <f t="shared" si="17"/>
        <v>2460.9713383578378</v>
      </c>
      <c r="AD33" s="85">
        <f t="shared" si="18"/>
        <v>1.7621951219512197</v>
      </c>
    </row>
    <row r="34" spans="1:30">
      <c r="A34" t="str">
        <f>'Price Deck'!A28</f>
        <v>02/2021</v>
      </c>
      <c r="B34" s="51">
        <f>'Liquids Type Curve'!A41</f>
        <v>1.5885574654533194</v>
      </c>
      <c r="C34" s="51">
        <f>'Liquids Type Curve'!B41</f>
        <v>19.062689585439834</v>
      </c>
      <c r="D34" s="51">
        <f>'Liquids Type Curve'!C41</f>
        <v>43.664512365176193</v>
      </c>
      <c r="E34" s="51">
        <f>'Liquids Type Curve'!D41</f>
        <v>1328.1289177741094</v>
      </c>
      <c r="F34" s="51">
        <f>'Liquids Type Curve'!E41</f>
        <v>52207.00089752808</v>
      </c>
      <c r="H34" s="51">
        <f t="shared" si="2"/>
        <v>1.5885574654533194</v>
      </c>
      <c r="I34" s="51">
        <f t="shared" si="3"/>
        <v>19.062689585439834</v>
      </c>
      <c r="J34" s="51">
        <f t="shared" si="4"/>
        <v>14.409289080508145</v>
      </c>
      <c r="K34" s="51">
        <f t="shared" si="5"/>
        <v>438.28254286545609</v>
      </c>
      <c r="L34" s="51">
        <f t="shared" si="6"/>
        <v>17228.310296184267</v>
      </c>
      <c r="N34" s="51">
        <f t="shared" si="7"/>
        <v>69.681475224244977</v>
      </c>
      <c r="O34" s="51">
        <f>(('Price Deck'!Q28/'Propane Royalties'!$B$2))/'Price Deck'!M28</f>
        <v>221.67709756097562</v>
      </c>
      <c r="P34" s="39"/>
      <c r="Q34" s="51">
        <f t="shared" si="8"/>
        <v>0.29837397829268297</v>
      </c>
      <c r="R34" s="51">
        <f t="shared" si="9"/>
        <v>0.1</v>
      </c>
      <c r="S34" s="51">
        <f t="shared" si="10"/>
        <v>0.36982573707317079</v>
      </c>
      <c r="T34" s="51">
        <f t="shared" si="11"/>
        <v>0.29837397829268297</v>
      </c>
      <c r="U34" s="51">
        <f t="shared" si="12"/>
        <v>0.31482428756097558</v>
      </c>
      <c r="W34" s="51">
        <f t="shared" si="13"/>
        <v>-0.16783000844726928</v>
      </c>
      <c r="X34" s="39">
        <f t="shared" si="14"/>
        <v>0.13054396984541369</v>
      </c>
      <c r="Y34" s="39">
        <f t="shared" si="15"/>
        <v>0.05</v>
      </c>
      <c r="AA34" s="85">
        <f>'Price Deck'!Q28/'Price Deck'!M28</f>
        <v>35.243902439024389</v>
      </c>
      <c r="AB34" s="72">
        <f t="shared" si="16"/>
        <v>46808.446004477752</v>
      </c>
      <c r="AC34" s="72">
        <f t="shared" si="17"/>
        <v>2340.4223002238878</v>
      </c>
      <c r="AD34" s="85">
        <f t="shared" si="18"/>
        <v>1.7621951219512195</v>
      </c>
    </row>
    <row r="35" spans="1:30">
      <c r="A35" t="str">
        <f>'Price Deck'!A29</f>
        <v>03/2021</v>
      </c>
      <c r="B35" s="51">
        <f>'Liquids Type Curve'!A42</f>
        <v>1.6718907987866527</v>
      </c>
      <c r="C35" s="51">
        <f>'Liquids Type Curve'!B42</f>
        <v>20.062689585439834</v>
      </c>
      <c r="D35" s="51">
        <f>'Liquids Type Curve'!C42</f>
        <v>41.632432019631906</v>
      </c>
      <c r="E35" s="51">
        <f>'Liquids Type Curve'!D42</f>
        <v>1266.3198072638038</v>
      </c>
      <c r="F35" s="51">
        <f>'Liquids Type Curve'!E42</f>
        <v>53473.320704791884</v>
      </c>
      <c r="H35" s="51">
        <f t="shared" si="2"/>
        <v>1.6718907987866527</v>
      </c>
      <c r="I35" s="51">
        <f t="shared" si="3"/>
        <v>20.062689585439834</v>
      </c>
      <c r="J35" s="51">
        <f t="shared" si="4"/>
        <v>13.73870256647853</v>
      </c>
      <c r="K35" s="51">
        <f t="shared" si="5"/>
        <v>417.88553639705526</v>
      </c>
      <c r="L35" s="51">
        <f t="shared" si="6"/>
        <v>17646.195832581321</v>
      </c>
      <c r="N35" s="51">
        <f t="shared" si="7"/>
        <v>66.438604788237342</v>
      </c>
      <c r="O35" s="51">
        <f>(('Price Deck'!Q29/'Propane Royalties'!$B$2))/'Price Deck'!M29</f>
        <v>221.67709756097562</v>
      </c>
      <c r="P35" s="39"/>
      <c r="Q35" s="51">
        <f t="shared" si="8"/>
        <v>0.29837397829268297</v>
      </c>
      <c r="R35" s="51">
        <f t="shared" si="9"/>
        <v>0.1</v>
      </c>
      <c r="S35" s="51">
        <f t="shared" si="10"/>
        <v>0.36982573707317079</v>
      </c>
      <c r="T35" s="51">
        <f t="shared" si="11"/>
        <v>0.29837397829268297</v>
      </c>
      <c r="U35" s="51">
        <f t="shared" si="12"/>
        <v>0.31482428756097558</v>
      </c>
      <c r="W35" s="51">
        <f t="shared" si="13"/>
        <v>-0.1722078835358796</v>
      </c>
      <c r="X35" s="39">
        <f t="shared" si="14"/>
        <v>0.12616609475680338</v>
      </c>
      <c r="Y35" s="39">
        <f t="shared" si="15"/>
        <v>0.05</v>
      </c>
      <c r="AA35" s="85">
        <f>'Price Deck'!Q29/'Price Deck'!M29</f>
        <v>35.243902439024389</v>
      </c>
      <c r="AB35" s="72">
        <f t="shared" si="16"/>
        <v>44630.051743809665</v>
      </c>
      <c r="AC35" s="72">
        <f t="shared" si="17"/>
        <v>2231.5025871904832</v>
      </c>
      <c r="AD35" s="85">
        <f t="shared" si="18"/>
        <v>1.7621951219512193</v>
      </c>
    </row>
    <row r="36" spans="1:30">
      <c r="A36" t="str">
        <f>'Price Deck'!A30</f>
        <v>04/2021</v>
      </c>
      <c r="B36" s="51">
        <f>'Liquids Type Curve'!A43</f>
        <v>1.755224132119986</v>
      </c>
      <c r="C36" s="51">
        <f>'Liquids Type Curve'!B43</f>
        <v>21.062689585439831</v>
      </c>
      <c r="D36" s="51">
        <f>'Liquids Type Curve'!C43</f>
        <v>39.787062804098859</v>
      </c>
      <c r="E36" s="51">
        <f>'Liquids Type Curve'!D43</f>
        <v>1210.189826958007</v>
      </c>
      <c r="F36" s="51">
        <f>'Liquids Type Curve'!E43</f>
        <v>54683.510531749889</v>
      </c>
      <c r="H36" s="51">
        <f t="shared" si="2"/>
        <v>1.755224132119986</v>
      </c>
      <c r="I36" s="51">
        <f t="shared" si="3"/>
        <v>21.062689585439831</v>
      </c>
      <c r="J36" s="51">
        <f t="shared" si="4"/>
        <v>13.129730725352625</v>
      </c>
      <c r="K36" s="51">
        <f t="shared" si="5"/>
        <v>399.36264289614229</v>
      </c>
      <c r="L36" s="51">
        <f t="shared" si="6"/>
        <v>18045.558475477465</v>
      </c>
      <c r="N36" s="51">
        <f t="shared" si="7"/>
        <v>63.493695013536566</v>
      </c>
      <c r="O36" s="51">
        <f>(('Price Deck'!Q30/'Propane Royalties'!$B$2))/'Price Deck'!M30</f>
        <v>221.67709756097562</v>
      </c>
      <c r="P36" s="39"/>
      <c r="Q36" s="51">
        <f t="shared" si="8"/>
        <v>0.29837397829268297</v>
      </c>
      <c r="R36" s="51">
        <f t="shared" si="9"/>
        <v>0.1</v>
      </c>
      <c r="S36" s="51">
        <f t="shared" si="10"/>
        <v>0.36982573707317079</v>
      </c>
      <c r="T36" s="51">
        <f t="shared" si="11"/>
        <v>0.29837397829268297</v>
      </c>
      <c r="U36" s="51">
        <f t="shared" si="12"/>
        <v>0.31482428756097558</v>
      </c>
      <c r="W36" s="51">
        <f t="shared" si="13"/>
        <v>-0.17618351173172564</v>
      </c>
      <c r="X36" s="39">
        <f t="shared" si="14"/>
        <v>0.12219046656095733</v>
      </c>
      <c r="Y36" s="39">
        <f t="shared" si="15"/>
        <v>0.05</v>
      </c>
      <c r="AA36" s="85">
        <f>'Price Deck'!Q30/'Price Deck'!M30</f>
        <v>35.243902439024389</v>
      </c>
      <c r="AB36" s="72">
        <f t="shared" si="16"/>
        <v>42651.812194007805</v>
      </c>
      <c r="AC36" s="72">
        <f t="shared" si="17"/>
        <v>2132.5906097003904</v>
      </c>
      <c r="AD36" s="85">
        <f t="shared" si="18"/>
        <v>1.7621951219512195</v>
      </c>
    </row>
    <row r="37" spans="1:30">
      <c r="A37" t="str">
        <f>'Price Deck'!A31</f>
        <v>05/2021</v>
      </c>
      <c r="B37" s="51">
        <f>'Liquids Type Curve'!A44</f>
        <v>1.8385574654533192</v>
      </c>
      <c r="C37" s="51">
        <f>'Liquids Type Curve'!B44</f>
        <v>22.062689585439831</v>
      </c>
      <c r="D37" s="51">
        <f>'Liquids Type Curve'!C44</f>
        <v>38.103551762394531</v>
      </c>
      <c r="E37" s="51">
        <f>'Liquids Type Curve'!D44</f>
        <v>1158.9830327728337</v>
      </c>
      <c r="F37" s="51">
        <f>'Liquids Type Curve'!E44</f>
        <v>55842.493564522723</v>
      </c>
      <c r="H37" s="51">
        <f t="shared" si="2"/>
        <v>1.8385574654533192</v>
      </c>
      <c r="I37" s="51">
        <f t="shared" si="3"/>
        <v>22.062689585439831</v>
      </c>
      <c r="J37" s="51">
        <f t="shared" si="4"/>
        <v>12.574172081590195</v>
      </c>
      <c r="K37" s="51">
        <f t="shared" si="5"/>
        <v>382.46440081503511</v>
      </c>
      <c r="L37" s="51">
        <f t="shared" si="6"/>
        <v>18428.0228762925</v>
      </c>
      <c r="N37" s="51">
        <f t="shared" si="7"/>
        <v>60.807084615573643</v>
      </c>
      <c r="O37" s="51">
        <f>(('Price Deck'!Q31/'Propane Royalties'!$B$2))/'Price Deck'!M31</f>
        <v>221.67709756097562</v>
      </c>
      <c r="P37" s="39"/>
      <c r="Q37" s="51">
        <f t="shared" si="8"/>
        <v>0.29837397829268297</v>
      </c>
      <c r="R37" s="51">
        <f t="shared" si="9"/>
        <v>0.1</v>
      </c>
      <c r="S37" s="51">
        <f t="shared" si="10"/>
        <v>0.36982573707317079</v>
      </c>
      <c r="T37" s="51">
        <f t="shared" si="11"/>
        <v>0.29837397829268297</v>
      </c>
      <c r="U37" s="51">
        <f t="shared" si="12"/>
        <v>0.31482428756097558</v>
      </c>
      <c r="W37" s="51">
        <f t="shared" si="13"/>
        <v>-0.1798104357689756</v>
      </c>
      <c r="X37" s="39">
        <f t="shared" si="14"/>
        <v>0.11856354252370738</v>
      </c>
      <c r="Y37" s="39">
        <f t="shared" si="15"/>
        <v>0.05</v>
      </c>
      <c r="AA37" s="85">
        <f>'Price Deck'!Q31/'Price Deck'!M31</f>
        <v>35.243902439024389</v>
      </c>
      <c r="AB37" s="72">
        <f t="shared" si="16"/>
        <v>40847.084935530358</v>
      </c>
      <c r="AC37" s="72">
        <f t="shared" si="17"/>
        <v>2042.354246776518</v>
      </c>
      <c r="AD37" s="85">
        <f t="shared" si="18"/>
        <v>1.7621951219512197</v>
      </c>
    </row>
    <row r="38" spans="1:30">
      <c r="A38" t="str">
        <f>'Price Deck'!A32</f>
        <v>06/2021</v>
      </c>
      <c r="B38" s="51">
        <f>'Liquids Type Curve'!A45</f>
        <v>1.9218907987866525</v>
      </c>
      <c r="C38" s="51">
        <f>'Liquids Type Curve'!B45</f>
        <v>23.062689585439831</v>
      </c>
      <c r="D38" s="51">
        <f>'Liquids Type Curve'!C45</f>
        <v>36.561289744757445</v>
      </c>
      <c r="E38" s="51">
        <f>'Liquids Type Curve'!D45</f>
        <v>1112.0725630697057</v>
      </c>
      <c r="F38" s="51">
        <f>'Liquids Type Curve'!E45</f>
        <v>56954.566127592429</v>
      </c>
      <c r="H38" s="51">
        <f t="shared" si="2"/>
        <v>1.9218907987866525</v>
      </c>
      <c r="I38" s="51">
        <f t="shared" si="3"/>
        <v>23.062689585439831</v>
      </c>
      <c r="J38" s="51">
        <f t="shared" si="4"/>
        <v>12.065225615769958</v>
      </c>
      <c r="K38" s="51">
        <f t="shared" si="5"/>
        <v>366.98394581300289</v>
      </c>
      <c r="L38" s="51">
        <f t="shared" si="6"/>
        <v>18795.006822105501</v>
      </c>
      <c r="N38" s="51">
        <f t="shared" si="7"/>
        <v>58.345884736081096</v>
      </c>
      <c r="O38" s="51">
        <f>(('Price Deck'!Q32/'Propane Royalties'!$B$2))/'Price Deck'!M32</f>
        <v>221.67709756097562</v>
      </c>
      <c r="P38" s="39"/>
      <c r="Q38" s="51">
        <f t="shared" si="8"/>
        <v>0.29837397829268297</v>
      </c>
      <c r="R38" s="51">
        <f t="shared" si="9"/>
        <v>0.1</v>
      </c>
      <c r="S38" s="51">
        <f t="shared" si="10"/>
        <v>0.36982573707317079</v>
      </c>
      <c r="T38" s="51">
        <f t="shared" si="11"/>
        <v>0.29837397829268297</v>
      </c>
      <c r="U38" s="51">
        <f t="shared" si="12"/>
        <v>0.31482428756097558</v>
      </c>
      <c r="W38" s="51">
        <f t="shared" si="13"/>
        <v>-0.18313305560629051</v>
      </c>
      <c r="X38" s="39">
        <f t="shared" si="14"/>
        <v>0.11524092268639247</v>
      </c>
      <c r="Y38" s="39">
        <f t="shared" si="15"/>
        <v>0.05</v>
      </c>
      <c r="AA38" s="85">
        <f>'Price Deck'!Q32/'Price Deck'!M32</f>
        <v>35.243902439024389</v>
      </c>
      <c r="AB38" s="72">
        <f t="shared" si="16"/>
        <v>39193.776917944502</v>
      </c>
      <c r="AC38" s="72">
        <f t="shared" si="17"/>
        <v>1959.6888458972253</v>
      </c>
      <c r="AD38" s="85">
        <f t="shared" si="18"/>
        <v>1.7621951219512195</v>
      </c>
    </row>
    <row r="39" spans="1:30">
      <c r="A39" t="str">
        <f>'Price Deck'!A33</f>
        <v>07/2021</v>
      </c>
      <c r="B39" s="51">
        <f>'Liquids Type Curve'!A46</f>
        <v>2.0052241321199857</v>
      </c>
      <c r="C39" s="51">
        <f>'Liquids Type Curve'!B46</f>
        <v>24.062689585439827</v>
      </c>
      <c r="D39" s="51">
        <f>'Liquids Type Curve'!C46</f>
        <v>35.143040277399855</v>
      </c>
      <c r="E39" s="51">
        <f>'Liquids Type Curve'!D46</f>
        <v>1068.9341417709122</v>
      </c>
      <c r="F39" s="51">
        <f>'Liquids Type Curve'!E46</f>
        <v>58023.500269363343</v>
      </c>
      <c r="H39" s="51">
        <f t="shared" si="2"/>
        <v>2.0052241321199857</v>
      </c>
      <c r="I39" s="51">
        <f t="shared" si="3"/>
        <v>24.062689585439827</v>
      </c>
      <c r="J39" s="51">
        <f t="shared" si="4"/>
        <v>11.597203291541954</v>
      </c>
      <c r="K39" s="51">
        <f t="shared" si="5"/>
        <v>352.74826678440104</v>
      </c>
      <c r="L39" s="51">
        <f t="shared" si="6"/>
        <v>19147.755088889906</v>
      </c>
      <c r="N39" s="51">
        <f t="shared" si="7"/>
        <v>56.082588760278711</v>
      </c>
      <c r="O39" s="51">
        <f>(('Price Deck'!Q33/'Propane Royalties'!$B$2))/'Price Deck'!M33</f>
        <v>221.67709756097562</v>
      </c>
      <c r="P39" s="39"/>
      <c r="Q39" s="51">
        <f t="shared" si="8"/>
        <v>0.29837397829268297</v>
      </c>
      <c r="R39" s="51">
        <f t="shared" si="9"/>
        <v>0.1</v>
      </c>
      <c r="S39" s="51">
        <f t="shared" si="10"/>
        <v>0.36982573707317079</v>
      </c>
      <c r="T39" s="51">
        <f t="shared" si="11"/>
        <v>0.29837397829268297</v>
      </c>
      <c r="U39" s="51">
        <f t="shared" si="12"/>
        <v>0.31482428756097558</v>
      </c>
      <c r="W39" s="51">
        <f t="shared" si="13"/>
        <v>-0.18618850517362373</v>
      </c>
      <c r="X39" s="39">
        <f t="shared" si="14"/>
        <v>0.11218547311905924</v>
      </c>
      <c r="Y39" s="39">
        <f t="shared" si="15"/>
        <v>0.11218547311905924</v>
      </c>
      <c r="AA39" s="85">
        <f>'Price Deck'!Q33/'Price Deck'!M33</f>
        <v>35.243902439024389</v>
      </c>
      <c r="AB39" s="72">
        <f t="shared" si="16"/>
        <v>37673.410606316298</v>
      </c>
      <c r="AC39" s="72">
        <f t="shared" si="17"/>
        <v>4226.4093928781786</v>
      </c>
      <c r="AD39" s="85">
        <f t="shared" si="18"/>
        <v>3.9538538696839174</v>
      </c>
    </row>
    <row r="40" spans="1:30">
      <c r="A40" t="str">
        <f>'Price Deck'!A34</f>
        <v>08/2021</v>
      </c>
      <c r="B40" s="51">
        <f>'Liquids Type Curve'!A47</f>
        <v>2.0885574654533192</v>
      </c>
      <c r="C40" s="51">
        <f>'Liquids Type Curve'!B47</f>
        <v>25.062689585439831</v>
      </c>
      <c r="D40" s="51">
        <f>'Liquids Type Curve'!C47</f>
        <v>33.834274914191383</v>
      </c>
      <c r="E40" s="51">
        <f>'Liquids Type Curve'!D47</f>
        <v>1029.1258619733212</v>
      </c>
      <c r="F40" s="51">
        <f>'Liquids Type Curve'!E47</f>
        <v>59052.626131336663</v>
      </c>
      <c r="H40" s="51">
        <f t="shared" si="2"/>
        <v>2.0885574654533192</v>
      </c>
      <c r="I40" s="51">
        <f t="shared" si="3"/>
        <v>25.062689585439831</v>
      </c>
      <c r="J40" s="51">
        <f t="shared" si="4"/>
        <v>11.165310721683158</v>
      </c>
      <c r="K40" s="51">
        <f t="shared" si="5"/>
        <v>339.61153445119601</v>
      </c>
      <c r="L40" s="51">
        <f t="shared" si="6"/>
        <v>19487.366623341099</v>
      </c>
      <c r="N40" s="51">
        <f t="shared" si="7"/>
        <v>53.994011646029442</v>
      </c>
      <c r="O40" s="51">
        <f>(('Price Deck'!Q34/'Propane Royalties'!$B$2))/'Price Deck'!M34</f>
        <v>221.67709756097562</v>
      </c>
      <c r="P40" s="39"/>
      <c r="Q40" s="51">
        <f t="shared" si="8"/>
        <v>0.29837397829268297</v>
      </c>
      <c r="R40" s="51">
        <f t="shared" si="9"/>
        <v>0.1</v>
      </c>
      <c r="S40" s="51">
        <f t="shared" si="10"/>
        <v>0.36982573707317079</v>
      </c>
      <c r="T40" s="51">
        <f t="shared" si="11"/>
        <v>0.29837397829268297</v>
      </c>
      <c r="U40" s="51">
        <f t="shared" si="12"/>
        <v>0.31482428756097558</v>
      </c>
      <c r="W40" s="51">
        <f t="shared" si="13"/>
        <v>-0.18900808427786028</v>
      </c>
      <c r="X40" s="39">
        <f t="shared" si="14"/>
        <v>0.10936589401482269</v>
      </c>
      <c r="Y40" s="39">
        <f t="shared" si="15"/>
        <v>0.10936589401482269</v>
      </c>
      <c r="AA40" s="85">
        <f>'Price Deck'!Q34/'Price Deck'!M34</f>
        <v>35.243902439024389</v>
      </c>
      <c r="AB40" s="72">
        <f t="shared" si="16"/>
        <v>36270.41147686461</v>
      </c>
      <c r="AC40" s="72">
        <f t="shared" si="17"/>
        <v>3966.7459774527833</v>
      </c>
      <c r="AD40" s="85">
        <f t="shared" si="18"/>
        <v>3.8544808988150918</v>
      </c>
    </row>
    <row r="41" spans="1:30">
      <c r="A41" t="str">
        <f>'Price Deck'!A35</f>
        <v>09/2021</v>
      </c>
      <c r="B41" s="51">
        <f>'Liquids Type Curve'!A48</f>
        <v>2.1718907987866527</v>
      </c>
      <c r="C41" s="51">
        <f>'Liquids Type Curve'!B48</f>
        <v>26.062689585439834</v>
      </c>
      <c r="D41" s="51">
        <f>'Liquids Type Curve'!C48</f>
        <v>32.622660075049097</v>
      </c>
      <c r="E41" s="51">
        <f>'Liquids Type Curve'!D48</f>
        <v>992.27257728274344</v>
      </c>
      <c r="F41" s="51">
        <f>'Liquids Type Curve'!E48</f>
        <v>60044.89870861941</v>
      </c>
      <c r="H41" s="51">
        <f t="shared" si="2"/>
        <v>2.1718907987866527</v>
      </c>
      <c r="I41" s="51">
        <f t="shared" si="3"/>
        <v>26.062689585439834</v>
      </c>
      <c r="J41" s="51">
        <f t="shared" si="4"/>
        <v>10.765477824766203</v>
      </c>
      <c r="K41" s="51">
        <f t="shared" si="5"/>
        <v>327.44995050330533</v>
      </c>
      <c r="L41" s="51">
        <f t="shared" si="6"/>
        <v>19814.816573844408</v>
      </c>
      <c r="N41" s="51">
        <f t="shared" si="7"/>
        <v>52.060471001193257</v>
      </c>
      <c r="O41" s="51">
        <f>(('Price Deck'!Q35/'Propane Royalties'!$B$2))/'Price Deck'!M35</f>
        <v>221.67709756097562</v>
      </c>
      <c r="P41" s="39"/>
      <c r="Q41" s="51">
        <f t="shared" si="8"/>
        <v>0.29837397829268297</v>
      </c>
      <c r="R41" s="51">
        <f t="shared" si="9"/>
        <v>0.1</v>
      </c>
      <c r="S41" s="51">
        <f t="shared" si="10"/>
        <v>0.36982573707317079</v>
      </c>
      <c r="T41" s="51">
        <f t="shared" si="11"/>
        <v>0.29837397829268297</v>
      </c>
      <c r="U41" s="51">
        <f t="shared" si="12"/>
        <v>0.31482428756097558</v>
      </c>
      <c r="W41" s="51">
        <f t="shared" si="13"/>
        <v>-0.19161836414838909</v>
      </c>
      <c r="X41" s="39">
        <f t="shared" si="14"/>
        <v>0.10675561414429388</v>
      </c>
      <c r="Y41" s="39">
        <f t="shared" si="15"/>
        <v>0.10675561414429388</v>
      </c>
      <c r="AA41" s="85">
        <f>'Price Deck'!Q35/'Price Deck'!M35</f>
        <v>35.243902439024389</v>
      </c>
      <c r="AB41" s="72">
        <f t="shared" si="16"/>
        <v>34971.5579066723</v>
      </c>
      <c r="AC41" s="72">
        <f t="shared" si="17"/>
        <v>3733.4101419095377</v>
      </c>
      <c r="AD41" s="85">
        <f t="shared" si="18"/>
        <v>3.7624844497196257</v>
      </c>
    </row>
    <row r="42" spans="1:30">
      <c r="A42" t="str">
        <f>'Price Deck'!A36</f>
        <v>10/2021</v>
      </c>
      <c r="B42" s="51">
        <f>'Liquids Type Curve'!A49</f>
        <v>2.2552241321199862</v>
      </c>
      <c r="C42" s="51">
        <f>'Liquids Type Curve'!B49</f>
        <v>27.062689585439834</v>
      </c>
      <c r="D42" s="51">
        <f>'Liquids Type Curve'!C49</f>
        <v>31.497656516355335</v>
      </c>
      <c r="E42" s="51">
        <f>'Liquids Type Curve'!D49</f>
        <v>958.05371903914147</v>
      </c>
      <c r="F42" s="51">
        <f>'Liquids Type Curve'!E49</f>
        <v>61002.952427658551</v>
      </c>
      <c r="H42" s="51">
        <f t="shared" si="2"/>
        <v>2.2552241321199862</v>
      </c>
      <c r="I42" s="51">
        <f t="shared" si="3"/>
        <v>27.062689585439834</v>
      </c>
      <c r="J42" s="51">
        <f t="shared" si="4"/>
        <v>10.394226650397261</v>
      </c>
      <c r="K42" s="51">
        <f t="shared" si="5"/>
        <v>316.15772728291671</v>
      </c>
      <c r="L42" s="51">
        <f t="shared" si="6"/>
        <v>20130.974301127324</v>
      </c>
      <c r="N42" s="51">
        <f t="shared" si="7"/>
        <v>50.265147903417713</v>
      </c>
      <c r="O42" s="51">
        <f>(('Price Deck'!Q36/'Propane Royalties'!$B$2))/'Price Deck'!M36</f>
        <v>221.67709756097562</v>
      </c>
      <c r="P42" s="39"/>
      <c r="Q42" s="51">
        <f t="shared" si="8"/>
        <v>0.29837397829268297</v>
      </c>
      <c r="R42" s="51">
        <f t="shared" si="9"/>
        <v>0.1</v>
      </c>
      <c r="S42" s="51">
        <f t="shared" si="10"/>
        <v>0.36982573707317079</v>
      </c>
      <c r="T42" s="51">
        <f t="shared" si="11"/>
        <v>0.29837397829268297</v>
      </c>
      <c r="U42" s="51">
        <f t="shared" si="12"/>
        <v>0.31482428756097558</v>
      </c>
      <c r="W42" s="51">
        <f t="shared" si="13"/>
        <v>-0.19404205033038613</v>
      </c>
      <c r="X42" s="39">
        <f t="shared" si="14"/>
        <v>0.10433192796229684</v>
      </c>
      <c r="Y42" s="39">
        <f t="shared" si="15"/>
        <v>0.10433192796229684</v>
      </c>
      <c r="AA42" s="85">
        <f>'Price Deck'!Q36/'Price Deck'!M36</f>
        <v>35.243902439024389</v>
      </c>
      <c r="AB42" s="72">
        <f t="shared" si="16"/>
        <v>33765.551805159987</v>
      </c>
      <c r="AC42" s="72">
        <f t="shared" si="17"/>
        <v>3522.8251185431541</v>
      </c>
      <c r="AD42" s="85">
        <f t="shared" si="18"/>
        <v>3.6770642903785111</v>
      </c>
    </row>
    <row r="43" spans="1:30">
      <c r="A43" t="str">
        <f>'Price Deck'!A37</f>
        <v>11/2021</v>
      </c>
      <c r="B43" s="51">
        <f>'Liquids Type Curve'!A50</f>
        <v>2.3385574654533197</v>
      </c>
      <c r="C43" s="51">
        <f>'Liquids Type Curve'!B50</f>
        <v>28.062689585439834</v>
      </c>
      <c r="D43" s="51">
        <f>'Liquids Type Curve'!C50</f>
        <v>30.450203575360582</v>
      </c>
      <c r="E43" s="51">
        <f>'Liquids Type Curve'!D50</f>
        <v>926.19369208388446</v>
      </c>
      <c r="F43" s="51">
        <f>'Liquids Type Curve'!E50</f>
        <v>61929.146119742436</v>
      </c>
      <c r="H43" s="51">
        <f t="shared" si="2"/>
        <v>2.3385574654533197</v>
      </c>
      <c r="I43" s="51">
        <f t="shared" si="3"/>
        <v>28.062689585439834</v>
      </c>
      <c r="J43" s="51">
        <f t="shared" si="4"/>
        <v>10.048567179868993</v>
      </c>
      <c r="K43" s="51">
        <f t="shared" si="5"/>
        <v>305.64391838768188</v>
      </c>
      <c r="L43" s="51">
        <f t="shared" si="6"/>
        <v>20436.618219515003</v>
      </c>
      <c r="N43" s="51">
        <f t="shared" si="7"/>
        <v>48.593583005450391</v>
      </c>
      <c r="O43" s="51">
        <f>(('Price Deck'!Q37/'Propane Royalties'!$B$2))/'Price Deck'!M37</f>
        <v>221.67709756097562</v>
      </c>
      <c r="P43" s="39"/>
      <c r="Q43" s="51">
        <f t="shared" si="8"/>
        <v>0.29837397829268297</v>
      </c>
      <c r="R43" s="51">
        <f t="shared" si="9"/>
        <v>0.1</v>
      </c>
      <c r="S43" s="51">
        <f t="shared" si="10"/>
        <v>0.36982573707317079</v>
      </c>
      <c r="T43" s="51">
        <f t="shared" si="11"/>
        <v>0.29837397829268297</v>
      </c>
      <c r="U43" s="51">
        <f t="shared" si="12"/>
        <v>0.31482428756097558</v>
      </c>
      <c r="W43" s="51">
        <f t="shared" si="13"/>
        <v>-0.19629866294264198</v>
      </c>
      <c r="X43" s="39">
        <f t="shared" si="14"/>
        <v>0.102075315350041</v>
      </c>
      <c r="Y43" s="39">
        <f t="shared" si="15"/>
        <v>0.102075315350041</v>
      </c>
      <c r="AA43" s="85">
        <f>'Price Deck'!Q37/'Price Deck'!M37</f>
        <v>35.243902439024389</v>
      </c>
      <c r="AB43" s="72">
        <f t="shared" si="16"/>
        <v>32642.680123444217</v>
      </c>
      <c r="AC43" s="72">
        <f t="shared" si="17"/>
        <v>3332.0118674710834</v>
      </c>
      <c r="AD43" s="85">
        <f t="shared" si="18"/>
        <v>3.597532455629493</v>
      </c>
    </row>
    <row r="44" spans="1:30">
      <c r="A44" t="str">
        <f>'Price Deck'!A38</f>
        <v>12/2021</v>
      </c>
      <c r="B44" s="51">
        <f>'Liquids Type Curve'!A51</f>
        <v>2.4218907987866531</v>
      </c>
      <c r="C44" s="51">
        <f>'Liquids Type Curve'!B51</f>
        <v>29.062689585439838</v>
      </c>
      <c r="D44" s="51">
        <f>'Liquids Type Curve'!C51</f>
        <v>29.47246794325341</v>
      </c>
      <c r="E44" s="51">
        <f>'Liquids Type Curve'!D51</f>
        <v>896.45423327395793</v>
      </c>
      <c r="F44" s="51">
        <f>'Liquids Type Curve'!E51</f>
        <v>62825.600353016394</v>
      </c>
      <c r="H44" s="51">
        <f t="shared" si="2"/>
        <v>2.4218907987866531</v>
      </c>
      <c r="I44" s="51">
        <f t="shared" si="3"/>
        <v>29.062689585439838</v>
      </c>
      <c r="J44" s="51">
        <f t="shared" si="4"/>
        <v>9.7259144212736253</v>
      </c>
      <c r="K44" s="51">
        <f t="shared" si="5"/>
        <v>295.82989698040615</v>
      </c>
      <c r="L44" s="51">
        <f t="shared" si="6"/>
        <v>20732.448116495412</v>
      </c>
      <c r="N44" s="51">
        <f t="shared" si="7"/>
        <v>47.03327561773127</v>
      </c>
      <c r="O44" s="51">
        <f>(('Price Deck'!Q38/'Propane Royalties'!$B$2))/'Price Deck'!M38</f>
        <v>221.67709756097562</v>
      </c>
      <c r="P44" s="39"/>
      <c r="Q44" s="51">
        <f t="shared" si="8"/>
        <v>0.29837397829268297</v>
      </c>
      <c r="R44" s="51">
        <f t="shared" si="9"/>
        <v>0.1</v>
      </c>
      <c r="S44" s="51">
        <f t="shared" si="10"/>
        <v>0.36982573707317079</v>
      </c>
      <c r="T44" s="51">
        <f t="shared" si="11"/>
        <v>0.29837397829268297</v>
      </c>
      <c r="U44" s="51">
        <f t="shared" si="12"/>
        <v>0.31482428756097558</v>
      </c>
      <c r="W44" s="51">
        <f t="shared" si="13"/>
        <v>-0.19840507791606279</v>
      </c>
      <c r="X44" s="39">
        <f t="shared" si="14"/>
        <v>9.9968900376620179E-2</v>
      </c>
      <c r="Y44" s="39">
        <f t="shared" si="15"/>
        <v>9.9968900376620179E-2</v>
      </c>
      <c r="AA44" s="85">
        <f>'Price Deck'!Q38/'Price Deck'!M38</f>
        <v>35.243902439024389</v>
      </c>
      <c r="AB44" s="72">
        <f t="shared" si="16"/>
        <v>31594.545538557784</v>
      </c>
      <c r="AC44" s="72">
        <f t="shared" si="17"/>
        <v>3158.4719753886725</v>
      </c>
      <c r="AD44" s="85">
        <f t="shared" si="18"/>
        <v>3.52329417181015</v>
      </c>
    </row>
    <row r="45" spans="1:30">
      <c r="A45" t="str">
        <f>'Price Deck'!A39</f>
        <v>01/2022</v>
      </c>
      <c r="B45" s="51">
        <f>'Liquids Type Curve'!A52</f>
        <v>2.5052241321199866</v>
      </c>
      <c r="C45" s="51">
        <f>'Liquids Type Curve'!B52</f>
        <v>30.062689585439841</v>
      </c>
      <c r="D45" s="51">
        <f>'Liquids Type Curve'!C52</f>
        <v>28.557642069722547</v>
      </c>
      <c r="E45" s="51">
        <f>'Liquids Type Curve'!D52</f>
        <v>868.62827962072754</v>
      </c>
      <c r="F45" s="51">
        <f>'Liquids Type Curve'!E52</f>
        <v>63694.228632637125</v>
      </c>
      <c r="H45" s="51">
        <f t="shared" si="2"/>
        <v>2.5052241321199866</v>
      </c>
      <c r="I45" s="51">
        <f t="shared" si="3"/>
        <v>30.062689585439841</v>
      </c>
      <c r="J45" s="51">
        <f t="shared" si="4"/>
        <v>9.4240218830084412</v>
      </c>
      <c r="K45" s="51">
        <f t="shared" si="5"/>
        <v>286.6473322748401</v>
      </c>
      <c r="L45" s="51">
        <f t="shared" si="6"/>
        <v>21019.095448770251</v>
      </c>
      <c r="N45" s="51">
        <f t="shared" si="7"/>
        <v>45.573361994791583</v>
      </c>
      <c r="O45" s="51">
        <f>(('Price Deck'!Q39/'Propane Royalties'!$B$2))/'Price Deck'!M39</f>
        <v>253.12609756097564</v>
      </c>
      <c r="P45" s="39"/>
      <c r="Q45" s="51">
        <f t="shared" si="8"/>
        <v>0.33328236829268298</v>
      </c>
      <c r="R45" s="51">
        <f t="shared" si="9"/>
        <v>0.1</v>
      </c>
      <c r="S45" s="51">
        <f t="shared" si="10"/>
        <v>0.4333527170731708</v>
      </c>
      <c r="T45" s="51">
        <f t="shared" si="11"/>
        <v>0.33328236829268298</v>
      </c>
      <c r="U45" s="51">
        <f t="shared" si="12"/>
        <v>0.33337919756097562</v>
      </c>
      <c r="W45" s="51">
        <f t="shared" si="13"/>
        <v>-0.20037596130703136</v>
      </c>
      <c r="X45" s="39">
        <f t="shared" si="14"/>
        <v>0.13290640698565162</v>
      </c>
      <c r="Y45" s="39">
        <f t="shared" si="15"/>
        <v>0.13290640698565162</v>
      </c>
      <c r="AA45" s="85">
        <f>'Price Deck'!Q39/'Price Deck'!M39</f>
        <v>40.243902439024396</v>
      </c>
      <c r="AB45" s="72">
        <f t="shared" si="16"/>
        <v>34956.991740834164</v>
      </c>
      <c r="AC45" s="72">
        <f t="shared" si="17"/>
        <v>4646.0081713013678</v>
      </c>
      <c r="AD45" s="85">
        <f t="shared" si="18"/>
        <v>5.348672476251835</v>
      </c>
    </row>
    <row r="46" spans="1:30">
      <c r="A46" t="str">
        <f>'Price Deck'!A40</f>
        <v>02/2022</v>
      </c>
      <c r="B46" s="51">
        <f>'Liquids Type Curve'!A53</f>
        <v>2.5885574654533201</v>
      </c>
      <c r="C46" s="51">
        <f>'Liquids Type Curve'!B53</f>
        <v>31.062689585439841</v>
      </c>
      <c r="D46" s="51">
        <f>'Liquids Type Curve'!C53</f>
        <v>27.699781110330612</v>
      </c>
      <c r="E46" s="51">
        <f>'Liquids Type Curve'!D53</f>
        <v>842.53500877255613</v>
      </c>
      <c r="F46" s="51">
        <f>'Liquids Type Curve'!E53</f>
        <v>64536.763641409678</v>
      </c>
      <c r="H46" s="51">
        <f t="shared" si="2"/>
        <v>2.5885574654533201</v>
      </c>
      <c r="I46" s="51">
        <f t="shared" si="3"/>
        <v>31.062689585439841</v>
      </c>
      <c r="J46" s="51">
        <f t="shared" si="4"/>
        <v>9.1409277664091029</v>
      </c>
      <c r="K46" s="51">
        <f t="shared" si="5"/>
        <v>278.03655289494355</v>
      </c>
      <c r="L46" s="51">
        <f t="shared" si="6"/>
        <v>21297.132001665195</v>
      </c>
      <c r="N46" s="51">
        <f t="shared" si="7"/>
        <v>44.204355129724881</v>
      </c>
      <c r="O46" s="51">
        <f>(('Price Deck'!Q40/'Propane Royalties'!$B$2))/'Price Deck'!M40</f>
        <v>253.12609756097564</v>
      </c>
      <c r="P46" s="39"/>
      <c r="Q46" s="51">
        <f t="shared" si="8"/>
        <v>0.33328236829268298</v>
      </c>
      <c r="R46" s="51">
        <f t="shared" si="9"/>
        <v>0.1</v>
      </c>
      <c r="S46" s="51">
        <f t="shared" si="10"/>
        <v>0.4333527170731708</v>
      </c>
      <c r="T46" s="51">
        <f t="shared" si="11"/>
        <v>0.33328236829268298</v>
      </c>
      <c r="U46" s="51">
        <f t="shared" si="12"/>
        <v>0.33337919756097562</v>
      </c>
      <c r="W46" s="51">
        <f t="shared" si="13"/>
        <v>-0.20222412057487141</v>
      </c>
      <c r="X46" s="39">
        <f t="shared" si="14"/>
        <v>0.13105824771781158</v>
      </c>
      <c r="Y46" s="39">
        <f t="shared" si="15"/>
        <v>0.13105824771781158</v>
      </c>
      <c r="AA46" s="85">
        <f>'Price Deck'!Q40/'Price Deck'!M40</f>
        <v>40.243902439024396</v>
      </c>
      <c r="AB46" s="72">
        <f t="shared" si="16"/>
        <v>33906.896694505311</v>
      </c>
      <c r="AC46" s="72">
        <f t="shared" si="17"/>
        <v>4443.7784663307239</v>
      </c>
      <c r="AD46" s="85">
        <f t="shared" si="18"/>
        <v>5.2742953349851005</v>
      </c>
    </row>
    <row r="47" spans="1:30">
      <c r="A47" t="str">
        <f>'Price Deck'!A41</f>
        <v>03/2022</v>
      </c>
      <c r="B47" s="51">
        <f>'Liquids Type Curve'!A54</f>
        <v>2.6718907987866536</v>
      </c>
      <c r="C47" s="51">
        <f>'Liquids Type Curve'!B54</f>
        <v>32.062689585439841</v>
      </c>
      <c r="D47" s="51">
        <f>'Liquids Type Curve'!C54</f>
        <v>26.893670074344161</v>
      </c>
      <c r="E47" s="51">
        <f>'Liquids Type Curve'!D54</f>
        <v>818.01579809463499</v>
      </c>
      <c r="F47" s="51">
        <f>'Liquids Type Curve'!E54</f>
        <v>65354.779439504309</v>
      </c>
      <c r="H47" s="51">
        <f t="shared" si="2"/>
        <v>2.6718907987866536</v>
      </c>
      <c r="I47" s="51">
        <f t="shared" si="3"/>
        <v>32.062689585439841</v>
      </c>
      <c r="J47" s="51">
        <f t="shared" si="4"/>
        <v>8.8749111245335737</v>
      </c>
      <c r="K47" s="51">
        <f t="shared" si="5"/>
        <v>269.94521337122956</v>
      </c>
      <c r="L47" s="51">
        <f t="shared" si="6"/>
        <v>21567.077215036425</v>
      </c>
      <c r="N47" s="51">
        <f t="shared" si="7"/>
        <v>42.917932743684943</v>
      </c>
      <c r="O47" s="51">
        <f>(('Price Deck'!Q41/'Propane Royalties'!$B$2))/'Price Deck'!M41</f>
        <v>253.12609756097564</v>
      </c>
      <c r="P47" s="39"/>
      <c r="Q47" s="51">
        <f t="shared" si="8"/>
        <v>0.33328236829268298</v>
      </c>
      <c r="R47" s="51">
        <f t="shared" si="9"/>
        <v>0.1</v>
      </c>
      <c r="S47" s="51">
        <f t="shared" si="10"/>
        <v>0.4333527170731708</v>
      </c>
      <c r="T47" s="51">
        <f t="shared" si="11"/>
        <v>0.33328236829268298</v>
      </c>
      <c r="U47" s="51">
        <f t="shared" si="12"/>
        <v>0.33337919756097562</v>
      </c>
      <c r="W47" s="51">
        <f t="shared" si="13"/>
        <v>-0.20396079079602533</v>
      </c>
      <c r="X47" s="39">
        <f t="shared" si="14"/>
        <v>0.12932157749665765</v>
      </c>
      <c r="Y47" s="39">
        <f t="shared" si="15"/>
        <v>0.12932157749665765</v>
      </c>
      <c r="AA47" s="85">
        <f>'Price Deck'!Q41/'Price Deck'!M41</f>
        <v>40.243902439024396</v>
      </c>
      <c r="AB47" s="72">
        <f t="shared" si="16"/>
        <v>32920.147972101171</v>
      </c>
      <c r="AC47" s="72">
        <f t="shared" si="17"/>
        <v>4257.2854671755185</v>
      </c>
      <c r="AD47" s="85">
        <f t="shared" si="18"/>
        <v>5.2044049480362231</v>
      </c>
    </row>
    <row r="48" spans="1:30">
      <c r="A48" t="str">
        <f>'Price Deck'!A42</f>
        <v>04/2022</v>
      </c>
      <c r="B48" s="51">
        <f>'Liquids Type Curve'!A55</f>
        <v>2.7552241321199871</v>
      </c>
      <c r="C48" s="51">
        <f>'Liquids Type Curve'!B55</f>
        <v>33.062689585439841</v>
      </c>
      <c r="D48" s="51">
        <f>'Liquids Type Curve'!C55</f>
        <v>26.134714834245361</v>
      </c>
      <c r="E48" s="51">
        <f>'Liquids Type Curve'!D55</f>
        <v>794.93090954162983</v>
      </c>
      <c r="F48" s="51">
        <f>'Liquids Type Curve'!E55</f>
        <v>66149.710349045941</v>
      </c>
      <c r="H48" s="51">
        <f t="shared" si="2"/>
        <v>2.7552241321199871</v>
      </c>
      <c r="I48" s="51">
        <f t="shared" si="3"/>
        <v>33.062689585439841</v>
      </c>
      <c r="J48" s="51">
        <f t="shared" si="4"/>
        <v>8.6244558953009705</v>
      </c>
      <c r="K48" s="51">
        <f t="shared" si="5"/>
        <v>262.32720014873786</v>
      </c>
      <c r="L48" s="51">
        <f t="shared" si="6"/>
        <v>21829.404415185163</v>
      </c>
      <c r="N48" s="51">
        <f t="shared" si="7"/>
        <v>41.706763354754976</v>
      </c>
      <c r="O48" s="51">
        <f>(('Price Deck'!Q42/'Propane Royalties'!$B$2))/'Price Deck'!M42</f>
        <v>253.12609756097564</v>
      </c>
      <c r="P48" s="39"/>
      <c r="Q48" s="51">
        <f t="shared" si="8"/>
        <v>0.33328236829268298</v>
      </c>
      <c r="R48" s="51">
        <f t="shared" si="9"/>
        <v>0.1</v>
      </c>
      <c r="S48" s="51">
        <f t="shared" si="10"/>
        <v>0.4333527170731708</v>
      </c>
      <c r="T48" s="51">
        <f t="shared" si="11"/>
        <v>0.33328236829268298</v>
      </c>
      <c r="U48" s="51">
        <f t="shared" si="12"/>
        <v>0.33337919756097562</v>
      </c>
      <c r="W48" s="51">
        <f t="shared" si="13"/>
        <v>-0.2055958694710808</v>
      </c>
      <c r="X48" s="39">
        <f t="shared" si="14"/>
        <v>0.12768649882160218</v>
      </c>
      <c r="Y48" s="39">
        <f t="shared" si="15"/>
        <v>0.12768649882160218</v>
      </c>
      <c r="AA48" s="85">
        <f>'Price Deck'!Q42/'Price Deck'!M42</f>
        <v>40.243902439024396</v>
      </c>
      <c r="AB48" s="72">
        <f t="shared" si="16"/>
        <v>31991.121969358279</v>
      </c>
      <c r="AC48" s="72">
        <f t="shared" si="17"/>
        <v>4084.8343576421976</v>
      </c>
      <c r="AD48" s="85">
        <f t="shared" si="18"/>
        <v>5.1386030013571622</v>
      </c>
    </row>
    <row r="49" spans="1:30">
      <c r="A49" t="str">
        <f>'Price Deck'!A43</f>
        <v>05/2022</v>
      </c>
      <c r="B49" s="51">
        <f>'Liquids Type Curve'!A56</f>
        <v>2.8385574654533205</v>
      </c>
      <c r="C49" s="51">
        <f>'Liquids Type Curve'!B56</f>
        <v>34.062689585439848</v>
      </c>
      <c r="D49" s="51">
        <f>'Liquids Type Curve'!C56</f>
        <v>25.41885213578972</v>
      </c>
      <c r="E49" s="51">
        <f>'Liquids Type Curve'!D56</f>
        <v>773.15675246360399</v>
      </c>
      <c r="F49" s="51">
        <f>'Liquids Type Curve'!E56</f>
        <v>66922.867101509546</v>
      </c>
      <c r="H49" s="51">
        <f t="shared" si="2"/>
        <v>2.8385574654533205</v>
      </c>
      <c r="I49" s="51">
        <f t="shared" si="3"/>
        <v>34.062689585439848</v>
      </c>
      <c r="J49" s="51">
        <f t="shared" si="4"/>
        <v>8.3882212048106073</v>
      </c>
      <c r="K49" s="51">
        <f t="shared" si="5"/>
        <v>255.14172831298933</v>
      </c>
      <c r="L49" s="51">
        <f t="shared" si="6"/>
        <v>22084.546143498152</v>
      </c>
      <c r="N49" s="51">
        <f t="shared" si="7"/>
        <v>40.564362668604616</v>
      </c>
      <c r="O49" s="51">
        <f>(('Price Deck'!Q43/'Propane Royalties'!$B$2))/'Price Deck'!M43</f>
        <v>253.12609756097564</v>
      </c>
      <c r="P49" s="39"/>
      <c r="Q49" s="51">
        <f t="shared" si="8"/>
        <v>0.33328236829268298</v>
      </c>
      <c r="R49" s="51">
        <f t="shared" si="9"/>
        <v>0.1</v>
      </c>
      <c r="S49" s="51">
        <f t="shared" si="10"/>
        <v>0.4333527170731708</v>
      </c>
      <c r="T49" s="51">
        <f t="shared" si="11"/>
        <v>0.33328236829268298</v>
      </c>
      <c r="U49" s="51">
        <f t="shared" si="12"/>
        <v>0.33337919756097562</v>
      </c>
      <c r="W49" s="51">
        <f t="shared" si="13"/>
        <v>-0.20713811039738378</v>
      </c>
      <c r="X49" s="39">
        <f t="shared" si="14"/>
        <v>0.12614425789529921</v>
      </c>
      <c r="Y49" s="39">
        <f t="shared" si="15"/>
        <v>0.12614425789529921</v>
      </c>
      <c r="AA49" s="85">
        <f>'Price Deck'!Q43/'Price Deck'!M43</f>
        <v>40.243902439024396</v>
      </c>
      <c r="AB49" s="72">
        <f t="shared" si="16"/>
        <v>31114.844916218215</v>
      </c>
      <c r="AC49" s="72">
        <f t="shared" si="17"/>
        <v>3924.9590214836699</v>
      </c>
      <c r="AD49" s="85">
        <f t="shared" si="18"/>
        <v>5.0765372079815538</v>
      </c>
    </row>
    <row r="50" spans="1:30">
      <c r="A50" t="str">
        <f>'Price Deck'!A44</f>
        <v>06/2022</v>
      </c>
      <c r="B50" s="51">
        <f>'Liquids Type Curve'!A57</f>
        <v>2.921890798786654</v>
      </c>
      <c r="C50" s="51">
        <f>'Liquids Type Curve'!B57</f>
        <v>35.062689585439848</v>
      </c>
      <c r="D50" s="51">
        <f>'Liquids Type Curve'!C57</f>
        <v>24.742474848305317</v>
      </c>
      <c r="E50" s="51">
        <f>'Liquids Type Curve'!D57</f>
        <v>752.58360996928673</v>
      </c>
      <c r="F50" s="51">
        <f>'Liquids Type Curve'!E57</f>
        <v>67675.450711478828</v>
      </c>
      <c r="H50" s="51">
        <f t="shared" si="2"/>
        <v>2.921890798786654</v>
      </c>
      <c r="I50" s="51">
        <f t="shared" si="3"/>
        <v>35.062689585439848</v>
      </c>
      <c r="J50" s="51">
        <f t="shared" si="4"/>
        <v>8.1650166999407556</v>
      </c>
      <c r="K50" s="51">
        <f t="shared" si="5"/>
        <v>248.35259128986462</v>
      </c>
      <c r="L50" s="51">
        <f t="shared" si="6"/>
        <v>22332.898734788014</v>
      </c>
      <c r="N50" s="51">
        <f t="shared" si="7"/>
        <v>39.48497429009899</v>
      </c>
      <c r="O50" s="51">
        <f>(('Price Deck'!Q44/'Propane Royalties'!$B$2))/'Price Deck'!M44</f>
        <v>253.12609756097564</v>
      </c>
      <c r="P50" s="39"/>
      <c r="Q50" s="51">
        <f t="shared" si="8"/>
        <v>0.33328236829268298</v>
      </c>
      <c r="R50" s="51">
        <f t="shared" si="9"/>
        <v>0.1</v>
      </c>
      <c r="S50" s="51">
        <f t="shared" si="10"/>
        <v>0.4333527170731708</v>
      </c>
      <c r="T50" s="51">
        <f t="shared" si="11"/>
        <v>0.33328236829268298</v>
      </c>
      <c r="U50" s="51">
        <f t="shared" si="12"/>
        <v>0.33337919756097562</v>
      </c>
      <c r="W50" s="51">
        <f t="shared" si="13"/>
        <v>-0.20859528470836639</v>
      </c>
      <c r="X50" s="39">
        <f t="shared" si="14"/>
        <v>0.1246870835843166</v>
      </c>
      <c r="Y50" s="39">
        <f t="shared" si="15"/>
        <v>0.1246870835843166</v>
      </c>
      <c r="AA50" s="85">
        <f>'Price Deck'!Q44/'Price Deck'!M44</f>
        <v>40.243902439024396</v>
      </c>
      <c r="AB50" s="72">
        <f t="shared" si="16"/>
        <v>30286.901376812762</v>
      </c>
      <c r="AC50" s="72">
        <f t="shared" si="17"/>
        <v>3776.3854034806063</v>
      </c>
      <c r="AD50" s="85">
        <f t="shared" si="18"/>
        <v>5.0178948271737172</v>
      </c>
    </row>
    <row r="51" spans="1:30">
      <c r="A51" t="str">
        <f>'Price Deck'!A45</f>
        <v>07/2022</v>
      </c>
      <c r="B51" s="51">
        <f>'Liquids Type Curve'!A58</f>
        <v>3.0052241321199875</v>
      </c>
      <c r="C51" s="51">
        <f>'Liquids Type Curve'!B58</f>
        <v>36.062689585439848</v>
      </c>
      <c r="D51" s="51">
        <f>'Liquids Type Curve'!C58</f>
        <v>24.102369522833822</v>
      </c>
      <c r="E51" s="51">
        <f>'Liquids Type Curve'!D58</f>
        <v>733.11373965286214</v>
      </c>
      <c r="F51" s="51">
        <f>'Liquids Type Curve'!E58</f>
        <v>68408.564451131693</v>
      </c>
      <c r="H51" s="51">
        <f t="shared" si="2"/>
        <v>3.0052241321199875</v>
      </c>
      <c r="I51" s="51">
        <f t="shared" si="3"/>
        <v>36.062689585439848</v>
      </c>
      <c r="J51" s="51">
        <f t="shared" si="4"/>
        <v>7.9537819425351612</v>
      </c>
      <c r="K51" s="51">
        <f t="shared" si="5"/>
        <v>241.92753408544451</v>
      </c>
      <c r="L51" s="51">
        <f t="shared" si="6"/>
        <v>22574.826268873461</v>
      </c>
      <c r="N51" s="51">
        <f t="shared" si="7"/>
        <v>38.463470076225718</v>
      </c>
      <c r="O51" s="51">
        <f>(('Price Deck'!Q45/'Propane Royalties'!$B$2))/'Price Deck'!M45</f>
        <v>253.12609756097564</v>
      </c>
      <c r="P51" s="39"/>
      <c r="Q51" s="51">
        <f t="shared" si="8"/>
        <v>0.33328236829268298</v>
      </c>
      <c r="R51" s="51">
        <f t="shared" si="9"/>
        <v>0.1</v>
      </c>
      <c r="S51" s="51">
        <f t="shared" si="10"/>
        <v>0.4333527170731708</v>
      </c>
      <c r="T51" s="51">
        <f t="shared" si="11"/>
        <v>0.33328236829268298</v>
      </c>
      <c r="U51" s="51">
        <f t="shared" si="12"/>
        <v>0.33337919756097562</v>
      </c>
      <c r="W51" s="51">
        <f t="shared" si="13"/>
        <v>-0.2099743153970953</v>
      </c>
      <c r="X51" s="39">
        <f t="shared" si="14"/>
        <v>0.12330805289558769</v>
      </c>
      <c r="Y51" s="39">
        <f t="shared" si="15"/>
        <v>0.12330805289558769</v>
      </c>
      <c r="AA51" s="85">
        <f>'Price Deck'!Q45/'Price Deck'!M45</f>
        <v>40.243902439024396</v>
      </c>
      <c r="AB51" s="72">
        <f t="shared" si="16"/>
        <v>29503.357815298114</v>
      </c>
      <c r="AC51" s="72">
        <f t="shared" si="17"/>
        <v>3638.0016060862304</v>
      </c>
      <c r="AD51" s="85">
        <f t="shared" si="18"/>
        <v>4.9623972506760907</v>
      </c>
    </row>
    <row r="52" spans="1:30">
      <c r="A52" t="str">
        <f>'Price Deck'!A46</f>
        <v>08/2022</v>
      </c>
      <c r="B52" s="51">
        <f>'Liquids Type Curve'!A59</f>
        <v>3.088557465453321</v>
      </c>
      <c r="C52" s="51">
        <f>'Liquids Type Curve'!B59</f>
        <v>37.062689585439855</v>
      </c>
      <c r="D52" s="51">
        <f>'Liquids Type Curve'!C59</f>
        <v>23.49566395390115</v>
      </c>
      <c r="E52" s="51">
        <f>'Liquids Type Curve'!D59</f>
        <v>714.65977859782674</v>
      </c>
      <c r="F52" s="51">
        <f>'Liquids Type Curve'!E59</f>
        <v>69123.224229729516</v>
      </c>
      <c r="H52" s="51">
        <f t="shared" si="2"/>
        <v>3.088557465453321</v>
      </c>
      <c r="I52" s="51">
        <f t="shared" si="3"/>
        <v>37.062689585439855</v>
      </c>
      <c r="J52" s="51">
        <f t="shared" si="4"/>
        <v>7.7535691047873803</v>
      </c>
      <c r="K52" s="51">
        <f t="shared" si="5"/>
        <v>235.83772693728284</v>
      </c>
      <c r="L52" s="51">
        <f t="shared" si="6"/>
        <v>22810.663995810741</v>
      </c>
      <c r="N52" s="51">
        <f t="shared" si="7"/>
        <v>37.495266453191334</v>
      </c>
      <c r="O52" s="51">
        <f>(('Price Deck'!Q46/'Propane Royalties'!$B$2))/'Price Deck'!M46</f>
        <v>253.12609756097564</v>
      </c>
      <c r="P52" s="39"/>
      <c r="Q52" s="51">
        <f t="shared" si="8"/>
        <v>0.33328236829268298</v>
      </c>
      <c r="R52" s="51">
        <f t="shared" si="9"/>
        <v>0.1</v>
      </c>
      <c r="S52" s="51">
        <f t="shared" si="10"/>
        <v>0.4333527170731708</v>
      </c>
      <c r="T52" s="51">
        <f t="shared" si="11"/>
        <v>0.33328236829268298</v>
      </c>
      <c r="U52" s="51">
        <f t="shared" si="12"/>
        <v>0.33337919756097562</v>
      </c>
      <c r="W52" s="51">
        <f t="shared" si="13"/>
        <v>-0.21128139028819171</v>
      </c>
      <c r="X52" s="39">
        <f t="shared" si="14"/>
        <v>0.12200097800449128</v>
      </c>
      <c r="Y52" s="39">
        <f t="shared" si="15"/>
        <v>0.12200097800449128</v>
      </c>
      <c r="AA52" s="85">
        <f>'Price Deck'!Q46/'Price Deck'!M46</f>
        <v>40.243902439024396</v>
      </c>
      <c r="AB52" s="72">
        <f t="shared" si="16"/>
        <v>28760.698406985714</v>
      </c>
      <c r="AC52" s="72">
        <f t="shared" si="17"/>
        <v>3508.8333337444715</v>
      </c>
      <c r="AD52" s="85">
        <f t="shared" si="18"/>
        <v>4.9097954562783084</v>
      </c>
    </row>
    <row r="53" spans="1:30">
      <c r="A53" t="str">
        <f>'Price Deck'!A47</f>
        <v>09/2022</v>
      </c>
      <c r="B53" s="51">
        <f>'Liquids Type Curve'!A60</f>
        <v>3.1718907987866545</v>
      </c>
      <c r="C53" s="51">
        <f>'Liquids Type Curve'!B60</f>
        <v>38.062689585439855</v>
      </c>
      <c r="D53" s="51">
        <f>'Liquids Type Curve'!C60</f>
        <v>22.919782921340047</v>
      </c>
      <c r="E53" s="51">
        <f>'Liquids Type Curve'!D60</f>
        <v>697.14339719075986</v>
      </c>
      <c r="F53" s="51">
        <f>'Liquids Type Curve'!E60</f>
        <v>69820.36762692027</v>
      </c>
      <c r="H53" s="51">
        <f t="shared" si="2"/>
        <v>3.1718907987866545</v>
      </c>
      <c r="I53" s="51">
        <f t="shared" si="3"/>
        <v>38.062689585439855</v>
      </c>
      <c r="J53" s="51">
        <f t="shared" si="4"/>
        <v>7.5635283640422157</v>
      </c>
      <c r="K53" s="51">
        <f t="shared" si="5"/>
        <v>230.05732107295077</v>
      </c>
      <c r="L53" s="51">
        <f t="shared" si="6"/>
        <v>23040.72131688369</v>
      </c>
      <c r="N53" s="51">
        <f t="shared" si="7"/>
        <v>36.576253787552986</v>
      </c>
      <c r="O53" s="51">
        <f>(('Price Deck'!Q47/'Propane Royalties'!$B$2))/'Price Deck'!M47</f>
        <v>253.12609756097564</v>
      </c>
      <c r="P53" s="39"/>
      <c r="Q53" s="51">
        <f t="shared" si="8"/>
        <v>0.33328236829268298</v>
      </c>
      <c r="R53" s="51">
        <f t="shared" si="9"/>
        <v>0.1</v>
      </c>
      <c r="S53" s="51">
        <f t="shared" si="10"/>
        <v>0.4333527170731708</v>
      </c>
      <c r="T53" s="51">
        <f t="shared" si="11"/>
        <v>0.33328236829268298</v>
      </c>
      <c r="U53" s="51">
        <f t="shared" si="12"/>
        <v>0.33337919756097562</v>
      </c>
      <c r="W53" s="51">
        <f t="shared" si="13"/>
        <v>-0.21252205738680349</v>
      </c>
      <c r="X53" s="39">
        <f t="shared" si="14"/>
        <v>0.12076031090587949</v>
      </c>
      <c r="Y53" s="39">
        <f t="shared" si="15"/>
        <v>0.12076031090587949</v>
      </c>
      <c r="AA53" s="85">
        <f>'Price Deck'!Q47/'Price Deck'!M47</f>
        <v>40.243902439024396</v>
      </c>
      <c r="AB53" s="72">
        <f t="shared" si="16"/>
        <v>28055.770862554975</v>
      </c>
      <c r="AC53" s="72">
        <f t="shared" si="17"/>
        <v>3388.0236120662535</v>
      </c>
      <c r="AD53" s="85">
        <f t="shared" si="18"/>
        <v>4.8598661706024684</v>
      </c>
    </row>
    <row r="54" spans="1:30">
      <c r="A54" t="str">
        <f>'Price Deck'!A48</f>
        <v>10/2022</v>
      </c>
      <c r="B54" s="51">
        <f>'Liquids Type Curve'!A61</f>
        <v>3.255224132119988</v>
      </c>
      <c r="C54" s="51">
        <f>'Liquids Type Curve'!B61</f>
        <v>39.062689585439855</v>
      </c>
      <c r="D54" s="51">
        <f>'Liquids Type Curve'!C61</f>
        <v>22.372410659219039</v>
      </c>
      <c r="E54" s="51">
        <f>'Liquids Type Curve'!D61</f>
        <v>680.49415755124573</v>
      </c>
      <c r="F54" s="51">
        <f>'Liquids Type Curve'!E61</f>
        <v>70500.861784471519</v>
      </c>
      <c r="H54" s="51">
        <f t="shared" si="2"/>
        <v>3.255224132119988</v>
      </c>
      <c r="I54" s="51">
        <f t="shared" si="3"/>
        <v>39.062689585439855</v>
      </c>
      <c r="J54" s="51">
        <f t="shared" si="4"/>
        <v>7.3828955175422832</v>
      </c>
      <c r="K54" s="51">
        <f t="shared" si="5"/>
        <v>224.5630719919111</v>
      </c>
      <c r="L54" s="51">
        <f t="shared" si="6"/>
        <v>23265.284388875603</v>
      </c>
      <c r="N54" s="51">
        <f t="shared" si="7"/>
        <v>35.702736492720135</v>
      </c>
      <c r="O54" s="51">
        <f>(('Price Deck'!Q48/'Propane Royalties'!$B$2))/'Price Deck'!M48</f>
        <v>253.12609756097564</v>
      </c>
      <c r="P54" s="39"/>
      <c r="Q54" s="51">
        <f t="shared" si="8"/>
        <v>0.33328236829268298</v>
      </c>
      <c r="R54" s="51">
        <f t="shared" si="9"/>
        <v>0.1</v>
      </c>
      <c r="S54" s="51">
        <f t="shared" si="10"/>
        <v>0.4333527170731708</v>
      </c>
      <c r="T54" s="51">
        <f t="shared" si="11"/>
        <v>0.33328236829268298</v>
      </c>
      <c r="U54" s="51">
        <f t="shared" si="12"/>
        <v>0.33337919756097562</v>
      </c>
      <c r="W54" s="51">
        <f t="shared" si="13"/>
        <v>-0.21370130573482782</v>
      </c>
      <c r="X54" s="39">
        <f t="shared" si="14"/>
        <v>0.11958106255785517</v>
      </c>
      <c r="Y54" s="39">
        <f t="shared" si="15"/>
        <v>0.11958106255785517</v>
      </c>
      <c r="AA54" s="85">
        <f>'Price Deck'!Q48/'Price Deck'!M48</f>
        <v>40.243902439024396</v>
      </c>
      <c r="AB54" s="72">
        <f t="shared" si="16"/>
        <v>27385.740486818431</v>
      </c>
      <c r="AC54" s="72">
        <f t="shared" si="17"/>
        <v>3274.8159463474217</v>
      </c>
      <c r="AD54" s="85">
        <f t="shared" si="18"/>
        <v>4.8124086151331964</v>
      </c>
    </row>
    <row r="55" spans="1:30">
      <c r="A55" t="str">
        <f>'Price Deck'!A49</f>
        <v>11/2022</v>
      </c>
      <c r="B55" s="51">
        <f>'Liquids Type Curve'!A62</f>
        <v>3.3385574654533214</v>
      </c>
      <c r="C55" s="51">
        <f>'Liquids Type Curve'!B62</f>
        <v>40.062689585439855</v>
      </c>
      <c r="D55" s="51">
        <f>'Liquids Type Curve'!C62</f>
        <v>21.851458886857582</v>
      </c>
      <c r="E55" s="51">
        <f>'Liquids Type Curve'!D62</f>
        <v>664.64854114191814</v>
      </c>
      <c r="F55" s="51">
        <f>'Liquids Type Curve'!E62</f>
        <v>71165.510325613432</v>
      </c>
      <c r="H55" s="51">
        <f t="shared" si="2"/>
        <v>3.3385574654533214</v>
      </c>
      <c r="I55" s="51">
        <f t="shared" si="3"/>
        <v>40.062689585439855</v>
      </c>
      <c r="J55" s="51">
        <f t="shared" si="4"/>
        <v>7.2109814326630026</v>
      </c>
      <c r="K55" s="51">
        <f t="shared" si="5"/>
        <v>219.33401857683299</v>
      </c>
      <c r="L55" s="51">
        <f t="shared" si="6"/>
        <v>23484.618407452435</v>
      </c>
      <c r="N55" s="51">
        <f t="shared" si="7"/>
        <v>34.871382011643135</v>
      </c>
      <c r="O55" s="51">
        <f>(('Price Deck'!Q49/'Propane Royalties'!$B$2))/'Price Deck'!M49</f>
        <v>253.12609756097564</v>
      </c>
      <c r="P55" s="39"/>
      <c r="Q55" s="51">
        <f t="shared" si="8"/>
        <v>0.33328236829268298</v>
      </c>
      <c r="R55" s="51">
        <f t="shared" si="9"/>
        <v>0.1</v>
      </c>
      <c r="S55" s="51">
        <f t="shared" si="10"/>
        <v>0.4333527170731708</v>
      </c>
      <c r="T55" s="51">
        <f t="shared" si="11"/>
        <v>0.33328236829268298</v>
      </c>
      <c r="U55" s="51">
        <f t="shared" si="12"/>
        <v>0.33337919756097562</v>
      </c>
      <c r="W55" s="51">
        <f t="shared" si="13"/>
        <v>-0.21482363428428178</v>
      </c>
      <c r="X55" s="39">
        <f t="shared" si="14"/>
        <v>0.11845873400840121</v>
      </c>
      <c r="Y55" s="39">
        <f t="shared" si="15"/>
        <v>0.11845873400840121</v>
      </c>
      <c r="AA55" s="85">
        <f>'Price Deck'!Q49/'Price Deck'!M49</f>
        <v>40.243902439024396</v>
      </c>
      <c r="AB55" s="72">
        <f t="shared" si="16"/>
        <v>26748.051045955246</v>
      </c>
      <c r="AC55" s="72">
        <f t="shared" si="17"/>
        <v>3168.5402640959501</v>
      </c>
      <c r="AD55" s="85">
        <f t="shared" si="18"/>
        <v>4.7672417344844389</v>
      </c>
    </row>
    <row r="56" spans="1:30">
      <c r="A56" t="str">
        <f>'Price Deck'!A50</f>
        <v>12/2022</v>
      </c>
      <c r="B56" s="51">
        <f>'Liquids Type Curve'!A63</f>
        <v>3.4218907987866549</v>
      </c>
      <c r="C56" s="51">
        <f>'Liquids Type Curve'!B63</f>
        <v>41.062689585439855</v>
      </c>
      <c r="D56" s="51">
        <f>'Liquids Type Curve'!C63</f>
        <v>21.355039462147872</v>
      </c>
      <c r="E56" s="51">
        <f>'Liquids Type Curve'!D63</f>
        <v>649.54911697366447</v>
      </c>
      <c r="F56" s="51">
        <f>'Liquids Type Curve'!E63</f>
        <v>71815.059442587095</v>
      </c>
      <c r="H56" s="51">
        <f t="shared" si="2"/>
        <v>3.4218907987866549</v>
      </c>
      <c r="I56" s="51">
        <f t="shared" si="3"/>
        <v>41.062689585439855</v>
      </c>
      <c r="J56" s="51">
        <f t="shared" si="4"/>
        <v>7.0471630225087978</v>
      </c>
      <c r="K56" s="51">
        <f t="shared" si="5"/>
        <v>214.35120860130928</v>
      </c>
      <c r="L56" s="51">
        <f t="shared" si="6"/>
        <v>23698.969616053742</v>
      </c>
      <c r="N56" s="51">
        <f t="shared" si="7"/>
        <v>34.079177175953014</v>
      </c>
      <c r="O56" s="51">
        <f>(('Price Deck'!Q50/'Propane Royalties'!$B$2))/'Price Deck'!M50</f>
        <v>253.12609756097564</v>
      </c>
      <c r="P56" s="39"/>
      <c r="Q56" s="51">
        <f t="shared" si="8"/>
        <v>0.33328236829268298</v>
      </c>
      <c r="R56" s="51">
        <f t="shared" si="9"/>
        <v>0.1</v>
      </c>
      <c r="S56" s="51">
        <f t="shared" si="10"/>
        <v>0.4333527170731708</v>
      </c>
      <c r="T56" s="51">
        <f t="shared" si="11"/>
        <v>0.33328236829268298</v>
      </c>
      <c r="U56" s="51">
        <f t="shared" si="12"/>
        <v>0.33337919756097562</v>
      </c>
      <c r="W56" s="51">
        <f t="shared" si="13"/>
        <v>-0.21589311081246343</v>
      </c>
      <c r="X56" s="39">
        <f t="shared" si="14"/>
        <v>0.11738925748021956</v>
      </c>
      <c r="Y56" s="39">
        <f t="shared" si="15"/>
        <v>0.11738925748021956</v>
      </c>
      <c r="AA56" s="85">
        <f>'Price Deck'!Q50/'Price Deck'!M50</f>
        <v>40.243902439024396</v>
      </c>
      <c r="AB56" s="72">
        <f t="shared" si="16"/>
        <v>26140.3912928426</v>
      </c>
      <c r="AC56" s="72">
        <f t="shared" si="17"/>
        <v>3068.6011241091892</v>
      </c>
      <c r="AD56" s="85">
        <f t="shared" si="18"/>
        <v>4.7242018254234708</v>
      </c>
    </row>
    <row r="57" spans="1:30">
      <c r="A57" t="str">
        <f>'Price Deck'!A51</f>
        <v>01/2023</v>
      </c>
      <c r="B57" s="51">
        <f>'Liquids Type Curve'!A64</f>
        <v>3.5052241321199884</v>
      </c>
      <c r="C57" s="51">
        <f>'Liquids Type Curve'!B64</f>
        <v>42.062689585439863</v>
      </c>
      <c r="D57" s="51">
        <f>'Liquids Type Curve'!C64</f>
        <v>20.881440894774173</v>
      </c>
      <c r="E57" s="51">
        <f>'Liquids Type Curve'!D64</f>
        <v>635.14382721604773</v>
      </c>
      <c r="F57" s="51">
        <f>'Liquids Type Curve'!E64</f>
        <v>72450.20326980314</v>
      </c>
      <c r="H57" s="51">
        <f t="shared" si="2"/>
        <v>3.5052241321199884</v>
      </c>
      <c r="I57" s="51">
        <f t="shared" si="3"/>
        <v>42.062689585439863</v>
      </c>
      <c r="J57" s="51">
        <f t="shared" si="4"/>
        <v>6.8908754952754769</v>
      </c>
      <c r="K57" s="51">
        <f t="shared" si="5"/>
        <v>209.59746298129576</v>
      </c>
      <c r="L57" s="51">
        <f t="shared" si="6"/>
        <v>23908.567079035038</v>
      </c>
      <c r="N57" s="51">
        <f t="shared" si="7"/>
        <v>33.323390724871338</v>
      </c>
      <c r="O57" s="51">
        <f>(('Price Deck'!Q51/'Propane Royalties'!$B$2))/'Price Deck'!M51</f>
        <v>259.26248780487805</v>
      </c>
      <c r="P57" s="39"/>
      <c r="Q57" s="51">
        <f t="shared" si="8"/>
        <v>0.33699966780487806</v>
      </c>
      <c r="R57" s="51">
        <f t="shared" si="9"/>
        <v>0.1</v>
      </c>
      <c r="S57" s="51">
        <f t="shared" si="10"/>
        <v>0.44574822536585368</v>
      </c>
      <c r="T57" s="51">
        <f t="shared" si="11"/>
        <v>0.34009376146341463</v>
      </c>
      <c r="U57" s="51">
        <f t="shared" si="12"/>
        <v>0.33699966780487806</v>
      </c>
      <c r="W57" s="51">
        <f t="shared" si="13"/>
        <v>-0.2169134225214237</v>
      </c>
      <c r="X57" s="39">
        <f t="shared" si="14"/>
        <v>0.12008624528345435</v>
      </c>
      <c r="Y57" s="39">
        <f t="shared" si="15"/>
        <v>0.12008624528345435</v>
      </c>
      <c r="AA57" s="85">
        <f>'Price Deck'!Q51/'Price Deck'!M51</f>
        <v>41.219512195121951</v>
      </c>
      <c r="AB57" s="72">
        <f t="shared" si="16"/>
        <v>26180.318731588308</v>
      </c>
      <c r="AC57" s="72">
        <f t="shared" si="17"/>
        <v>3143.8961768005279</v>
      </c>
      <c r="AD57" s="85">
        <f t="shared" si="18"/>
        <v>4.949896451927752</v>
      </c>
    </row>
    <row r="58" spans="1:30">
      <c r="A58" t="str">
        <f>'Price Deck'!A52</f>
        <v>02/2023</v>
      </c>
      <c r="B58" s="51">
        <f>'Liquids Type Curve'!A65</f>
        <v>3.5885574654533219</v>
      </c>
      <c r="C58" s="51">
        <f>'Liquids Type Curve'!B65</f>
        <v>43.062689585439863</v>
      </c>
      <c r="D58" s="51">
        <f>'Liquids Type Curve'!C65</f>
        <v>20.42910809746995</v>
      </c>
      <c r="E58" s="51">
        <f>'Liquids Type Curve'!D65</f>
        <v>621.38537129804433</v>
      </c>
      <c r="F58" s="51">
        <f>'Liquids Type Curve'!E65</f>
        <v>73071.588641101189</v>
      </c>
      <c r="H58" s="51">
        <f t="shared" si="2"/>
        <v>3.5885574654533219</v>
      </c>
      <c r="I58" s="51">
        <f t="shared" si="3"/>
        <v>43.062689585439863</v>
      </c>
      <c r="J58" s="51">
        <f t="shared" si="4"/>
        <v>6.7416056721650834</v>
      </c>
      <c r="K58" s="51">
        <f t="shared" si="5"/>
        <v>205.05717252835464</v>
      </c>
      <c r="L58" s="51">
        <f t="shared" si="6"/>
        <v>24113.624251563393</v>
      </c>
      <c r="N58" s="51">
        <f t="shared" si="7"/>
        <v>32.601540991502851</v>
      </c>
      <c r="O58" s="51">
        <f>(('Price Deck'!Q52/'Propane Royalties'!$B$2))/'Price Deck'!M52</f>
        <v>259.26248780487805</v>
      </c>
      <c r="P58" s="39"/>
      <c r="Q58" s="51">
        <f t="shared" si="8"/>
        <v>0.33699966780487806</v>
      </c>
      <c r="R58" s="51">
        <f t="shared" si="9"/>
        <v>0.1</v>
      </c>
      <c r="S58" s="51">
        <f t="shared" si="10"/>
        <v>0.44574822536585368</v>
      </c>
      <c r="T58" s="51">
        <f t="shared" si="11"/>
        <v>0.34009376146341463</v>
      </c>
      <c r="U58" s="51">
        <f t="shared" si="12"/>
        <v>0.33699966780487806</v>
      </c>
      <c r="W58" s="51">
        <f t="shared" si="13"/>
        <v>-0.21788791966147117</v>
      </c>
      <c r="X58" s="39">
        <f t="shared" si="14"/>
        <v>0.11911174814340689</v>
      </c>
      <c r="Y58" s="39">
        <f t="shared" si="15"/>
        <v>0.11911174814340689</v>
      </c>
      <c r="AA58" s="85">
        <f>'Price Deck'!Q52/'Price Deck'!M52</f>
        <v>41.219512195121951</v>
      </c>
      <c r="AB58" s="72">
        <f t="shared" si="16"/>
        <v>25613.20189009012</v>
      </c>
      <c r="AC58" s="72">
        <f t="shared" si="17"/>
        <v>3050.8332526786476</v>
      </c>
      <c r="AD58" s="85">
        <f t="shared" si="18"/>
        <v>4.9097281551794545</v>
      </c>
    </row>
    <row r="59" spans="1:30">
      <c r="A59" t="str">
        <f>'Price Deck'!A53</f>
        <v>03/2023</v>
      </c>
      <c r="B59" s="51">
        <f>'Liquids Type Curve'!A66</f>
        <v>3.6718907987866554</v>
      </c>
      <c r="C59" s="51">
        <f>'Liquids Type Curve'!B66</f>
        <v>44.062689585439863</v>
      </c>
      <c r="D59" s="51">
        <f>'Liquids Type Curve'!C66</f>
        <v>19.996624865488887</v>
      </c>
      <c r="E59" s="51">
        <f>'Liquids Type Curve'!D66</f>
        <v>608.23067299195361</v>
      </c>
      <c r="F59" s="51">
        <f>'Liquids Type Curve'!E66</f>
        <v>73679.81931409314</v>
      </c>
      <c r="H59" s="51">
        <f t="shared" si="2"/>
        <v>3.6718907987866554</v>
      </c>
      <c r="I59" s="51">
        <f t="shared" si="3"/>
        <v>44.062689585439863</v>
      </c>
      <c r="J59" s="51">
        <f t="shared" si="4"/>
        <v>6.5988862056113327</v>
      </c>
      <c r="K59" s="51">
        <f t="shared" si="5"/>
        <v>200.7161220873447</v>
      </c>
      <c r="L59" s="51">
        <f t="shared" si="6"/>
        <v>24314.340373650739</v>
      </c>
      <c r="N59" s="51">
        <f t="shared" si="7"/>
        <v>31.911367942914673</v>
      </c>
      <c r="O59" s="51">
        <f>(('Price Deck'!Q53/'Propane Royalties'!$B$2))/'Price Deck'!M53</f>
        <v>259.26248780487805</v>
      </c>
      <c r="P59" s="39"/>
      <c r="Q59" s="51">
        <f t="shared" si="8"/>
        <v>0.33699966780487806</v>
      </c>
      <c r="R59" s="51">
        <f t="shared" si="9"/>
        <v>0.1</v>
      </c>
      <c r="S59" s="51">
        <f t="shared" si="10"/>
        <v>0.44574822536585368</v>
      </c>
      <c r="T59" s="51">
        <f t="shared" si="11"/>
        <v>0.34009376146341463</v>
      </c>
      <c r="U59" s="51">
        <f t="shared" si="12"/>
        <v>0.33699966780487806</v>
      </c>
      <c r="W59" s="51">
        <f t="shared" si="13"/>
        <v>-0.21881965327706521</v>
      </c>
      <c r="X59" s="39">
        <f t="shared" si="14"/>
        <v>0.11818001452781285</v>
      </c>
      <c r="Y59" s="39">
        <f t="shared" si="15"/>
        <v>0.11818001452781285</v>
      </c>
      <c r="AA59" s="85">
        <f>'Price Deck'!Q53/'Price Deck'!M53</f>
        <v>41.219512195121951</v>
      </c>
      <c r="AB59" s="72">
        <f t="shared" si="16"/>
        <v>25070.971642839064</v>
      </c>
      <c r="AC59" s="72">
        <f t="shared" si="17"/>
        <v>2962.8877929771047</v>
      </c>
      <c r="AD59" s="85">
        <f t="shared" si="18"/>
        <v>4.8713225500488715</v>
      </c>
    </row>
    <row r="60" spans="1:30">
      <c r="A60" t="str">
        <f>'Price Deck'!A54</f>
        <v>04/2023</v>
      </c>
      <c r="B60" s="51">
        <f>'Liquids Type Curve'!A67</f>
        <v>3.7552241321199888</v>
      </c>
      <c r="C60" s="51">
        <f>'Liquids Type Curve'!B67</f>
        <v>45.06268958543987</v>
      </c>
      <c r="D60" s="51">
        <f>'Liquids Type Curve'!C67</f>
        <v>19.582698664276563</v>
      </c>
      <c r="E60" s="51">
        <f>'Liquids Type Curve'!D67</f>
        <v>595.64041770507879</v>
      </c>
      <c r="F60" s="51">
        <f>'Liquids Type Curve'!E67</f>
        <v>74275.459731798212</v>
      </c>
      <c r="H60" s="51">
        <f t="shared" si="2"/>
        <v>3.7552241321199888</v>
      </c>
      <c r="I60" s="51">
        <f t="shared" si="3"/>
        <v>45.06268958543987</v>
      </c>
      <c r="J60" s="51">
        <f t="shared" si="4"/>
        <v>6.462290559211266</v>
      </c>
      <c r="K60" s="51">
        <f t="shared" si="5"/>
        <v>196.56133784267601</v>
      </c>
      <c r="L60" s="51">
        <f t="shared" si="6"/>
        <v>24510.90171149341</v>
      </c>
      <c r="N60" s="51">
        <f t="shared" si="7"/>
        <v>31.250808903729215</v>
      </c>
      <c r="O60" s="51">
        <f>(('Price Deck'!Q54/'Propane Royalties'!$B$2))/'Price Deck'!M54</f>
        <v>259.26248780487805</v>
      </c>
      <c r="P60" s="39"/>
      <c r="Q60" s="51">
        <f t="shared" si="8"/>
        <v>0.33699966780487806</v>
      </c>
      <c r="R60" s="51">
        <f t="shared" si="9"/>
        <v>0.1</v>
      </c>
      <c r="S60" s="51">
        <f t="shared" si="10"/>
        <v>0.44574822536585368</v>
      </c>
      <c r="T60" s="51">
        <f t="shared" si="11"/>
        <v>0.34009376146341463</v>
      </c>
      <c r="U60" s="51">
        <f t="shared" si="12"/>
        <v>0.33699966780487806</v>
      </c>
      <c r="W60" s="51">
        <f t="shared" si="13"/>
        <v>-0.21971140797996555</v>
      </c>
      <c r="X60" s="39">
        <f t="shared" si="14"/>
        <v>0.11728825982491251</v>
      </c>
      <c r="Y60" s="39">
        <f t="shared" si="15"/>
        <v>0.11728825982491251</v>
      </c>
      <c r="AA60" s="85">
        <f>'Price Deck'!Q54/'Price Deck'!M54</f>
        <v>41.219512195121951</v>
      </c>
      <c r="AB60" s="72">
        <f t="shared" si="16"/>
        <v>24552.007461502028</v>
      </c>
      <c r="AC60" s="72">
        <f t="shared" si="17"/>
        <v>2879.6622303678405</v>
      </c>
      <c r="AD60" s="85">
        <f t="shared" si="18"/>
        <v>4.8345648561976136</v>
      </c>
    </row>
    <row r="61" spans="1:30">
      <c r="A61" t="str">
        <f>'Price Deck'!A55</f>
        <v>05/2023</v>
      </c>
      <c r="B61" s="51">
        <f>'Liquids Type Curve'!A68</f>
        <v>3.8385574654533223</v>
      </c>
      <c r="C61" s="51">
        <f>'Liquids Type Curve'!B68</f>
        <v>46.06268958543987</v>
      </c>
      <c r="D61" s="51">
        <f>'Liquids Type Curve'!C68</f>
        <v>19.186147377712356</v>
      </c>
      <c r="E61" s="51">
        <f>'Liquids Type Curve'!D68</f>
        <v>583.57864940541754</v>
      </c>
      <c r="F61" s="51">
        <f>'Liquids Type Curve'!E68</f>
        <v>74859.038381203631</v>
      </c>
      <c r="H61" s="51">
        <f t="shared" si="2"/>
        <v>3.8385574654533223</v>
      </c>
      <c r="I61" s="51">
        <f t="shared" si="3"/>
        <v>46.06268958543987</v>
      </c>
      <c r="J61" s="51">
        <f t="shared" si="4"/>
        <v>6.3314286346450777</v>
      </c>
      <c r="K61" s="51">
        <f t="shared" si="5"/>
        <v>192.58095430378779</v>
      </c>
      <c r="L61" s="51">
        <f t="shared" si="6"/>
        <v>24703.482665797201</v>
      </c>
      <c r="N61" s="51">
        <f t="shared" si="7"/>
        <v>30.617977408468917</v>
      </c>
      <c r="O61" s="51">
        <f>(('Price Deck'!Q55/'Propane Royalties'!$B$2))/'Price Deck'!M55</f>
        <v>259.26248780487805</v>
      </c>
      <c r="P61" s="39"/>
      <c r="Q61" s="51">
        <f t="shared" si="8"/>
        <v>0.33699966780487806</v>
      </c>
      <c r="R61" s="51">
        <f t="shared" si="9"/>
        <v>0.1</v>
      </c>
      <c r="S61" s="51">
        <f t="shared" si="10"/>
        <v>0.44574822536585368</v>
      </c>
      <c r="T61" s="51">
        <f t="shared" si="11"/>
        <v>0.34009376146341463</v>
      </c>
      <c r="U61" s="51">
        <f t="shared" si="12"/>
        <v>0.33699966780487806</v>
      </c>
      <c r="W61" s="51">
        <f t="shared" si="13"/>
        <v>-0.22056573049856698</v>
      </c>
      <c r="X61" s="39">
        <f t="shared" si="14"/>
        <v>0.11643393730631107</v>
      </c>
      <c r="Y61" s="39">
        <f t="shared" si="15"/>
        <v>0.11643393730631107</v>
      </c>
      <c r="AA61" s="85">
        <f>'Price Deck'!Q55/'Price Deck'!M55</f>
        <v>41.219512195121951</v>
      </c>
      <c r="AB61" s="72">
        <f t="shared" si="16"/>
        <v>24054.827255979406</v>
      </c>
      <c r="AC61" s="72">
        <f t="shared" si="17"/>
        <v>2800.7982486368492</v>
      </c>
      <c r="AD61" s="85">
        <f t="shared" si="18"/>
        <v>4.7993500987235542</v>
      </c>
    </row>
    <row r="62" spans="1:30">
      <c r="A62" t="str">
        <f>'Price Deck'!A56</f>
        <v>06/2023</v>
      </c>
      <c r="B62" s="51">
        <f>'Liquids Type Curve'!A69</f>
        <v>3.9218907987866558</v>
      </c>
      <c r="C62" s="51">
        <f>'Liquids Type Curve'!B69</f>
        <v>47.06268958543987</v>
      </c>
      <c r="D62" s="51">
        <f>'Liquids Type Curve'!C69</f>
        <v>18.805887727924883</v>
      </c>
      <c r="E62" s="51">
        <f>'Liquids Type Curve'!D69</f>
        <v>572.01241839104853</v>
      </c>
      <c r="F62" s="51">
        <f>'Liquids Type Curve'!E69</f>
        <v>75431.050799594683</v>
      </c>
      <c r="H62" s="51">
        <f t="shared" si="2"/>
        <v>3.9218907987866558</v>
      </c>
      <c r="I62" s="51">
        <f t="shared" si="3"/>
        <v>47.06268958543987</v>
      </c>
      <c r="J62" s="51">
        <f t="shared" si="4"/>
        <v>6.2059429502152117</v>
      </c>
      <c r="K62" s="51">
        <f t="shared" si="5"/>
        <v>188.76409806904601</v>
      </c>
      <c r="L62" s="51">
        <f t="shared" si="6"/>
        <v>24892.246763866246</v>
      </c>
      <c r="N62" s="51">
        <f t="shared" si="7"/>
        <v>30.011144721461097</v>
      </c>
      <c r="O62" s="51">
        <f>(('Price Deck'!Q56/'Propane Royalties'!$B$2))/'Price Deck'!M56</f>
        <v>259.26248780487805</v>
      </c>
      <c r="P62" s="39"/>
      <c r="Q62" s="51">
        <f t="shared" si="8"/>
        <v>0.33699966780487806</v>
      </c>
      <c r="R62" s="51">
        <f t="shared" si="9"/>
        <v>0.1</v>
      </c>
      <c r="S62" s="51">
        <f t="shared" si="10"/>
        <v>0.44574822536585368</v>
      </c>
      <c r="T62" s="51">
        <f t="shared" si="11"/>
        <v>0.34009376146341463</v>
      </c>
      <c r="U62" s="51">
        <f t="shared" si="12"/>
        <v>0.33699966780487806</v>
      </c>
      <c r="W62" s="51">
        <f t="shared" si="13"/>
        <v>-0.22138495462602753</v>
      </c>
      <c r="X62" s="39">
        <f t="shared" si="14"/>
        <v>0.11561471317885053</v>
      </c>
      <c r="Y62" s="39">
        <f t="shared" si="15"/>
        <v>0.11561471317885053</v>
      </c>
      <c r="AA62" s="85">
        <f>'Price Deck'!Q56/'Price Deck'!M56</f>
        <v>41.219512195121951</v>
      </c>
      <c r="AB62" s="72">
        <f t="shared" si="16"/>
        <v>23578.072855631024</v>
      </c>
      <c r="AC62" s="72">
        <f t="shared" si="17"/>
        <v>2725.9721305138219</v>
      </c>
      <c r="AD62" s="85">
        <f t="shared" si="18"/>
        <v>4.7655820798111552</v>
      </c>
    </row>
    <row r="63" spans="1:30">
      <c r="A63" t="str">
        <f>'Price Deck'!A57</f>
        <v>07/2023</v>
      </c>
      <c r="B63" s="51">
        <f>'Liquids Type Curve'!A70</f>
        <v>4.0052241321199888</v>
      </c>
      <c r="C63" s="51">
        <f>'Liquids Type Curve'!B70</f>
        <v>48.06268958543987</v>
      </c>
      <c r="D63" s="51">
        <f>'Liquids Type Curve'!C70</f>
        <v>18.440925125414772</v>
      </c>
      <c r="E63" s="51">
        <f>'Liquids Type Curve'!D70</f>
        <v>560.91147256469935</v>
      </c>
      <c r="F63" s="51">
        <f>'Liquids Type Curve'!E70</f>
        <v>75991.962272159377</v>
      </c>
      <c r="H63" s="51">
        <f t="shared" si="2"/>
        <v>4.0052241321199888</v>
      </c>
      <c r="I63" s="51">
        <f t="shared" si="3"/>
        <v>48.06268958543987</v>
      </c>
      <c r="J63" s="51">
        <f t="shared" si="4"/>
        <v>6.085505291386875</v>
      </c>
      <c r="K63" s="51">
        <f t="shared" si="5"/>
        <v>185.10078594635078</v>
      </c>
      <c r="L63" s="51">
        <f t="shared" si="6"/>
        <v>25077.347549812595</v>
      </c>
      <c r="N63" s="51">
        <f t="shared" si="7"/>
        <v>29.428723639281184</v>
      </c>
      <c r="O63" s="51">
        <f>(('Price Deck'!Q57/'Propane Royalties'!$B$2))/'Price Deck'!M57</f>
        <v>259.26248780487805</v>
      </c>
      <c r="P63" s="39"/>
      <c r="Q63" s="51">
        <f t="shared" si="8"/>
        <v>0.33699966780487806</v>
      </c>
      <c r="R63" s="51">
        <f t="shared" si="9"/>
        <v>0.1</v>
      </c>
      <c r="S63" s="51">
        <f t="shared" si="10"/>
        <v>0.44574822536585368</v>
      </c>
      <c r="T63" s="51">
        <f t="shared" si="11"/>
        <v>0.34009376146341463</v>
      </c>
      <c r="U63" s="51">
        <f t="shared" si="12"/>
        <v>0.33699966780487806</v>
      </c>
      <c r="W63" s="51">
        <f t="shared" si="13"/>
        <v>-0.22217122308697043</v>
      </c>
      <c r="X63" s="39">
        <f t="shared" si="14"/>
        <v>0.11482844471790762</v>
      </c>
      <c r="Y63" s="39">
        <f t="shared" si="15"/>
        <v>0.11482844471790762</v>
      </c>
      <c r="AA63" s="85">
        <f>'Price Deck'!Q57/'Price Deck'!M57</f>
        <v>41.219512195121951</v>
      </c>
      <c r="AB63" s="72">
        <f t="shared" si="16"/>
        <v>23120.497283764435</v>
      </c>
      <c r="AC63" s="72">
        <f t="shared" si="17"/>
        <v>2654.8907441992778</v>
      </c>
      <c r="AD63" s="85">
        <f t="shared" si="18"/>
        <v>4.7331724773966801</v>
      </c>
    </row>
    <row r="64" spans="1:30">
      <c r="A64" t="str">
        <f>'Price Deck'!A58</f>
        <v>08/2023</v>
      </c>
      <c r="B64" s="51">
        <f>'Liquids Type Curve'!A71</f>
        <v>4.0885574654533219</v>
      </c>
      <c r="C64" s="51">
        <f>'Liquids Type Curve'!B71</f>
        <v>49.062689585439863</v>
      </c>
      <c r="D64" s="51">
        <f>'Liquids Type Curve'!C71</f>
        <v>18.090344747252011</v>
      </c>
      <c r="E64" s="51">
        <f>'Liquids Type Curve'!D71</f>
        <v>550.24798606224874</v>
      </c>
      <c r="F64" s="51">
        <f>'Liquids Type Curve'!E71</f>
        <v>76542.210258221632</v>
      </c>
      <c r="H64" s="51">
        <f t="shared" si="2"/>
        <v>4.0885574654533219</v>
      </c>
      <c r="I64" s="51">
        <f t="shared" si="3"/>
        <v>49.062689585439863</v>
      </c>
      <c r="J64" s="51">
        <f t="shared" si="4"/>
        <v>5.9698137665931643</v>
      </c>
      <c r="K64" s="51">
        <f t="shared" si="5"/>
        <v>181.5818354005421</v>
      </c>
      <c r="L64" s="51">
        <f t="shared" si="6"/>
        <v>25258.929385213141</v>
      </c>
      <c r="N64" s="51">
        <f t="shared" si="7"/>
        <v>28.869254253003611</v>
      </c>
      <c r="O64" s="51">
        <f>(('Price Deck'!Q58/'Propane Royalties'!$B$2))/'Price Deck'!M58</f>
        <v>259.26248780487805</v>
      </c>
      <c r="P64" s="39"/>
      <c r="Q64" s="51">
        <f t="shared" si="8"/>
        <v>0.33699966780487806</v>
      </c>
      <c r="R64" s="51">
        <f t="shared" si="9"/>
        <v>0.1</v>
      </c>
      <c r="S64" s="51">
        <f t="shared" si="10"/>
        <v>0.44574822536585368</v>
      </c>
      <c r="T64" s="51">
        <f t="shared" si="11"/>
        <v>0.34009376146341463</v>
      </c>
      <c r="U64" s="51">
        <f t="shared" si="12"/>
        <v>0.33699966780487806</v>
      </c>
      <c r="W64" s="51">
        <f t="shared" si="13"/>
        <v>-0.22292650675844514</v>
      </c>
      <c r="X64" s="39">
        <f t="shared" si="14"/>
        <v>0.11407316104643292</v>
      </c>
      <c r="Y64" s="39">
        <f t="shared" si="15"/>
        <v>0.11407316104643292</v>
      </c>
      <c r="AA64" s="85">
        <f>'Price Deck'!Q58/'Price Deck'!M58</f>
        <v>41.219512195121951</v>
      </c>
      <c r="AB64" s="72">
        <f t="shared" si="16"/>
        <v>22680.953571834154</v>
      </c>
      <c r="AC64" s="72">
        <f t="shared" si="17"/>
        <v>2587.2880694865053</v>
      </c>
      <c r="AD64" s="85">
        <f t="shared" si="18"/>
        <v>4.7020400528895516</v>
      </c>
    </row>
    <row r="65" spans="1:30">
      <c r="A65" t="str">
        <f>'Price Deck'!A59</f>
        <v>09/2023</v>
      </c>
      <c r="B65" s="51">
        <f>'Liquids Type Curve'!A72</f>
        <v>4.1718907987866549</v>
      </c>
      <c r="C65" s="51">
        <f>'Liquids Type Curve'!B72</f>
        <v>50.062689585439855</v>
      </c>
      <c r="D65" s="51">
        <f>'Liquids Type Curve'!C72</f>
        <v>17.753303673180092</v>
      </c>
      <c r="E65" s="51">
        <f>'Liquids Type Curve'!D72</f>
        <v>539.99632005922786</v>
      </c>
      <c r="F65" s="51">
        <f>'Liquids Type Curve'!E72</f>
        <v>77082.206578280864</v>
      </c>
      <c r="H65" s="51">
        <f t="shared" si="2"/>
        <v>4.1718907987866549</v>
      </c>
      <c r="I65" s="51">
        <f t="shared" si="3"/>
        <v>50.062689585439855</v>
      </c>
      <c r="J65" s="51">
        <f t="shared" si="4"/>
        <v>5.8585902121494309</v>
      </c>
      <c r="K65" s="51">
        <f t="shared" si="5"/>
        <v>178.19878561954519</v>
      </c>
      <c r="L65" s="51">
        <f t="shared" si="6"/>
        <v>25437.128170832686</v>
      </c>
      <c r="N65" s="51">
        <f t="shared" si="7"/>
        <v>28.331391398700308</v>
      </c>
      <c r="O65" s="51">
        <f>(('Price Deck'!Q59/'Propane Royalties'!$B$2))/'Price Deck'!M59</f>
        <v>259.26248780487805</v>
      </c>
      <c r="P65" s="39"/>
      <c r="Q65" s="51">
        <f t="shared" si="8"/>
        <v>0.33699966780487806</v>
      </c>
      <c r="R65" s="51">
        <f t="shared" si="9"/>
        <v>0.1</v>
      </c>
      <c r="S65" s="51">
        <f t="shared" si="10"/>
        <v>0.44574822536585368</v>
      </c>
      <c r="T65" s="51">
        <f t="shared" si="11"/>
        <v>0.34009376146341463</v>
      </c>
      <c r="U65" s="51">
        <f t="shared" si="12"/>
        <v>0.33699966780487806</v>
      </c>
      <c r="W65" s="51">
        <f t="shared" si="13"/>
        <v>-0.22365262161175459</v>
      </c>
      <c r="X65" s="39">
        <f t="shared" si="14"/>
        <v>0.11334704619312347</v>
      </c>
      <c r="Y65" s="39">
        <f t="shared" si="15"/>
        <v>0.11334704619312347</v>
      </c>
      <c r="AA65" s="85">
        <f>'Price Deck'!Q59/'Price Deck'!M59</f>
        <v>41.219512195121951</v>
      </c>
      <c r="AB65" s="72">
        <f t="shared" si="16"/>
        <v>22258.384900002318</v>
      </c>
      <c r="AC65" s="72">
        <f t="shared" si="17"/>
        <v>2522.9221814448847</v>
      </c>
      <c r="AD65" s="85">
        <f t="shared" si="18"/>
        <v>4.6721099528385039</v>
      </c>
    </row>
    <row r="66" spans="1:30">
      <c r="A66" t="str">
        <f>'Price Deck'!A60</f>
        <v>10/2023</v>
      </c>
      <c r="B66" s="51">
        <f>'Liquids Type Curve'!A73</f>
        <v>4.255224132119988</v>
      </c>
      <c r="C66" s="51">
        <f>'Liquids Type Curve'!B73</f>
        <v>51.062689585439855</v>
      </c>
      <c r="D66" s="51">
        <f>'Liquids Type Curve'!C73</f>
        <v>17.429023935911417</v>
      </c>
      <c r="E66" s="51">
        <f>'Liquids Type Curve'!D73</f>
        <v>530.13281138397224</v>
      </c>
      <c r="F66" s="51">
        <f>'Liquids Type Curve'!E73</f>
        <v>77612.339389664834</v>
      </c>
      <c r="H66" s="51">
        <f t="shared" si="2"/>
        <v>4.255224132119988</v>
      </c>
      <c r="I66" s="51">
        <f t="shared" si="3"/>
        <v>51.062689585439855</v>
      </c>
      <c r="J66" s="51">
        <f t="shared" si="4"/>
        <v>5.7515778988507682</v>
      </c>
      <c r="K66" s="51">
        <f t="shared" si="5"/>
        <v>174.94382775671085</v>
      </c>
      <c r="L66" s="51">
        <f t="shared" si="6"/>
        <v>25612.071998589396</v>
      </c>
      <c r="N66" s="51">
        <f t="shared" si="7"/>
        <v>27.813893566840097</v>
      </c>
      <c r="O66" s="51">
        <f>(('Price Deck'!Q60/'Propane Royalties'!$B$2))/'Price Deck'!M60</f>
        <v>259.26248780487805</v>
      </c>
      <c r="P66" s="39"/>
      <c r="Q66" s="51">
        <f t="shared" si="8"/>
        <v>0.33699966780487806</v>
      </c>
      <c r="R66" s="51">
        <f t="shared" si="9"/>
        <v>0.1</v>
      </c>
      <c r="S66" s="51">
        <f t="shared" si="10"/>
        <v>0.44574822536585368</v>
      </c>
      <c r="T66" s="51">
        <f t="shared" si="11"/>
        <v>0.34009376146341463</v>
      </c>
      <c r="U66" s="51">
        <f t="shared" si="12"/>
        <v>0.33699966780487806</v>
      </c>
      <c r="W66" s="51">
        <f t="shared" si="13"/>
        <v>-0.22435124368476586</v>
      </c>
      <c r="X66" s="39">
        <f t="shared" si="14"/>
        <v>0.11264842412011219</v>
      </c>
      <c r="Y66" s="39">
        <f t="shared" si="15"/>
        <v>0.11264842412011219</v>
      </c>
      <c r="AA66" s="85">
        <f>'Price Deck'!Q60/'Price Deck'!M60</f>
        <v>41.219512195121951</v>
      </c>
      <c r="AB66" s="72">
        <f t="shared" si="16"/>
        <v>21851.81588387593</v>
      </c>
      <c r="AC66" s="72">
        <f t="shared" si="17"/>
        <v>2461.5726234814601</v>
      </c>
      <c r="AD66" s="85">
        <f t="shared" si="18"/>
        <v>4.643313091780235</v>
      </c>
    </row>
    <row r="67" spans="1:30">
      <c r="A67" t="str">
        <f>'Price Deck'!A61</f>
        <v>11/2023</v>
      </c>
      <c r="B67" s="51">
        <f>'Liquids Type Curve'!A74</f>
        <v>4.338557465453321</v>
      </c>
      <c r="C67" s="51">
        <f>'Liquids Type Curve'!B74</f>
        <v>52.062689585439855</v>
      </c>
      <c r="D67" s="51">
        <f>'Liquids Type Curve'!C74</f>
        <v>17.116786363808739</v>
      </c>
      <c r="E67" s="51">
        <f>'Liquids Type Curve'!D74</f>
        <v>520.63558523251584</v>
      </c>
      <c r="F67" s="51">
        <f>'Liquids Type Curve'!E74</f>
        <v>78132.974974897355</v>
      </c>
      <c r="H67" s="51">
        <f t="shared" si="2"/>
        <v>4.338557465453321</v>
      </c>
      <c r="I67" s="51">
        <f t="shared" si="3"/>
        <v>52.062689585439855</v>
      </c>
      <c r="J67" s="51">
        <f t="shared" si="4"/>
        <v>5.6485395000568843</v>
      </c>
      <c r="K67" s="51">
        <f t="shared" si="5"/>
        <v>171.80974312673024</v>
      </c>
      <c r="L67" s="51">
        <f t="shared" si="6"/>
        <v>25783.88174171613</v>
      </c>
      <c r="N67" s="51">
        <f t="shared" si="7"/>
        <v>27.315613076207548</v>
      </c>
      <c r="O67" s="51">
        <f>(('Price Deck'!Q61/'Propane Royalties'!$B$2))/'Price Deck'!M61</f>
        <v>259.26248780487805</v>
      </c>
      <c r="P67" s="39"/>
      <c r="Q67" s="51">
        <f t="shared" si="8"/>
        <v>0.33699966780487806</v>
      </c>
      <c r="R67" s="51">
        <f t="shared" si="9"/>
        <v>0.1</v>
      </c>
      <c r="S67" s="51">
        <f t="shared" si="10"/>
        <v>0.44574822536585368</v>
      </c>
      <c r="T67" s="51">
        <f t="shared" si="11"/>
        <v>0.34009376146341463</v>
      </c>
      <c r="U67" s="51">
        <f t="shared" si="12"/>
        <v>0.33699966780487806</v>
      </c>
      <c r="W67" s="51">
        <f t="shared" si="13"/>
        <v>-0.22502392234711982</v>
      </c>
      <c r="X67" s="39">
        <f t="shared" si="14"/>
        <v>0.11197574545775824</v>
      </c>
      <c r="Y67" s="39">
        <f t="shared" si="15"/>
        <v>0.11197574545775824</v>
      </c>
      <c r="AA67" s="85">
        <f>'Price Deck'!Q61/'Price Deck'!M61</f>
        <v>41.219512195121951</v>
      </c>
      <c r="AB67" s="72">
        <f t="shared" si="16"/>
        <v>21460.344854706142</v>
      </c>
      <c r="AC67" s="72">
        <f t="shared" si="17"/>
        <v>2403.0381128862864</v>
      </c>
      <c r="AD67" s="85">
        <f t="shared" si="18"/>
        <v>4.615585605453937</v>
      </c>
    </row>
    <row r="68" spans="1:30">
      <c r="A68" t="str">
        <f>'Price Deck'!A62</f>
        <v>12/2023</v>
      </c>
      <c r="B68" s="51">
        <f>'Liquids Type Curve'!A75</f>
        <v>4.421890798786654</v>
      </c>
      <c r="C68" s="51">
        <f>'Liquids Type Curve'!B75</f>
        <v>53.062689585439848</v>
      </c>
      <c r="D68" s="51">
        <f>'Liquids Type Curve'!C75</f>
        <v>16.815925112367772</v>
      </c>
      <c r="E68" s="51">
        <f>'Liquids Type Curve'!D75</f>
        <v>511.48438883451973</v>
      </c>
      <c r="F68" s="51">
        <f>'Liquids Type Curve'!E75</f>
        <v>78644.459363731876</v>
      </c>
      <c r="H68" s="51">
        <f t="shared" si="2"/>
        <v>4.421890798786654</v>
      </c>
      <c r="I68" s="51">
        <f t="shared" si="3"/>
        <v>53.062689585439848</v>
      </c>
      <c r="J68" s="51">
        <f t="shared" si="4"/>
        <v>5.5492552870813654</v>
      </c>
      <c r="K68" s="51">
        <f t="shared" si="5"/>
        <v>168.78984831539151</v>
      </c>
      <c r="L68" s="51">
        <f t="shared" si="6"/>
        <v>25952.671590031521</v>
      </c>
      <c r="N68" s="51">
        <f t="shared" si="7"/>
        <v>26.835487347036711</v>
      </c>
      <c r="O68" s="51">
        <f>(('Price Deck'!Q62/'Propane Royalties'!$B$2))/'Price Deck'!M62</f>
        <v>259.26248780487805</v>
      </c>
      <c r="P68" s="39"/>
      <c r="Q68" s="51">
        <f t="shared" si="8"/>
        <v>0.33699966780487806</v>
      </c>
      <c r="R68" s="51">
        <f t="shared" si="9"/>
        <v>0.1</v>
      </c>
      <c r="S68" s="51">
        <f t="shared" si="10"/>
        <v>0.44574822536585368</v>
      </c>
      <c r="T68" s="51">
        <f t="shared" si="11"/>
        <v>0.34009376146341463</v>
      </c>
      <c r="U68" s="51">
        <f t="shared" si="12"/>
        <v>0.33699966780487806</v>
      </c>
      <c r="W68" s="51">
        <f t="shared" si="13"/>
        <v>-0.22567209208150044</v>
      </c>
      <c r="X68" s="39">
        <f t="shared" si="14"/>
        <v>0.11132757572337762</v>
      </c>
      <c r="Y68" s="39">
        <f t="shared" si="15"/>
        <v>0.11132757572337762</v>
      </c>
      <c r="AA68" s="85">
        <f>'Price Deck'!Q62/'Price Deck'!M62</f>
        <v>41.219512195121951</v>
      </c>
      <c r="AB68" s="72">
        <f t="shared" si="16"/>
        <v>21083.137003178985</v>
      </c>
      <c r="AC68" s="72">
        <f t="shared" si="17"/>
        <v>2347.1345312077533</v>
      </c>
      <c r="AD68" s="85">
        <f t="shared" si="18"/>
        <v>4.588868365183127</v>
      </c>
    </row>
    <row r="69" spans="1:30">
      <c r="A69" t="str">
        <f>'Price Deck'!A63</f>
        <v>01/2024</v>
      </c>
      <c r="B69" s="51">
        <f>'Liquids Type Curve'!A76</f>
        <v>4.5052241321199871</v>
      </c>
      <c r="C69" s="51">
        <f>'Liquids Type Curve'!B76</f>
        <v>54.062689585439841</v>
      </c>
      <c r="D69" s="51">
        <f>'Liquids Type Curve'!C76</f>
        <v>16.525822796123915</v>
      </c>
      <c r="E69" s="51">
        <f>'Liquids Type Curve'!D76</f>
        <v>502.66044338210241</v>
      </c>
      <c r="F69" s="51">
        <f>'Liquids Type Curve'!E76</f>
        <v>79147.119807113981</v>
      </c>
      <c r="H69" s="51">
        <f t="shared" si="2"/>
        <v>4.5052241321199871</v>
      </c>
      <c r="I69" s="51">
        <f t="shared" si="3"/>
        <v>54.062689585439841</v>
      </c>
      <c r="J69" s="51">
        <f t="shared" si="4"/>
        <v>5.4535215227208926</v>
      </c>
      <c r="K69" s="51">
        <f t="shared" si="5"/>
        <v>165.87794631609381</v>
      </c>
      <c r="L69" s="51">
        <f t="shared" si="6"/>
        <v>26118.549536347615</v>
      </c>
      <c r="N69" s="51">
        <f t="shared" si="7"/>
        <v>26.372531132324369</v>
      </c>
      <c r="O69" s="51">
        <f>(('Price Deck'!Q63/'Propane Royalties'!$B$2))/'Price Deck'!M63</f>
        <v>265.39887804878049</v>
      </c>
      <c r="P69" s="39"/>
      <c r="Q69" s="51">
        <f t="shared" si="8"/>
        <v>0.3406201380487805</v>
      </c>
      <c r="R69" s="51">
        <f t="shared" si="9"/>
        <v>0.1</v>
      </c>
      <c r="S69" s="51">
        <f t="shared" si="10"/>
        <v>0.45814373365853667</v>
      </c>
      <c r="T69" s="51">
        <f t="shared" si="11"/>
        <v>0.34690515463414634</v>
      </c>
      <c r="U69" s="51">
        <f t="shared" si="12"/>
        <v>0.3406201380487805</v>
      </c>
      <c r="W69" s="51">
        <f t="shared" si="13"/>
        <v>-0.22629708297136214</v>
      </c>
      <c r="X69" s="39">
        <f t="shared" si="14"/>
        <v>0.11432305507741836</v>
      </c>
      <c r="Y69" s="39">
        <f t="shared" si="15"/>
        <v>0.11432305507741836</v>
      </c>
      <c r="AA69" s="85">
        <f>'Price Deck'!Q63/'Price Deck'!M63</f>
        <v>42.195121951219519</v>
      </c>
      <c r="AB69" s="72">
        <f t="shared" si="16"/>
        <v>21209.818708561885</v>
      </c>
      <c r="AC69" s="72">
        <f t="shared" si="17"/>
        <v>2424.7712724009784</v>
      </c>
      <c r="AD69" s="85">
        <f t="shared" si="18"/>
        <v>4.823875250827653</v>
      </c>
    </row>
    <row r="70" spans="1:30">
      <c r="A70" t="str">
        <f>'Price Deck'!A64</f>
        <v>02/2024</v>
      </c>
      <c r="B70" s="51">
        <f>'Liquids Type Curve'!A77</f>
        <v>4.5885574654533201</v>
      </c>
      <c r="C70" s="51">
        <f>'Liquids Type Curve'!B77</f>
        <v>55.062689585439841</v>
      </c>
      <c r="D70" s="51">
        <f>'Liquids Type Curve'!C77</f>
        <v>16.245906145345117</v>
      </c>
      <c r="E70" s="51">
        <f>'Liquids Type Curve'!D77</f>
        <v>494.146311920914</v>
      </c>
      <c r="F70" s="51">
        <f>'Liquids Type Curve'!E77</f>
        <v>79641.266119034888</v>
      </c>
      <c r="H70" s="51">
        <f t="shared" si="2"/>
        <v>4.5885574654533201</v>
      </c>
      <c r="I70" s="51">
        <f t="shared" si="3"/>
        <v>55.062689585439841</v>
      </c>
      <c r="J70" s="51">
        <f t="shared" si="4"/>
        <v>5.3611490279638891</v>
      </c>
      <c r="K70" s="51">
        <f t="shared" si="5"/>
        <v>163.06828293390163</v>
      </c>
      <c r="L70" s="51">
        <f t="shared" si="6"/>
        <v>26281.617819281513</v>
      </c>
      <c r="N70" s="51">
        <f t="shared" si="7"/>
        <v>25.925829586616686</v>
      </c>
      <c r="O70" s="51">
        <f>(('Price Deck'!Q64/'Propane Royalties'!$B$2))/'Price Deck'!M64</f>
        <v>265.39887804878049</v>
      </c>
      <c r="P70" s="39"/>
      <c r="Q70" s="51">
        <f t="shared" si="8"/>
        <v>0.3406201380487805</v>
      </c>
      <c r="R70" s="51">
        <f t="shared" si="9"/>
        <v>0.1</v>
      </c>
      <c r="S70" s="51">
        <f t="shared" si="10"/>
        <v>0.45814373365853667</v>
      </c>
      <c r="T70" s="51">
        <f t="shared" si="11"/>
        <v>0.34690515463414634</v>
      </c>
      <c r="U70" s="51">
        <f t="shared" si="12"/>
        <v>0.3406201380487805</v>
      </c>
      <c r="W70" s="51">
        <f t="shared" si="13"/>
        <v>-0.22690013005806747</v>
      </c>
      <c r="X70" s="39">
        <f t="shared" si="14"/>
        <v>0.11372000799071302</v>
      </c>
      <c r="Y70" s="39">
        <f t="shared" si="15"/>
        <v>0.11372000799071302</v>
      </c>
      <c r="AA70" s="85">
        <f>'Price Deck'!Q64/'Price Deck'!M64</f>
        <v>42.195121951219519</v>
      </c>
      <c r="AB70" s="72">
        <f t="shared" si="16"/>
        <v>20850.563893248327</v>
      </c>
      <c r="AC70" s="72">
        <f t="shared" si="17"/>
        <v>2371.1262925510723</v>
      </c>
      <c r="AD70" s="85">
        <f t="shared" si="18"/>
        <v>4.798429605461795</v>
      </c>
    </row>
    <row r="71" spans="1:30">
      <c r="A71" t="str">
        <f>'Price Deck'!A65</f>
        <v>03/2024</v>
      </c>
      <c r="B71" s="51">
        <f>'Liquids Type Curve'!A78</f>
        <v>4.6718907987866531</v>
      </c>
      <c r="C71" s="51">
        <f>'Liquids Type Curve'!B78</f>
        <v>56.062689585439841</v>
      </c>
      <c r="D71" s="51">
        <f>'Liquids Type Curve'!C78</f>
        <v>15.975642122581485</v>
      </c>
      <c r="E71" s="51">
        <f>'Liquids Type Curve'!D78</f>
        <v>485.92578122852018</v>
      </c>
      <c r="F71" s="51">
        <f>'Liquids Type Curve'!E78</f>
        <v>80127.191900263409</v>
      </c>
      <c r="H71" s="51">
        <f t="shared" si="2"/>
        <v>4.6718907987866531</v>
      </c>
      <c r="I71" s="51">
        <f t="shared" si="3"/>
        <v>56.062689585439841</v>
      </c>
      <c r="J71" s="51">
        <f t="shared" si="4"/>
        <v>5.2719619004518901</v>
      </c>
      <c r="K71" s="51">
        <f t="shared" si="5"/>
        <v>160.35550780541166</v>
      </c>
      <c r="L71" s="51">
        <f t="shared" si="6"/>
        <v>26441.973327086926</v>
      </c>
      <c r="N71" s="51">
        <f t="shared" si="7"/>
        <v>25.494532068652685</v>
      </c>
      <c r="O71" s="51">
        <f>(('Price Deck'!Q65/'Propane Royalties'!$B$2))/'Price Deck'!M65</f>
        <v>265.39887804878049</v>
      </c>
      <c r="P71" s="39"/>
      <c r="Q71" s="51">
        <f t="shared" si="8"/>
        <v>0.3406201380487805</v>
      </c>
      <c r="R71" s="51">
        <f t="shared" si="9"/>
        <v>0.1</v>
      </c>
      <c r="S71" s="51">
        <f t="shared" si="10"/>
        <v>0.45814373365853667</v>
      </c>
      <c r="T71" s="51">
        <f t="shared" si="11"/>
        <v>0.34690515463414634</v>
      </c>
      <c r="U71" s="51">
        <f t="shared" si="12"/>
        <v>0.3406201380487805</v>
      </c>
      <c r="W71" s="51">
        <f t="shared" si="13"/>
        <v>-0.22748238170731888</v>
      </c>
      <c r="X71" s="39">
        <f t="shared" si="14"/>
        <v>0.11313775634146161</v>
      </c>
      <c r="Y71" s="39">
        <f t="shared" si="15"/>
        <v>0.11313775634146161</v>
      </c>
      <c r="AA71" s="85">
        <f>'Price Deck'!Q65/'Price Deck'!M65</f>
        <v>42.195121951219519</v>
      </c>
      <c r="AB71" s="72">
        <f t="shared" si="16"/>
        <v>20503.697598179027</v>
      </c>
      <c r="AC71" s="72">
        <f t="shared" si="17"/>
        <v>2319.7423429617907</v>
      </c>
      <c r="AD71" s="85">
        <f t="shared" si="18"/>
        <v>4.7738614261153334</v>
      </c>
    </row>
    <row r="72" spans="1:30">
      <c r="A72" t="str">
        <f>'Price Deck'!A66</f>
        <v>04/2024</v>
      </c>
      <c r="B72" s="51">
        <f>'Liquids Type Curve'!A79</f>
        <v>4.7552241321199862</v>
      </c>
      <c r="C72" s="51">
        <f>'Liquids Type Curve'!B79</f>
        <v>57.062689585439834</v>
      </c>
      <c r="D72" s="51">
        <f>'Liquids Type Curve'!C79</f>
        <v>15.714534443173346</v>
      </c>
      <c r="E72" s="51">
        <f>'Liquids Type Curve'!D79</f>
        <v>477.98375597985597</v>
      </c>
      <c r="F72" s="51">
        <f>'Liquids Type Curve'!E79</f>
        <v>80605.175656243271</v>
      </c>
      <c r="H72" s="51">
        <f t="shared" si="2"/>
        <v>4.7552241321199862</v>
      </c>
      <c r="I72" s="51">
        <f t="shared" si="3"/>
        <v>57.062689585439834</v>
      </c>
      <c r="J72" s="51">
        <f t="shared" si="4"/>
        <v>5.185796366247204</v>
      </c>
      <c r="K72" s="51">
        <f t="shared" si="5"/>
        <v>157.73463947335247</v>
      </c>
      <c r="L72" s="51">
        <f t="shared" si="6"/>
        <v>26599.70796656028</v>
      </c>
      <c r="N72" s="51">
        <f t="shared" si="7"/>
        <v>25.07784658865981</v>
      </c>
      <c r="O72" s="51">
        <f>(('Price Deck'!Q66/'Propane Royalties'!$B$2))/'Price Deck'!M66</f>
        <v>265.39887804878049</v>
      </c>
      <c r="P72" s="39"/>
      <c r="Q72" s="51">
        <f t="shared" si="8"/>
        <v>0.3406201380487805</v>
      </c>
      <c r="R72" s="51">
        <f t="shared" si="9"/>
        <v>0.1</v>
      </c>
      <c r="S72" s="51">
        <f t="shared" si="10"/>
        <v>0.45814373365853667</v>
      </c>
      <c r="T72" s="51">
        <f t="shared" si="11"/>
        <v>0.34690515463414634</v>
      </c>
      <c r="U72" s="51">
        <f t="shared" si="12"/>
        <v>0.3406201380487805</v>
      </c>
      <c r="W72" s="51">
        <f t="shared" si="13"/>
        <v>-0.22804490710530928</v>
      </c>
      <c r="X72" s="39">
        <f t="shared" si="14"/>
        <v>0.11257523094347122</v>
      </c>
      <c r="Y72" s="39">
        <f t="shared" si="15"/>
        <v>0.11257523094347122</v>
      </c>
      <c r="AA72" s="85">
        <f>'Price Deck'!Q66/'Price Deck'!M66</f>
        <v>42.195121951219519</v>
      </c>
      <c r="AB72" s="72">
        <f t="shared" si="16"/>
        <v>20168.582874271975</v>
      </c>
      <c r="AC72" s="72">
        <f t="shared" si="17"/>
        <v>2270.4828748737059</v>
      </c>
      <c r="AD72" s="85">
        <f t="shared" si="18"/>
        <v>4.750125598346469</v>
      </c>
    </row>
    <row r="73" spans="1:30">
      <c r="A73" t="str">
        <f>'Price Deck'!A67</f>
        <v>05/2024</v>
      </c>
      <c r="B73" s="51">
        <f>'Liquids Type Curve'!A80</f>
        <v>4.8385574654533192</v>
      </c>
      <c r="C73" s="51">
        <f>'Liquids Type Curve'!B80</f>
        <v>58.062689585439827</v>
      </c>
      <c r="D73" s="51">
        <f>'Liquids Type Curve'!C80</f>
        <v>15.462120451460358</v>
      </c>
      <c r="E73" s="51">
        <f>'Liquids Type Curve'!D80</f>
        <v>470.30616373191924</v>
      </c>
      <c r="F73" s="51">
        <f>'Liquids Type Curve'!E80</f>
        <v>81075.48181997519</v>
      </c>
      <c r="H73" s="51">
        <f t="shared" si="2"/>
        <v>4.8385574654533192</v>
      </c>
      <c r="I73" s="51">
        <f t="shared" si="3"/>
        <v>58.062689585439827</v>
      </c>
      <c r="J73" s="51">
        <f t="shared" si="4"/>
        <v>5.1024997489819182</v>
      </c>
      <c r="K73" s="51">
        <f t="shared" si="5"/>
        <v>155.20103403153337</v>
      </c>
      <c r="L73" s="51">
        <f t="shared" si="6"/>
        <v>26754.909000591815</v>
      </c>
      <c r="N73" s="51">
        <f t="shared" si="7"/>
        <v>24.675034823290623</v>
      </c>
      <c r="O73" s="51">
        <f>(('Price Deck'!Q67/'Propane Royalties'!$B$2))/'Price Deck'!M67</f>
        <v>265.39887804878049</v>
      </c>
      <c r="P73" s="39"/>
      <c r="Q73" s="51">
        <f t="shared" si="8"/>
        <v>0.3406201380487805</v>
      </c>
      <c r="R73" s="51">
        <f t="shared" si="9"/>
        <v>0.1</v>
      </c>
      <c r="S73" s="51">
        <f t="shared" si="10"/>
        <v>0.45814373365853667</v>
      </c>
      <c r="T73" s="51">
        <f t="shared" si="11"/>
        <v>0.34690515463414634</v>
      </c>
      <c r="U73" s="51">
        <f t="shared" si="12"/>
        <v>0.3406201380487805</v>
      </c>
      <c r="W73" s="51">
        <f t="shared" si="13"/>
        <v>-0.22858870298855768</v>
      </c>
      <c r="X73" s="39">
        <f t="shared" si="14"/>
        <v>0.11203143506022281</v>
      </c>
      <c r="Y73" s="39">
        <f t="shared" si="15"/>
        <v>0.11203143506022281</v>
      </c>
      <c r="AA73" s="85">
        <f>'Price Deck'!Q67/'Price Deck'!M67</f>
        <v>42.195121951219519</v>
      </c>
      <c r="AB73" s="72">
        <f t="shared" si="16"/>
        <v>19844.625933078547</v>
      </c>
      <c r="AC73" s="72">
        <f t="shared" si="17"/>
        <v>2223.2219215161026</v>
      </c>
      <c r="AD73" s="85">
        <f t="shared" si="18"/>
        <v>4.7271800647362312</v>
      </c>
    </row>
    <row r="74" spans="1:30">
      <c r="A74" t="str">
        <f>'Price Deck'!A68</f>
        <v>06/2024</v>
      </c>
      <c r="B74" s="51">
        <f>'Liquids Type Curve'!A81</f>
        <v>4.9218907987866523</v>
      </c>
      <c r="C74" s="51">
        <f>'Liquids Type Curve'!B81</f>
        <v>59.062689585439827</v>
      </c>
      <c r="D74" s="51">
        <f>'Liquids Type Curve'!C81</f>
        <v>15.217968310919023</v>
      </c>
      <c r="E74" s="51">
        <f>'Liquids Type Curve'!D81</f>
        <v>462.87986945712032</v>
      </c>
      <c r="F74" s="51">
        <f>'Liquids Type Curve'!E81</f>
        <v>81538.361689432306</v>
      </c>
      <c r="H74" s="51">
        <f t="shared" si="2"/>
        <v>4.9218907987866523</v>
      </c>
      <c r="I74" s="51">
        <f t="shared" si="3"/>
        <v>59.062689585439827</v>
      </c>
      <c r="J74" s="51">
        <f t="shared" si="4"/>
        <v>5.021929542603278</v>
      </c>
      <c r="K74" s="51">
        <f t="shared" si="5"/>
        <v>152.75035692084973</v>
      </c>
      <c r="L74" s="51">
        <f t="shared" si="6"/>
        <v>26907.659357512661</v>
      </c>
      <c r="N74" s="51">
        <f t="shared" si="7"/>
        <v>24.28540763153832</v>
      </c>
      <c r="O74" s="51">
        <f>(('Price Deck'!Q68/'Propane Royalties'!$B$2))/'Price Deck'!M68</f>
        <v>265.39887804878049</v>
      </c>
      <c r="P74" s="39"/>
      <c r="Q74" s="51">
        <f t="shared" si="8"/>
        <v>0.3406201380487805</v>
      </c>
      <c r="R74" s="51">
        <f t="shared" si="9"/>
        <v>0.1</v>
      </c>
      <c r="S74" s="51">
        <f t="shared" si="10"/>
        <v>0.45814373365853667</v>
      </c>
      <c r="T74" s="51">
        <f t="shared" si="11"/>
        <v>0.34690515463414634</v>
      </c>
      <c r="U74" s="51">
        <f t="shared" si="12"/>
        <v>0.3406201380487805</v>
      </c>
      <c r="W74" s="51">
        <f t="shared" si="13"/>
        <v>-0.22911469969742329</v>
      </c>
      <c r="X74" s="39">
        <f t="shared" si="14"/>
        <v>0.11150543835135721</v>
      </c>
      <c r="Y74" s="39">
        <f t="shared" si="15"/>
        <v>0.11150543835135721</v>
      </c>
      <c r="AA74" s="85">
        <f>'Price Deck'!Q68/'Price Deck'!M68</f>
        <v>42.195121951219519</v>
      </c>
      <c r="AB74" s="72">
        <f t="shared" si="16"/>
        <v>19531.272540507762</v>
      </c>
      <c r="AC74" s="72">
        <f t="shared" si="17"/>
        <v>2177.8431061891442</v>
      </c>
      <c r="AD74" s="85">
        <f t="shared" si="18"/>
        <v>4.7049855694597076</v>
      </c>
    </row>
    <row r="75" spans="1:30">
      <c r="A75" t="str">
        <f>'Price Deck'!A69</f>
        <v>07/2024</v>
      </c>
      <c r="B75" s="51">
        <f>'Liquids Type Curve'!A82</f>
        <v>5.0052241321199853</v>
      </c>
      <c r="C75" s="51">
        <f>'Liquids Type Curve'!B82</f>
        <v>60.062689585439827</v>
      </c>
      <c r="D75" s="51">
        <f>'Liquids Type Curve'!C82</f>
        <v>14.981674471976095</v>
      </c>
      <c r="E75" s="51">
        <f>'Liquids Type Curve'!D82</f>
        <v>455.69259852260626</v>
      </c>
      <c r="F75" s="51">
        <f>'Liquids Type Curve'!E82</f>
        <v>81994.054287954918</v>
      </c>
      <c r="H75" s="51">
        <f t="shared" si="2"/>
        <v>5.0052241321199853</v>
      </c>
      <c r="I75" s="51">
        <f t="shared" si="3"/>
        <v>60.062689585439827</v>
      </c>
      <c r="J75" s="51">
        <f t="shared" si="4"/>
        <v>4.9439525757521121</v>
      </c>
      <c r="K75" s="51">
        <f t="shared" si="5"/>
        <v>150.37855751246008</v>
      </c>
      <c r="L75" s="51">
        <f t="shared" si="6"/>
        <v>27058.037915025125</v>
      </c>
      <c r="N75" s="51">
        <f t="shared" si="7"/>
        <v>23.908321013777876</v>
      </c>
      <c r="O75" s="51">
        <f>(('Price Deck'!Q69/'Propane Royalties'!$B$2))/'Price Deck'!M69</f>
        <v>265.39887804878049</v>
      </c>
      <c r="P75" s="39"/>
      <c r="Q75" s="51">
        <f t="shared" si="8"/>
        <v>0.3406201380487805</v>
      </c>
      <c r="R75" s="51">
        <f t="shared" si="9"/>
        <v>0.1</v>
      </c>
      <c r="S75" s="51">
        <f t="shared" si="10"/>
        <v>0.45814373365853667</v>
      </c>
      <c r="T75" s="51">
        <f t="shared" si="11"/>
        <v>0.34690515463414634</v>
      </c>
      <c r="U75" s="51">
        <f t="shared" si="12"/>
        <v>0.3406201380487805</v>
      </c>
      <c r="W75" s="51">
        <f t="shared" si="13"/>
        <v>-0.22962376663139988</v>
      </c>
      <c r="X75" s="39">
        <f t="shared" si="14"/>
        <v>0.11099637141738061</v>
      </c>
      <c r="Y75" s="39">
        <f t="shared" si="15"/>
        <v>0.11099637141738061</v>
      </c>
      <c r="AA75" s="85">
        <f>'Price Deck'!Q69/'Price Deck'!M69</f>
        <v>42.195121951219519</v>
      </c>
      <c r="AB75" s="72">
        <f t="shared" si="16"/>
        <v>19228.004766929487</v>
      </c>
      <c r="AC75" s="72">
        <f t="shared" si="17"/>
        <v>2134.2387587252701</v>
      </c>
      <c r="AD75" s="85">
        <f t="shared" si="18"/>
        <v>4.683505428099231</v>
      </c>
    </row>
    <row r="76" spans="1:30">
      <c r="A76" t="str">
        <f>'Price Deck'!A70</f>
        <v>08/2024</v>
      </c>
      <c r="B76" s="51">
        <f>'Liquids Type Curve'!A83</f>
        <v>5.0885574654533183</v>
      </c>
      <c r="C76" s="51">
        <f>'Liquids Type Curve'!B83</f>
        <v>61.06268958543982</v>
      </c>
      <c r="D76" s="51">
        <f>'Liquids Type Curve'!C83</f>
        <v>14.752861385956795</v>
      </c>
      <c r="E76" s="51">
        <f>'Liquids Type Curve'!D83</f>
        <v>448.73286715618588</v>
      </c>
      <c r="F76" s="51">
        <f>'Liquids Type Curve'!E83</f>
        <v>82442.787155111102</v>
      </c>
      <c r="H76" s="51">
        <f t="shared" ref="H76:H139" si="19">B76</f>
        <v>5.0885574654533183</v>
      </c>
      <c r="I76" s="51">
        <f t="shared" ref="I76:I139" si="20">C76</f>
        <v>61.06268958543982</v>
      </c>
      <c r="J76" s="51">
        <f t="shared" ref="J76:J139" si="21">D76*$C$2</f>
        <v>4.8684442573657423</v>
      </c>
      <c r="K76" s="51">
        <f t="shared" ref="K76:K139" si="22">E76*$C$2</f>
        <v>148.08184616154134</v>
      </c>
      <c r="L76" s="51">
        <f t="shared" ref="L76:L139" si="23">F76*$C$2</f>
        <v>27206.119761186666</v>
      </c>
      <c r="N76" s="51">
        <f t="shared" ref="N76:N139" si="24">K76*$B$2</f>
        <v>23.54317246359842</v>
      </c>
      <c r="O76" s="51">
        <f>(('Price Deck'!Q70/'Propane Royalties'!$B$2))/'Price Deck'!M70</f>
        <v>265.39887804878049</v>
      </c>
      <c r="P76" s="39"/>
      <c r="Q76" s="51">
        <f t="shared" ref="Q76:Q139" si="25">MIN(IF(O76&gt;$M$3,U76,IF(O76&gt;$L$3,T76,IF(O76&gt;$K$3,S76,R76))),J68)</f>
        <v>0.3406201380487805</v>
      </c>
      <c r="R76" s="51">
        <f t="shared" ref="R76:R139" si="26">$F$3</f>
        <v>0.1</v>
      </c>
      <c r="S76" s="51">
        <f t="shared" ref="S76:S139" si="27">((O76-$K$3)*0.00202+0.1)</f>
        <v>0.45814373365853667</v>
      </c>
      <c r="T76" s="51">
        <f t="shared" ref="T76:T139" si="28">((O76-$L$3)*0.00111+0.21122)</f>
        <v>0.34690515463414634</v>
      </c>
      <c r="U76" s="51">
        <f t="shared" ref="U76:U139" si="29">((O76-$M$3)*0.00059+0.33347)</f>
        <v>0.3406201380487805</v>
      </c>
      <c r="W76" s="51">
        <f t="shared" ref="W76:W139" si="30">IF(N76&gt;$D$2,0,((N76-$D$2)*0.00135))</f>
        <v>-0.23011671717414217</v>
      </c>
      <c r="X76" s="39">
        <f t="shared" ref="X76:X139" si="31">MAX(0.05,W76+Q76)</f>
        <v>0.11050342087463833</v>
      </c>
      <c r="Y76" s="39">
        <f t="shared" ref="Y76:Y139" si="32">IF(C76&gt;$A$5,X76,0.05)</f>
        <v>0.11050342087463833</v>
      </c>
      <c r="AA76" s="85">
        <f>'Price Deck'!Q70/'Price Deck'!M70</f>
        <v>42.195121951219519</v>
      </c>
      <c r="AB76" s="72">
        <f t="shared" ref="AB76:AB139" si="33">AA76*E76</f>
        <v>18934.338053175652</v>
      </c>
      <c r="AC76" s="72">
        <f t="shared" ref="AC76:AC139" si="34">AB76*Y76</f>
        <v>2092.3091268727489</v>
      </c>
      <c r="AD76" s="85">
        <f t="shared" ref="AD76:AD139" si="35">AC76/E76</f>
        <v>4.662705319832301</v>
      </c>
    </row>
    <row r="77" spans="1:30">
      <c r="A77" t="str">
        <f>'Price Deck'!A71</f>
        <v>09/2024</v>
      </c>
      <c r="B77" s="51">
        <f>'Liquids Type Curve'!A84</f>
        <v>5.1718907987866514</v>
      </c>
      <c r="C77" s="51">
        <f>'Liquids Type Curve'!B84</f>
        <v>62.062689585439813</v>
      </c>
      <c r="D77" s="51">
        <f>'Liquids Type Curve'!C84</f>
        <v>14.531175437660563</v>
      </c>
      <c r="E77" s="51">
        <f>'Liquids Type Curve'!D84</f>
        <v>441.98991956217549</v>
      </c>
      <c r="F77" s="51">
        <f>'Liquids Type Curve'!E84</f>
        <v>82884.777074673271</v>
      </c>
      <c r="H77" s="51">
        <f t="shared" si="19"/>
        <v>5.1718907987866514</v>
      </c>
      <c r="I77" s="51">
        <f t="shared" si="20"/>
        <v>62.062689585439813</v>
      </c>
      <c r="J77" s="51">
        <f t="shared" si="21"/>
        <v>4.795287894427986</v>
      </c>
      <c r="K77" s="51">
        <f t="shared" si="22"/>
        <v>145.85667345551792</v>
      </c>
      <c r="L77" s="51">
        <f t="shared" si="23"/>
        <v>27351.97643464218</v>
      </c>
      <c r="N77" s="51">
        <f t="shared" si="24"/>
        <v>23.189397668529669</v>
      </c>
      <c r="O77" s="51">
        <f>(('Price Deck'!Q71/'Propane Royalties'!$B$2))/'Price Deck'!M71</f>
        <v>265.39887804878049</v>
      </c>
      <c r="P77" s="39"/>
      <c r="Q77" s="51">
        <f t="shared" si="25"/>
        <v>0.3406201380487805</v>
      </c>
      <c r="R77" s="51">
        <f t="shared" si="26"/>
        <v>0.1</v>
      </c>
      <c r="S77" s="51">
        <f t="shared" si="27"/>
        <v>0.45814373365853667</v>
      </c>
      <c r="T77" s="51">
        <f t="shared" si="28"/>
        <v>0.34690515463414634</v>
      </c>
      <c r="U77" s="51">
        <f t="shared" si="29"/>
        <v>0.3406201380487805</v>
      </c>
      <c r="W77" s="51">
        <f t="shared" si="30"/>
        <v>-0.23059431314748496</v>
      </c>
      <c r="X77" s="39">
        <f t="shared" si="31"/>
        <v>0.11002582490129553</v>
      </c>
      <c r="Y77" s="39">
        <f t="shared" si="32"/>
        <v>0.11002582490129553</v>
      </c>
      <c r="AA77" s="85">
        <f>'Price Deck'!Q71/'Price Deck'!M71</f>
        <v>42.195121951219519</v>
      </c>
      <c r="AB77" s="72">
        <f t="shared" si="33"/>
        <v>18649.818557135699</v>
      </c>
      <c r="AC77" s="72">
        <f t="shared" si="34"/>
        <v>2051.9616710083446</v>
      </c>
      <c r="AD77" s="85">
        <f t="shared" si="35"/>
        <v>4.6425530994936901</v>
      </c>
    </row>
    <row r="78" spans="1:30">
      <c r="A78" t="str">
        <f>'Price Deck'!A72</f>
        <v>10/2024</v>
      </c>
      <c r="B78" s="51">
        <f>'Liquids Type Curve'!A85</f>
        <v>5.2552241321199844</v>
      </c>
      <c r="C78" s="51">
        <f>'Liquids Type Curve'!B85</f>
        <v>63.062689585439813</v>
      </c>
      <c r="D78" s="51">
        <f>'Liquids Type Curve'!C85</f>
        <v>14.316285072518946</v>
      </c>
      <c r="E78" s="51">
        <f>'Liquids Type Curve'!D85</f>
        <v>435.45367095578462</v>
      </c>
      <c r="F78" s="51">
        <f>'Liquids Type Curve'!E85</f>
        <v>83320.230745629058</v>
      </c>
      <c r="H78" s="51">
        <f t="shared" si="19"/>
        <v>5.2552241321199844</v>
      </c>
      <c r="I78" s="51">
        <f t="shared" si="20"/>
        <v>63.062689585439813</v>
      </c>
      <c r="J78" s="51">
        <f t="shared" si="21"/>
        <v>4.7243740739312523</v>
      </c>
      <c r="K78" s="51">
        <f t="shared" si="22"/>
        <v>143.69971141540893</v>
      </c>
      <c r="L78" s="51">
        <f t="shared" si="23"/>
        <v>27495.676146057591</v>
      </c>
      <c r="N78" s="51">
        <f t="shared" si="24"/>
        <v>22.846467521289856</v>
      </c>
      <c r="O78" s="51">
        <f>(('Price Deck'!Q72/'Propane Royalties'!$B$2))/'Price Deck'!M72</f>
        <v>265.39887804878049</v>
      </c>
      <c r="P78" s="39"/>
      <c r="Q78" s="51">
        <f t="shared" si="25"/>
        <v>0.3406201380487805</v>
      </c>
      <c r="R78" s="51">
        <f t="shared" si="26"/>
        <v>0.1</v>
      </c>
      <c r="S78" s="51">
        <f t="shared" si="27"/>
        <v>0.45814373365853667</v>
      </c>
      <c r="T78" s="51">
        <f t="shared" si="28"/>
        <v>0.34690515463414634</v>
      </c>
      <c r="U78" s="51">
        <f t="shared" si="29"/>
        <v>0.3406201380487805</v>
      </c>
      <c r="W78" s="51">
        <f t="shared" si="30"/>
        <v>-0.23105726884625868</v>
      </c>
      <c r="X78" s="39">
        <f t="shared" si="31"/>
        <v>0.10956286920252181</v>
      </c>
      <c r="Y78" s="39">
        <f t="shared" si="32"/>
        <v>0.10956286920252181</v>
      </c>
      <c r="AA78" s="85">
        <f>'Price Deck'!Q72/'Price Deck'!M72</f>
        <v>42.195121951219519</v>
      </c>
      <c r="AB78" s="72">
        <f t="shared" si="33"/>
        <v>18374.02075008555</v>
      </c>
      <c r="AC78" s="72">
        <f t="shared" si="34"/>
        <v>2013.1104321660448</v>
      </c>
      <c r="AD78" s="85">
        <f t="shared" si="35"/>
        <v>4.6230186273259211</v>
      </c>
    </row>
    <row r="79" spans="1:30">
      <c r="A79" t="str">
        <f>'Price Deck'!A73</f>
        <v>11/2024</v>
      </c>
      <c r="B79" s="51">
        <f>'Liquids Type Curve'!A86</f>
        <v>5.3385574654533174</v>
      </c>
      <c r="C79" s="51">
        <f>'Liquids Type Curve'!B86</f>
        <v>64.062689585439813</v>
      </c>
      <c r="D79" s="51">
        <f>'Liquids Type Curve'!C86</f>
        <v>14.107879097268537</v>
      </c>
      <c r="E79" s="51">
        <f>'Liquids Type Curve'!D86</f>
        <v>429.11465587525134</v>
      </c>
      <c r="F79" s="51">
        <f>'Liquids Type Curve'!E86</f>
        <v>83749.34540150431</v>
      </c>
      <c r="H79" s="51">
        <f t="shared" si="19"/>
        <v>5.3385574654533174</v>
      </c>
      <c r="I79" s="51">
        <f t="shared" si="20"/>
        <v>64.062689585439813</v>
      </c>
      <c r="J79" s="51">
        <f t="shared" si="21"/>
        <v>4.6556001020986173</v>
      </c>
      <c r="K79" s="51">
        <f t="shared" si="22"/>
        <v>141.60783643883295</v>
      </c>
      <c r="L79" s="51">
        <f t="shared" si="23"/>
        <v>27637.283982496425</v>
      </c>
      <c r="N79" s="51">
        <f t="shared" si="24"/>
        <v>22.51388540793554</v>
      </c>
      <c r="O79" s="51">
        <f>(('Price Deck'!Q73/'Propane Royalties'!$B$2))/'Price Deck'!M73</f>
        <v>265.39887804878049</v>
      </c>
      <c r="P79" s="39"/>
      <c r="Q79" s="51">
        <f t="shared" si="25"/>
        <v>0.3406201380487805</v>
      </c>
      <c r="R79" s="51">
        <f t="shared" si="26"/>
        <v>0.1</v>
      </c>
      <c r="S79" s="51">
        <f t="shared" si="27"/>
        <v>0.45814373365853667</v>
      </c>
      <c r="T79" s="51">
        <f t="shared" si="28"/>
        <v>0.34690515463414634</v>
      </c>
      <c r="U79" s="51">
        <f t="shared" si="29"/>
        <v>0.3406201380487805</v>
      </c>
      <c r="W79" s="51">
        <f t="shared" si="30"/>
        <v>-0.23150625469928704</v>
      </c>
      <c r="X79" s="39">
        <f t="shared" si="31"/>
        <v>0.10911388334949346</v>
      </c>
      <c r="Y79" s="39">
        <f t="shared" si="32"/>
        <v>0.10911388334949346</v>
      </c>
      <c r="AA79" s="85">
        <f>'Price Deck'!Q73/'Price Deck'!M73</f>
        <v>42.195121951219519</v>
      </c>
      <c r="AB79" s="72">
        <f t="shared" si="33"/>
        <v>18106.545235711827</v>
      </c>
      <c r="AC79" s="72">
        <f t="shared" si="34"/>
        <v>1975.6754647117868</v>
      </c>
      <c r="AD79" s="85">
        <f t="shared" si="35"/>
        <v>4.604073614503017</v>
      </c>
    </row>
    <row r="80" spans="1:30">
      <c r="A80" t="str">
        <f>'Price Deck'!A74</f>
        <v>12/2024</v>
      </c>
      <c r="B80" s="51">
        <f>'Liquids Type Curve'!A87</f>
        <v>5.4218907987866505</v>
      </c>
      <c r="C80" s="51">
        <f>'Liquids Type Curve'!B87</f>
        <v>65.062689585439813</v>
      </c>
      <c r="D80" s="51">
        <f>'Liquids Type Curve'!C87</f>
        <v>13.905665135642371</v>
      </c>
      <c r="E80" s="51">
        <f>'Liquids Type Curve'!D87</f>
        <v>422.96398120912215</v>
      </c>
      <c r="F80" s="51">
        <f>'Liquids Type Curve'!E87</f>
        <v>84172.309382713429</v>
      </c>
      <c r="H80" s="51">
        <f t="shared" si="19"/>
        <v>5.4218907987866505</v>
      </c>
      <c r="I80" s="51">
        <f t="shared" si="20"/>
        <v>65.062689585439813</v>
      </c>
      <c r="J80" s="51">
        <f t="shared" si="21"/>
        <v>4.5888694947619824</v>
      </c>
      <c r="K80" s="51">
        <f t="shared" si="22"/>
        <v>139.57811379901031</v>
      </c>
      <c r="L80" s="51">
        <f t="shared" si="23"/>
        <v>27776.862096295434</v>
      </c>
      <c r="N80" s="51">
        <f t="shared" si="24"/>
        <v>22.191184743395706</v>
      </c>
      <c r="O80" s="51">
        <f>(('Price Deck'!Q74/'Propane Royalties'!$B$2))/'Price Deck'!M74</f>
        <v>265.39887804878049</v>
      </c>
      <c r="P80" s="39"/>
      <c r="Q80" s="51">
        <f t="shared" si="25"/>
        <v>0.3406201380487805</v>
      </c>
      <c r="R80" s="51">
        <f t="shared" si="26"/>
        <v>0.1</v>
      </c>
      <c r="S80" s="51">
        <f t="shared" si="27"/>
        <v>0.45814373365853667</v>
      </c>
      <c r="T80" s="51">
        <f t="shared" si="28"/>
        <v>0.34690515463414634</v>
      </c>
      <c r="U80" s="51">
        <f t="shared" si="29"/>
        <v>0.3406201380487805</v>
      </c>
      <c r="W80" s="51">
        <f t="shared" si="30"/>
        <v>-0.23194190059641581</v>
      </c>
      <c r="X80" s="39">
        <f t="shared" si="31"/>
        <v>0.10867823745236468</v>
      </c>
      <c r="Y80" s="39">
        <f t="shared" si="32"/>
        <v>0.10867823745236468</v>
      </c>
      <c r="AA80" s="85">
        <f>'Price Deck'!Q74/'Price Deck'!M74</f>
        <v>42.195121951219519</v>
      </c>
      <c r="AB80" s="72">
        <f t="shared" si="33"/>
        <v>17847.016768092231</v>
      </c>
      <c r="AC80" s="72">
        <f t="shared" si="34"/>
        <v>1939.5823261390617</v>
      </c>
      <c r="AD80" s="85">
        <f t="shared" si="35"/>
        <v>4.585691482746121</v>
      </c>
    </row>
    <row r="81" spans="1:30">
      <c r="A81" t="str">
        <f>'Price Deck'!A75</f>
        <v>01/2025</v>
      </c>
      <c r="B81" s="51">
        <f>'Liquids Type Curve'!A88</f>
        <v>5.5052241321199835</v>
      </c>
      <c r="C81" s="51">
        <f>'Liquids Type Curve'!B88</f>
        <v>66.062689585439799</v>
      </c>
      <c r="D81" s="51">
        <f>'Liquids Type Curve'!C88</f>
        <v>13.709368222804653</v>
      </c>
      <c r="E81" s="51">
        <f>'Liquids Type Curve'!D88</f>
        <v>416.99328344364153</v>
      </c>
      <c r="F81" s="51">
        <f>'Liquids Type Curve'!E88</f>
        <v>84589.302666157077</v>
      </c>
      <c r="H81" s="51">
        <f t="shared" si="19"/>
        <v>5.5052241321199835</v>
      </c>
      <c r="I81" s="51">
        <f t="shared" si="20"/>
        <v>66.062689585439799</v>
      </c>
      <c r="J81" s="51">
        <f t="shared" si="21"/>
        <v>4.5240915135255353</v>
      </c>
      <c r="K81" s="51">
        <f t="shared" si="22"/>
        <v>137.60778353640171</v>
      </c>
      <c r="L81" s="51">
        <f t="shared" si="23"/>
        <v>27914.469879831835</v>
      </c>
      <c r="N81" s="51">
        <f t="shared" si="24"/>
        <v>21.877926728417709</v>
      </c>
      <c r="O81" s="51">
        <f>(('Price Deck'!Q75/'Propane Royalties'!$B$2))/'Price Deck'!M75</f>
        <v>274.60346341463418</v>
      </c>
      <c r="P81" s="39"/>
      <c r="Q81" s="51">
        <f t="shared" si="25"/>
        <v>0.34605084341463416</v>
      </c>
      <c r="R81" s="51">
        <f t="shared" si="26"/>
        <v>0.1</v>
      </c>
      <c r="S81" s="51">
        <f t="shared" si="27"/>
        <v>0.47673699609756104</v>
      </c>
      <c r="T81" s="51">
        <f t="shared" si="28"/>
        <v>0.35712224439024398</v>
      </c>
      <c r="U81" s="51">
        <f t="shared" si="29"/>
        <v>0.34605084341463416</v>
      </c>
      <c r="W81" s="51">
        <f t="shared" si="30"/>
        <v>-0.23236479891663608</v>
      </c>
      <c r="X81" s="39">
        <f t="shared" si="31"/>
        <v>0.11368604449799807</v>
      </c>
      <c r="Y81" s="39">
        <f t="shared" si="32"/>
        <v>0.11368604449799807</v>
      </c>
      <c r="AA81" s="85">
        <f>'Price Deck'!Q75/'Price Deck'!M75</f>
        <v>43.658536585365852</v>
      </c>
      <c r="AB81" s="72">
        <f t="shared" si="33"/>
        <v>18205.316521076056</v>
      </c>
      <c r="AC81" s="72">
        <f t="shared" si="34"/>
        <v>2069.6904241151919</v>
      </c>
      <c r="AD81" s="85">
        <f t="shared" si="35"/>
        <v>4.9633663329613791</v>
      </c>
    </row>
    <row r="82" spans="1:30">
      <c r="A82" t="str">
        <f>'Price Deck'!A76</f>
        <v>02/2025</v>
      </c>
      <c r="B82" s="51">
        <f>'Liquids Type Curve'!A89</f>
        <v>5.5885574654533166</v>
      </c>
      <c r="C82" s="51">
        <f>'Liquids Type Curve'!B89</f>
        <v>67.062689585439799</v>
      </c>
      <c r="D82" s="51">
        <f>'Liquids Type Curve'!C89</f>
        <v>13.518729524179966</v>
      </c>
      <c r="E82" s="51">
        <f>'Liquids Type Curve'!D89</f>
        <v>411.19468969380728</v>
      </c>
      <c r="F82" s="51">
        <f>'Liquids Type Curve'!E89</f>
        <v>85000.497355850879</v>
      </c>
      <c r="H82" s="51">
        <f t="shared" si="19"/>
        <v>5.5885574654533166</v>
      </c>
      <c r="I82" s="51">
        <f t="shared" si="20"/>
        <v>67.062689585439799</v>
      </c>
      <c r="J82" s="51">
        <f t="shared" si="21"/>
        <v>4.4611807429793888</v>
      </c>
      <c r="K82" s="51">
        <f t="shared" si="22"/>
        <v>135.69424759895639</v>
      </c>
      <c r="L82" s="51">
        <f t="shared" si="23"/>
        <v>28050.164127430791</v>
      </c>
      <c r="N82" s="51">
        <f t="shared" si="24"/>
        <v>21.573698305026614</v>
      </c>
      <c r="O82" s="51">
        <f>(('Price Deck'!Q76/'Propane Royalties'!$B$2))/'Price Deck'!M76</f>
        <v>274.60346341463418</v>
      </c>
      <c r="P82" s="39"/>
      <c r="Q82" s="51">
        <f t="shared" si="25"/>
        <v>0.34605084341463416</v>
      </c>
      <c r="R82" s="51">
        <f t="shared" si="26"/>
        <v>0.1</v>
      </c>
      <c r="S82" s="51">
        <f t="shared" si="27"/>
        <v>0.47673699609756104</v>
      </c>
      <c r="T82" s="51">
        <f t="shared" si="28"/>
        <v>0.35712224439024398</v>
      </c>
      <c r="U82" s="51">
        <f t="shared" si="29"/>
        <v>0.34605084341463416</v>
      </c>
      <c r="W82" s="51">
        <f t="shared" si="30"/>
        <v>-0.23277550728821406</v>
      </c>
      <c r="X82" s="39">
        <f t="shared" si="31"/>
        <v>0.1132753361264201</v>
      </c>
      <c r="Y82" s="39">
        <f t="shared" si="32"/>
        <v>0.1132753361264201</v>
      </c>
      <c r="AA82" s="85">
        <f>'Price Deck'!Q76/'Price Deck'!M76</f>
        <v>43.658536585365852</v>
      </c>
      <c r="AB82" s="72">
        <f t="shared" si="33"/>
        <v>17952.158403705245</v>
      </c>
      <c r="AC82" s="72">
        <f t="shared" si="34"/>
        <v>2033.536777374449</v>
      </c>
      <c r="AD82" s="85">
        <f t="shared" si="35"/>
        <v>4.9454354064949264</v>
      </c>
    </row>
    <row r="83" spans="1:30">
      <c r="A83" t="str">
        <f>'Price Deck'!A77</f>
        <v>03/2025</v>
      </c>
      <c r="B83" s="51">
        <f>'Liquids Type Curve'!A90</f>
        <v>5.6718907987866496</v>
      </c>
      <c r="C83" s="51">
        <f>'Liquids Type Curve'!B90</f>
        <v>68.062689585439799</v>
      </c>
      <c r="D83" s="51">
        <f>'Liquids Type Curve'!C90</f>
        <v>13.333505166001077</v>
      </c>
      <c r="E83" s="51">
        <f>'Liquids Type Curve'!D90</f>
        <v>405.56078213253278</v>
      </c>
      <c r="F83" s="51">
        <f>'Liquids Type Curve'!E90</f>
        <v>85406.058137983418</v>
      </c>
      <c r="H83" s="51">
        <f t="shared" si="19"/>
        <v>5.6718907987866496</v>
      </c>
      <c r="I83" s="51">
        <f t="shared" si="20"/>
        <v>68.062689585439799</v>
      </c>
      <c r="J83" s="51">
        <f t="shared" si="21"/>
        <v>4.4000567047803552</v>
      </c>
      <c r="K83" s="51">
        <f t="shared" si="22"/>
        <v>133.83505810373583</v>
      </c>
      <c r="L83" s="51">
        <f t="shared" si="23"/>
        <v>28183.999185534529</v>
      </c>
      <c r="N83" s="51">
        <f t="shared" si="24"/>
        <v>21.278110290269296</v>
      </c>
      <c r="O83" s="51">
        <f>(('Price Deck'!Q77/'Propane Royalties'!$B$2))/'Price Deck'!M77</f>
        <v>274.60346341463418</v>
      </c>
      <c r="P83" s="39"/>
      <c r="Q83" s="51">
        <f t="shared" si="25"/>
        <v>0.34605084341463416</v>
      </c>
      <c r="R83" s="51">
        <f t="shared" si="26"/>
        <v>0.1</v>
      </c>
      <c r="S83" s="51">
        <f t="shared" si="27"/>
        <v>0.47673699609756104</v>
      </c>
      <c r="T83" s="51">
        <f t="shared" si="28"/>
        <v>0.35712224439024398</v>
      </c>
      <c r="U83" s="51">
        <f t="shared" si="29"/>
        <v>0.34605084341463416</v>
      </c>
      <c r="W83" s="51">
        <f t="shared" si="30"/>
        <v>-0.23317455110813645</v>
      </c>
      <c r="X83" s="39">
        <f t="shared" si="31"/>
        <v>0.11287629230649771</v>
      </c>
      <c r="Y83" s="39">
        <f t="shared" si="32"/>
        <v>0.11287629230649771</v>
      </c>
      <c r="AA83" s="85">
        <f>'Price Deck'!Q77/'Price Deck'!M77</f>
        <v>43.658536585365852</v>
      </c>
      <c r="AB83" s="72">
        <f t="shared" si="33"/>
        <v>17706.19024432277</v>
      </c>
      <c r="AC83" s="72">
        <f t="shared" si="34"/>
        <v>1998.609105652635</v>
      </c>
      <c r="AD83" s="85">
        <f t="shared" si="35"/>
        <v>4.9280137372836794</v>
      </c>
    </row>
    <row r="84" spans="1:30">
      <c r="A84" t="str">
        <f>'Price Deck'!A78</f>
        <v>04/2025</v>
      </c>
      <c r="B84" s="51">
        <f>'Liquids Type Curve'!A91</f>
        <v>5.7552241321199826</v>
      </c>
      <c r="C84" s="51">
        <f>'Liquids Type Curve'!B91</f>
        <v>69.062689585439784</v>
      </c>
      <c r="D84" s="51">
        <f>'Liquids Type Curve'!C91</f>
        <v>13.153465166356179</v>
      </c>
      <c r="E84" s="51">
        <f>'Liquids Type Curve'!D91</f>
        <v>400.08456547666714</v>
      </c>
      <c r="F84" s="51">
        <f>'Liquids Type Curve'!E91</f>
        <v>85806.142703460078</v>
      </c>
      <c r="H84" s="51">
        <f t="shared" si="19"/>
        <v>5.7552241321199826</v>
      </c>
      <c r="I84" s="51">
        <f t="shared" si="20"/>
        <v>69.062689585439784</v>
      </c>
      <c r="J84" s="51">
        <f t="shared" si="21"/>
        <v>4.3406435048975389</v>
      </c>
      <c r="K84" s="51">
        <f t="shared" si="22"/>
        <v>132.02790660730017</v>
      </c>
      <c r="L84" s="51">
        <f t="shared" si="23"/>
        <v>28316.027092141827</v>
      </c>
      <c r="N84" s="51">
        <f t="shared" si="24"/>
        <v>20.990795670339306</v>
      </c>
      <c r="O84" s="51">
        <f>(('Price Deck'!Q78/'Propane Royalties'!$B$2))/'Price Deck'!M78</f>
        <v>274.60346341463418</v>
      </c>
      <c r="P84" s="39"/>
      <c r="Q84" s="51">
        <f t="shared" si="25"/>
        <v>0.34605084341463416</v>
      </c>
      <c r="R84" s="51">
        <f t="shared" si="26"/>
        <v>0.1</v>
      </c>
      <c r="S84" s="51">
        <f t="shared" si="27"/>
        <v>0.47673699609756104</v>
      </c>
      <c r="T84" s="51">
        <f t="shared" si="28"/>
        <v>0.35712224439024398</v>
      </c>
      <c r="U84" s="51">
        <f t="shared" si="29"/>
        <v>0.34605084341463416</v>
      </c>
      <c r="W84" s="51">
        <f t="shared" si="30"/>
        <v>-0.23356242584504194</v>
      </c>
      <c r="X84" s="39">
        <f t="shared" si="31"/>
        <v>0.11248841756959221</v>
      </c>
      <c r="Y84" s="39">
        <f t="shared" si="32"/>
        <v>0.11248841756959221</v>
      </c>
      <c r="AA84" s="85">
        <f>'Price Deck'!Q78/'Price Deck'!M78</f>
        <v>43.658536585365852</v>
      </c>
      <c r="AB84" s="72">
        <f t="shared" si="33"/>
        <v>17467.106639103273</v>
      </c>
      <c r="AC84" s="72">
        <f t="shared" si="34"/>
        <v>1964.8471853520455</v>
      </c>
      <c r="AD84" s="85">
        <f t="shared" si="35"/>
        <v>4.9110796938919528</v>
      </c>
    </row>
    <row r="85" spans="1:30">
      <c r="A85" t="str">
        <f>'Price Deck'!A79</f>
        <v>05/2025</v>
      </c>
      <c r="B85" s="51">
        <f>'Liquids Type Curve'!A92</f>
        <v>5.8385574654533157</v>
      </c>
      <c r="C85" s="51">
        <f>'Liquids Type Curve'!B92</f>
        <v>70.062689585439784</v>
      </c>
      <c r="D85" s="51">
        <f>'Liquids Type Curve'!C92</f>
        <v>12.978392456787006</v>
      </c>
      <c r="E85" s="51">
        <f>'Liquids Type Curve'!D92</f>
        <v>394.75943722727146</v>
      </c>
      <c r="F85" s="51">
        <f>'Liquids Type Curve'!E92</f>
        <v>86200.902140687351</v>
      </c>
      <c r="H85" s="51">
        <f t="shared" si="19"/>
        <v>5.8385574654533157</v>
      </c>
      <c r="I85" s="51">
        <f t="shared" si="20"/>
        <v>70.062689585439784</v>
      </c>
      <c r="J85" s="51">
        <f t="shared" si="21"/>
        <v>4.2828695107397126</v>
      </c>
      <c r="K85" s="51">
        <f t="shared" si="22"/>
        <v>130.2706142849996</v>
      </c>
      <c r="L85" s="51">
        <f t="shared" si="23"/>
        <v>28446.297706426827</v>
      </c>
      <c r="N85" s="51">
        <f t="shared" si="24"/>
        <v>20.711408039206269</v>
      </c>
      <c r="O85" s="51">
        <f>(('Price Deck'!Q79/'Propane Royalties'!$B$2))/'Price Deck'!M79</f>
        <v>274.60346341463418</v>
      </c>
      <c r="P85" s="39"/>
      <c r="Q85" s="51">
        <f t="shared" si="25"/>
        <v>0.34605084341463416</v>
      </c>
      <c r="R85" s="51">
        <f t="shared" si="26"/>
        <v>0.1</v>
      </c>
      <c r="S85" s="51">
        <f t="shared" si="27"/>
        <v>0.47673699609756104</v>
      </c>
      <c r="T85" s="51">
        <f t="shared" si="28"/>
        <v>0.35712224439024398</v>
      </c>
      <c r="U85" s="51">
        <f t="shared" si="29"/>
        <v>0.34605084341463416</v>
      </c>
      <c r="W85" s="51">
        <f t="shared" si="30"/>
        <v>-0.23393959914707155</v>
      </c>
      <c r="X85" s="39">
        <f t="shared" si="31"/>
        <v>0.11211124426756261</v>
      </c>
      <c r="Y85" s="39">
        <f t="shared" si="32"/>
        <v>0.11211124426756261</v>
      </c>
      <c r="AA85" s="85">
        <f>'Price Deck'!Q79/'Price Deck'!M79</f>
        <v>43.658536585365852</v>
      </c>
      <c r="AB85" s="72">
        <f t="shared" si="33"/>
        <v>17234.619332605267</v>
      </c>
      <c r="AC85" s="72">
        <f t="shared" si="34"/>
        <v>1932.1946178561659</v>
      </c>
      <c r="AD85" s="85">
        <f t="shared" si="35"/>
        <v>4.8946128594862701</v>
      </c>
    </row>
    <row r="86" spans="1:30">
      <c r="A86" t="str">
        <f>'Price Deck'!A80</f>
        <v>06/2025</v>
      </c>
      <c r="B86" s="51">
        <f>'Liquids Type Curve'!A93</f>
        <v>5.9218907987866487</v>
      </c>
      <c r="C86" s="51">
        <f>'Liquids Type Curve'!B93</f>
        <v>71.062689585439784</v>
      </c>
      <c r="D86" s="51">
        <f>'Liquids Type Curve'!C93</f>
        <v>12.808081985600456</v>
      </c>
      <c r="E86" s="51">
        <f>'Liquids Type Curve'!D93</f>
        <v>389.57916039534723</v>
      </c>
      <c r="F86" s="51">
        <f>'Liquids Type Curve'!E93</f>
        <v>86590.481301082691</v>
      </c>
      <c r="H86" s="51">
        <f t="shared" si="19"/>
        <v>5.9218907987866487</v>
      </c>
      <c r="I86" s="51">
        <f t="shared" si="20"/>
        <v>71.062689585439784</v>
      </c>
      <c r="J86" s="51">
        <f t="shared" si="21"/>
        <v>4.2266670552481509</v>
      </c>
      <c r="K86" s="51">
        <f t="shared" si="22"/>
        <v>128.56112293046459</v>
      </c>
      <c r="L86" s="51">
        <f t="shared" si="23"/>
        <v>28574.85882935729</v>
      </c>
      <c r="N86" s="51">
        <f t="shared" si="24"/>
        <v>20.439620167646758</v>
      </c>
      <c r="O86" s="51">
        <f>(('Price Deck'!Q80/'Propane Royalties'!$B$2))/'Price Deck'!M80</f>
        <v>274.60346341463418</v>
      </c>
      <c r="P86" s="39"/>
      <c r="Q86" s="51">
        <f t="shared" si="25"/>
        <v>0.34605084341463416</v>
      </c>
      <c r="R86" s="51">
        <f t="shared" si="26"/>
        <v>0.1</v>
      </c>
      <c r="S86" s="51">
        <f t="shared" si="27"/>
        <v>0.47673699609756104</v>
      </c>
      <c r="T86" s="51">
        <f t="shared" si="28"/>
        <v>0.35712224439024398</v>
      </c>
      <c r="U86" s="51">
        <f t="shared" si="29"/>
        <v>0.34605084341463416</v>
      </c>
      <c r="W86" s="51">
        <f t="shared" si="30"/>
        <v>-0.23430651277367689</v>
      </c>
      <c r="X86" s="39">
        <f t="shared" si="31"/>
        <v>0.11174433064095726</v>
      </c>
      <c r="Y86" s="39">
        <f t="shared" si="32"/>
        <v>0.11174433064095726</v>
      </c>
      <c r="AA86" s="85">
        <f>'Price Deck'!Q80/'Price Deck'!M80</f>
        <v>43.658536585365852</v>
      </c>
      <c r="AB86" s="72">
        <f t="shared" si="33"/>
        <v>17008.456027016378</v>
      </c>
      <c r="AC86" s="72">
        <f t="shared" si="34"/>
        <v>1900.5985339751005</v>
      </c>
      <c r="AD86" s="85">
        <f t="shared" si="35"/>
        <v>4.8785939474954514</v>
      </c>
    </row>
    <row r="87" spans="1:30">
      <c r="A87" t="str">
        <f>'Price Deck'!A81</f>
        <v>07/2025</v>
      </c>
      <c r="B87" s="51">
        <f>'Liquids Type Curve'!A94</f>
        <v>6.0052241321199817</v>
      </c>
      <c r="C87" s="51">
        <f>'Liquids Type Curve'!B94</f>
        <v>72.062689585439784</v>
      </c>
      <c r="D87" s="51">
        <f>'Liquids Type Curve'!C94</f>
        <v>12.642339895029579</v>
      </c>
      <c r="E87" s="51">
        <f>'Liquids Type Curve'!D94</f>
        <v>384.53783847381641</v>
      </c>
      <c r="F87" s="51">
        <f>'Liquids Type Curve'!E94</f>
        <v>86975.019139556505</v>
      </c>
      <c r="H87" s="51">
        <f t="shared" si="19"/>
        <v>6.0052241321199817</v>
      </c>
      <c r="I87" s="51">
        <f t="shared" si="20"/>
        <v>72.062689585439784</v>
      </c>
      <c r="J87" s="51">
        <f t="shared" si="21"/>
        <v>4.1719721653597617</v>
      </c>
      <c r="K87" s="51">
        <f t="shared" si="22"/>
        <v>126.89748669635942</v>
      </c>
      <c r="L87" s="51">
        <f t="shared" si="23"/>
        <v>28701.756316053648</v>
      </c>
      <c r="N87" s="51">
        <f t="shared" si="24"/>
        <v>20.175122690126781</v>
      </c>
      <c r="O87" s="51">
        <f>(('Price Deck'!Q81/'Propane Royalties'!$B$2))/'Price Deck'!M81</f>
        <v>274.60346341463418</v>
      </c>
      <c r="P87" s="39"/>
      <c r="Q87" s="51">
        <f t="shared" si="25"/>
        <v>0.34605084341463416</v>
      </c>
      <c r="R87" s="51">
        <f t="shared" si="26"/>
        <v>0.1</v>
      </c>
      <c r="S87" s="51">
        <f t="shared" si="27"/>
        <v>0.47673699609756104</v>
      </c>
      <c r="T87" s="51">
        <f t="shared" si="28"/>
        <v>0.35712224439024398</v>
      </c>
      <c r="U87" s="51">
        <f t="shared" si="29"/>
        <v>0.34605084341463416</v>
      </c>
      <c r="W87" s="51">
        <f t="shared" si="30"/>
        <v>-0.23466358436832885</v>
      </c>
      <c r="X87" s="39">
        <f t="shared" si="31"/>
        <v>0.11138725904630531</v>
      </c>
      <c r="Y87" s="39">
        <f t="shared" si="32"/>
        <v>0.11138725904630531</v>
      </c>
      <c r="AA87" s="85">
        <f>'Price Deck'!Q81/'Price Deck'!M81</f>
        <v>43.658536585365852</v>
      </c>
      <c r="AB87" s="72">
        <f t="shared" si="33"/>
        <v>16788.359289466618</v>
      </c>
      <c r="AC87" s="72">
        <f t="shared" si="34"/>
        <v>1870.0093251382643</v>
      </c>
      <c r="AD87" s="85">
        <f t="shared" si="35"/>
        <v>4.8630047242167436</v>
      </c>
    </row>
    <row r="88" spans="1:30">
      <c r="A88" t="str">
        <f>'Price Deck'!A82</f>
        <v>08/2025</v>
      </c>
      <c r="B88" s="51">
        <f>'Liquids Type Curve'!A95</f>
        <v>6.0885574654533148</v>
      </c>
      <c r="C88" s="51">
        <f>'Liquids Type Curve'!B95</f>
        <v>73.062689585439784</v>
      </c>
      <c r="D88" s="51">
        <f>'Liquids Type Curve'!C95</f>
        <v>12.480982765233662</v>
      </c>
      <c r="E88" s="51">
        <f>'Liquids Type Curve'!D95</f>
        <v>379.6298924425239</v>
      </c>
      <c r="F88" s="51">
        <f>'Liquids Type Curve'!E95</f>
        <v>87354.649031999026</v>
      </c>
      <c r="H88" s="51">
        <f t="shared" si="19"/>
        <v>6.0885574654533148</v>
      </c>
      <c r="I88" s="51">
        <f t="shared" si="20"/>
        <v>73.062689585439784</v>
      </c>
      <c r="J88" s="51">
        <f t="shared" si="21"/>
        <v>4.1187243125271085</v>
      </c>
      <c r="K88" s="51">
        <f t="shared" si="22"/>
        <v>125.2778645060329</v>
      </c>
      <c r="L88" s="51">
        <f t="shared" si="23"/>
        <v>28827.03418055968</v>
      </c>
      <c r="N88" s="51">
        <f t="shared" si="24"/>
        <v>19.917622898348579</v>
      </c>
      <c r="O88" s="51">
        <f>(('Price Deck'!Q82/'Propane Royalties'!$B$2))/'Price Deck'!M82</f>
        <v>274.60346341463418</v>
      </c>
      <c r="P88" s="39"/>
      <c r="Q88" s="51">
        <f t="shared" si="25"/>
        <v>0.34605084341463416</v>
      </c>
      <c r="R88" s="51">
        <f t="shared" si="26"/>
        <v>0.1</v>
      </c>
      <c r="S88" s="51">
        <f t="shared" si="27"/>
        <v>0.47673699609756104</v>
      </c>
      <c r="T88" s="51">
        <f t="shared" si="28"/>
        <v>0.35712224439024398</v>
      </c>
      <c r="U88" s="51">
        <f t="shared" si="29"/>
        <v>0.34605084341463416</v>
      </c>
      <c r="W88" s="51">
        <f t="shared" si="30"/>
        <v>-0.23501120908722942</v>
      </c>
      <c r="X88" s="39">
        <f t="shared" si="31"/>
        <v>0.11103963432740474</v>
      </c>
      <c r="Y88" s="39">
        <f t="shared" si="32"/>
        <v>0.11103963432740474</v>
      </c>
      <c r="AA88" s="85">
        <f>'Price Deck'!Q82/'Price Deck'!M82</f>
        <v>43.658536585365852</v>
      </c>
      <c r="AB88" s="72">
        <f t="shared" si="33"/>
        <v>16574.085548100433</v>
      </c>
      <c r="AC88" s="72">
        <f t="shared" si="34"/>
        <v>1840.3803985721956</v>
      </c>
      <c r="AD88" s="85">
        <f t="shared" si="35"/>
        <v>4.8478279377086455</v>
      </c>
    </row>
    <row r="89" spans="1:30">
      <c r="A89" t="str">
        <f>'Price Deck'!A83</f>
        <v>09/2025</v>
      </c>
      <c r="B89" s="51">
        <f>'Liquids Type Curve'!A96</f>
        <v>6.1718907987866478</v>
      </c>
      <c r="C89" s="51">
        <f>'Liquids Type Curve'!B96</f>
        <v>74.06268958543977</v>
      </c>
      <c r="D89" s="51">
        <f>'Liquids Type Curve'!C96</f>
        <v>12.32383691887879</v>
      </c>
      <c r="E89" s="51">
        <f>'Liquids Type Curve'!D96</f>
        <v>374.85003961589655</v>
      </c>
      <c r="F89" s="51">
        <f>'Liquids Type Curve'!E96</f>
        <v>87729.499071614919</v>
      </c>
      <c r="H89" s="51">
        <f t="shared" si="19"/>
        <v>6.1718907987866478</v>
      </c>
      <c r="I89" s="51">
        <f t="shared" si="20"/>
        <v>74.06268958543977</v>
      </c>
      <c r="J89" s="51">
        <f t="shared" si="21"/>
        <v>4.066866183230001</v>
      </c>
      <c r="K89" s="51">
        <f t="shared" si="22"/>
        <v>123.70051307324587</v>
      </c>
      <c r="L89" s="51">
        <f t="shared" si="23"/>
        <v>28950.734693632923</v>
      </c>
      <c r="N89" s="51">
        <f t="shared" si="24"/>
        <v>19.666843631474112</v>
      </c>
      <c r="O89" s="51">
        <f>(('Price Deck'!Q83/'Propane Royalties'!$B$2))/'Price Deck'!M83</f>
        <v>274.60346341463418</v>
      </c>
      <c r="P89" s="39"/>
      <c r="Q89" s="51">
        <f t="shared" si="25"/>
        <v>0.34605084341463416</v>
      </c>
      <c r="R89" s="51">
        <f t="shared" si="26"/>
        <v>0.1</v>
      </c>
      <c r="S89" s="51">
        <f t="shared" si="27"/>
        <v>0.47673699609756104</v>
      </c>
      <c r="T89" s="51">
        <f t="shared" si="28"/>
        <v>0.35712224439024398</v>
      </c>
      <c r="U89" s="51">
        <f t="shared" si="29"/>
        <v>0.34605084341463416</v>
      </c>
      <c r="W89" s="51">
        <f t="shared" si="30"/>
        <v>-0.23534976109750996</v>
      </c>
      <c r="X89" s="39">
        <f t="shared" si="31"/>
        <v>0.11070108231712419</v>
      </c>
      <c r="Y89" s="39">
        <f t="shared" si="32"/>
        <v>0.11070108231712419</v>
      </c>
      <c r="AA89" s="85">
        <f>'Price Deck'!Q83/'Price Deck'!M83</f>
        <v>43.658536585365852</v>
      </c>
      <c r="AB89" s="72">
        <f t="shared" si="33"/>
        <v>16365.404168596458</v>
      </c>
      <c r="AC89" s="72">
        <f t="shared" si="34"/>
        <v>1811.667954020804</v>
      </c>
      <c r="AD89" s="85">
        <f t="shared" si="35"/>
        <v>4.8330472523817631</v>
      </c>
    </row>
    <row r="90" spans="1:30">
      <c r="A90" t="str">
        <f>'Price Deck'!A84</f>
        <v>10/2025</v>
      </c>
      <c r="B90" s="51">
        <f>'Liquids Type Curve'!A97</f>
        <v>6.2552241321199809</v>
      </c>
      <c r="C90" s="51">
        <f>'Liquids Type Curve'!B97</f>
        <v>75.06268958543977</v>
      </c>
      <c r="D90" s="51">
        <f>'Liquids Type Curve'!C97</f>
        <v>12.170737780701495</v>
      </c>
      <c r="E90" s="51">
        <f>'Liquids Type Curve'!D97</f>
        <v>370.19327416300382</v>
      </c>
      <c r="F90" s="51">
        <f>'Liquids Type Curve'!E97</f>
        <v>88099.692345777919</v>
      </c>
      <c r="H90" s="51">
        <f t="shared" si="19"/>
        <v>6.2552241321199809</v>
      </c>
      <c r="I90" s="51">
        <f t="shared" si="20"/>
        <v>75.06268958543977</v>
      </c>
      <c r="J90" s="51">
        <f t="shared" si="21"/>
        <v>4.0163434676314935</v>
      </c>
      <c r="K90" s="51">
        <f t="shared" si="22"/>
        <v>122.16378047379126</v>
      </c>
      <c r="L90" s="51">
        <f t="shared" si="23"/>
        <v>29072.898474106714</v>
      </c>
      <c r="N90" s="51">
        <f t="shared" si="24"/>
        <v>19.422522254092542</v>
      </c>
      <c r="O90" s="51">
        <f>(('Price Deck'!Q84/'Propane Royalties'!$B$2))/'Price Deck'!M84</f>
        <v>274.60346341463418</v>
      </c>
      <c r="P90" s="39"/>
      <c r="Q90" s="51">
        <f t="shared" si="25"/>
        <v>0.34605084341463416</v>
      </c>
      <c r="R90" s="51">
        <f t="shared" si="26"/>
        <v>0.1</v>
      </c>
      <c r="S90" s="51">
        <f t="shared" si="27"/>
        <v>0.47673699609756104</v>
      </c>
      <c r="T90" s="51">
        <f t="shared" si="28"/>
        <v>0.35712224439024398</v>
      </c>
      <c r="U90" s="51">
        <f t="shared" si="29"/>
        <v>0.34605084341463416</v>
      </c>
      <c r="W90" s="51">
        <f t="shared" si="30"/>
        <v>-0.23567959495697507</v>
      </c>
      <c r="X90" s="39">
        <f t="shared" si="31"/>
        <v>0.11037124845765908</v>
      </c>
      <c r="Y90" s="39">
        <f t="shared" si="32"/>
        <v>0.11037124845765908</v>
      </c>
      <c r="AA90" s="85">
        <f>'Price Deck'!Q84/'Price Deck'!M84</f>
        <v>43.658536585365852</v>
      </c>
      <c r="AB90" s="72">
        <f t="shared" si="33"/>
        <v>16162.096603701873</v>
      </c>
      <c r="AC90" s="72">
        <f t="shared" si="34"/>
        <v>1783.8307798438675</v>
      </c>
      <c r="AD90" s="85">
        <f t="shared" si="35"/>
        <v>4.8186471887612132</v>
      </c>
    </row>
    <row r="91" spans="1:30">
      <c r="A91" t="str">
        <f>'Price Deck'!A85</f>
        <v>11/2025</v>
      </c>
      <c r="B91" s="51">
        <f>'Liquids Type Curve'!A98</f>
        <v>6.3385574654533139</v>
      </c>
      <c r="C91" s="51">
        <f>'Liquids Type Curve'!B98</f>
        <v>76.06268958543977</v>
      </c>
      <c r="D91" s="51">
        <f>'Liquids Type Curve'!C98</f>
        <v>12.021529287042206</v>
      </c>
      <c r="E91" s="51">
        <f>'Liquids Type Curve'!D98</f>
        <v>365.65484914753381</v>
      </c>
      <c r="F91" s="51">
        <f>'Liquids Type Curve'!E98</f>
        <v>88465.34719492546</v>
      </c>
      <c r="H91" s="51">
        <f t="shared" si="19"/>
        <v>6.3385574654533139</v>
      </c>
      <c r="I91" s="51">
        <f t="shared" si="20"/>
        <v>76.06268958543977</v>
      </c>
      <c r="J91" s="51">
        <f t="shared" si="21"/>
        <v>3.9671046647239283</v>
      </c>
      <c r="K91" s="51">
        <f t="shared" si="22"/>
        <v>120.66610021868617</v>
      </c>
      <c r="L91" s="51">
        <f t="shared" si="23"/>
        <v>29193.564574325403</v>
      </c>
      <c r="N91" s="51">
        <f t="shared" si="24"/>
        <v>19.184409713931473</v>
      </c>
      <c r="O91" s="51">
        <f>(('Price Deck'!Q85/'Propane Royalties'!$B$2))/'Price Deck'!M85</f>
        <v>274.60346341463418</v>
      </c>
      <c r="P91" s="39"/>
      <c r="Q91" s="51">
        <f t="shared" si="25"/>
        <v>0.34605084341463416</v>
      </c>
      <c r="R91" s="51">
        <f t="shared" si="26"/>
        <v>0.1</v>
      </c>
      <c r="S91" s="51">
        <f t="shared" si="27"/>
        <v>0.47673699609756104</v>
      </c>
      <c r="T91" s="51">
        <f t="shared" si="28"/>
        <v>0.35712224439024398</v>
      </c>
      <c r="U91" s="51">
        <f t="shared" si="29"/>
        <v>0.34605084341463416</v>
      </c>
      <c r="W91" s="51">
        <f t="shared" si="30"/>
        <v>-0.23600104688619253</v>
      </c>
      <c r="X91" s="39">
        <f t="shared" si="31"/>
        <v>0.11004979652844163</v>
      </c>
      <c r="Y91" s="39">
        <f t="shared" si="32"/>
        <v>0.11004979652844163</v>
      </c>
      <c r="AA91" s="85">
        <f>'Price Deck'!Q85/'Price Deck'!M85</f>
        <v>43.658536585365852</v>
      </c>
      <c r="AB91" s="72">
        <f t="shared" si="33"/>
        <v>15963.955609124036</v>
      </c>
      <c r="AC91" s="72">
        <f t="shared" si="34"/>
        <v>1756.8300665731745</v>
      </c>
      <c r="AD91" s="85">
        <f t="shared" si="35"/>
        <v>4.8046130679490364</v>
      </c>
    </row>
    <row r="92" spans="1:30">
      <c r="A92" t="str">
        <f>'Price Deck'!A86</f>
        <v>12/2025</v>
      </c>
      <c r="B92" s="51">
        <f>'Liquids Type Curve'!A99</f>
        <v>6.4218907987866469</v>
      </c>
      <c r="C92" s="51">
        <f>'Liquids Type Curve'!B99</f>
        <v>77.062689585439756</v>
      </c>
      <c r="D92" s="51">
        <f>'Liquids Type Curve'!C99</f>
        <v>11.876063340851779</v>
      </c>
      <c r="E92" s="51">
        <f>'Liquids Type Curve'!D99</f>
        <v>361.23025995090831</v>
      </c>
      <c r="F92" s="51">
        <f>'Liquids Type Curve'!E99</f>
        <v>88826.577454876373</v>
      </c>
      <c r="H92" s="51">
        <f t="shared" si="19"/>
        <v>6.4218907987866469</v>
      </c>
      <c r="I92" s="51">
        <f t="shared" si="20"/>
        <v>77.062689585439756</v>
      </c>
      <c r="J92" s="51">
        <f t="shared" si="21"/>
        <v>3.9191009024810874</v>
      </c>
      <c r="K92" s="51">
        <f t="shared" si="22"/>
        <v>119.20598578379975</v>
      </c>
      <c r="L92" s="51">
        <f t="shared" si="23"/>
        <v>29312.770560109206</v>
      </c>
      <c r="N92" s="51">
        <f t="shared" si="24"/>
        <v>18.952269672135799</v>
      </c>
      <c r="O92" s="51">
        <f>(('Price Deck'!Q86/'Propane Royalties'!$B$2))/'Price Deck'!M86</f>
        <v>274.60346341463418</v>
      </c>
      <c r="P92" s="39"/>
      <c r="Q92" s="51">
        <f t="shared" si="25"/>
        <v>0.34605084341463416</v>
      </c>
      <c r="R92" s="51">
        <f t="shared" si="26"/>
        <v>0.1</v>
      </c>
      <c r="S92" s="51">
        <f t="shared" si="27"/>
        <v>0.47673699609756104</v>
      </c>
      <c r="T92" s="51">
        <f t="shared" si="28"/>
        <v>0.35712224439024398</v>
      </c>
      <c r="U92" s="51">
        <f t="shared" si="29"/>
        <v>0.34605084341463416</v>
      </c>
      <c r="W92" s="51">
        <f t="shared" si="30"/>
        <v>-0.2363144359426167</v>
      </c>
      <c r="X92" s="39">
        <f t="shared" si="31"/>
        <v>0.10973640747201746</v>
      </c>
      <c r="Y92" s="39">
        <f t="shared" si="32"/>
        <v>0.10973640747201746</v>
      </c>
      <c r="AA92" s="85">
        <f>'Price Deck'!Q86/'Price Deck'!M86</f>
        <v>43.658536585365852</v>
      </c>
      <c r="AB92" s="72">
        <f t="shared" si="33"/>
        <v>15770.784519807947</v>
      </c>
      <c r="AC92" s="72">
        <f t="shared" si="34"/>
        <v>1730.62923621903</v>
      </c>
      <c r="AD92" s="85">
        <f t="shared" si="35"/>
        <v>4.7909309603636885</v>
      </c>
    </row>
    <row r="93" spans="1:30">
      <c r="A93" t="str">
        <f>'Price Deck'!A87</f>
        <v>01/2026</v>
      </c>
      <c r="B93" s="51">
        <f>'Liquids Type Curve'!A100</f>
        <v>6.50522413211998</v>
      </c>
      <c r="C93" s="51">
        <f>'Liquids Type Curve'!B100</f>
        <v>78.062689585439756</v>
      </c>
      <c r="D93" s="51">
        <f>'Liquids Type Curve'!C100</f>
        <v>11.734199308130824</v>
      </c>
      <c r="E93" s="51">
        <f>'Liquids Type Curve'!D100</f>
        <v>356.91522895564594</v>
      </c>
      <c r="F93" s="51">
        <f>'Liquids Type Curve'!E100</f>
        <v>89183.492683832024</v>
      </c>
      <c r="H93" s="51">
        <f t="shared" si="19"/>
        <v>6.50522413211998</v>
      </c>
      <c r="I93" s="51">
        <f t="shared" si="20"/>
        <v>78.062689585439756</v>
      </c>
      <c r="J93" s="51">
        <f t="shared" si="21"/>
        <v>3.8722857716831722</v>
      </c>
      <c r="K93" s="51">
        <f t="shared" si="22"/>
        <v>117.78202555536316</v>
      </c>
      <c r="L93" s="51">
        <f t="shared" si="23"/>
        <v>29430.552585664569</v>
      </c>
      <c r="N93" s="51">
        <f t="shared" si="24"/>
        <v>18.725877699666629</v>
      </c>
      <c r="O93" s="51">
        <f>(('Price Deck'!Q87/'Propane Royalties'!$B$2))/'Price Deck'!M87</f>
        <v>274.60346341463418</v>
      </c>
      <c r="P93" s="39"/>
      <c r="Q93" s="51">
        <f t="shared" si="25"/>
        <v>0.34605084341463416</v>
      </c>
      <c r="R93" s="51">
        <f t="shared" si="26"/>
        <v>0.1</v>
      </c>
      <c r="S93" s="51">
        <f t="shared" si="27"/>
        <v>0.47673699609756104</v>
      </c>
      <c r="T93" s="51">
        <f t="shared" si="28"/>
        <v>0.35712224439024398</v>
      </c>
      <c r="U93" s="51">
        <f t="shared" si="29"/>
        <v>0.34605084341463416</v>
      </c>
      <c r="W93" s="51">
        <f t="shared" si="30"/>
        <v>-0.23662006510545006</v>
      </c>
      <c r="X93" s="39">
        <f t="shared" si="31"/>
        <v>0.1094307783091841</v>
      </c>
      <c r="Y93" s="39">
        <f t="shared" si="32"/>
        <v>0.1094307783091841</v>
      </c>
      <c r="AA93" s="85">
        <f>'Price Deck'!Q87/'Price Deck'!M87</f>
        <v>43.658536585365859</v>
      </c>
      <c r="AB93" s="72">
        <f t="shared" si="33"/>
        <v>15582.396581234299</v>
      </c>
      <c r="AC93" s="72">
        <f t="shared" si="34"/>
        <v>1705.1937858068388</v>
      </c>
      <c r="AD93" s="85">
        <f t="shared" si="35"/>
        <v>4.7775876383765743</v>
      </c>
    </row>
    <row r="94" spans="1:30">
      <c r="A94" t="str">
        <f>'Price Deck'!A88</f>
        <v>02/2026</v>
      </c>
      <c r="B94" s="51">
        <f>'Liquids Type Curve'!A101</f>
        <v>6.588557465453313</v>
      </c>
      <c r="C94" s="51">
        <f>'Liquids Type Curve'!B101</f>
        <v>79.062689585439756</v>
      </c>
      <c r="D94" s="51">
        <f>'Liquids Type Curve'!C101</f>
        <v>11.595803552167947</v>
      </c>
      <c r="E94" s="51">
        <f>'Liquids Type Curve'!D101</f>
        <v>352.70569137844171</v>
      </c>
      <c r="F94" s="51">
        <f>'Liquids Type Curve'!E101</f>
        <v>89536.198375210472</v>
      </c>
      <c r="H94" s="51">
        <f t="shared" si="19"/>
        <v>6.588557465453313</v>
      </c>
      <c r="I94" s="51">
        <f t="shared" si="20"/>
        <v>79.062689585439756</v>
      </c>
      <c r="J94" s="51">
        <f t="shared" si="21"/>
        <v>3.8266151722154227</v>
      </c>
      <c r="K94" s="51">
        <f t="shared" si="22"/>
        <v>116.39287815488576</v>
      </c>
      <c r="L94" s="51">
        <f t="shared" si="23"/>
        <v>29546.945463819458</v>
      </c>
      <c r="N94" s="51">
        <f t="shared" si="24"/>
        <v>18.505020534021074</v>
      </c>
      <c r="O94" s="51">
        <f>(('Price Deck'!Q88/'Propane Royalties'!$B$2))/'Price Deck'!M88</f>
        <v>274.60346341463418</v>
      </c>
      <c r="P94" s="39"/>
      <c r="Q94" s="51">
        <f t="shared" si="25"/>
        <v>0.34605084341463416</v>
      </c>
      <c r="R94" s="51">
        <f t="shared" si="26"/>
        <v>0.1</v>
      </c>
      <c r="S94" s="51">
        <f t="shared" si="27"/>
        <v>0.47673699609756104</v>
      </c>
      <c r="T94" s="51">
        <f t="shared" si="28"/>
        <v>0.35712224439024398</v>
      </c>
      <c r="U94" s="51">
        <f t="shared" si="29"/>
        <v>0.34605084341463416</v>
      </c>
      <c r="W94" s="51">
        <f t="shared" si="30"/>
        <v>-0.23691822227907156</v>
      </c>
      <c r="X94" s="39">
        <f t="shared" si="31"/>
        <v>0.1091326211355626</v>
      </c>
      <c r="Y94" s="39">
        <f t="shared" si="32"/>
        <v>0.1091326211355626</v>
      </c>
      <c r="AA94" s="85">
        <f>'Price Deck'!Q88/'Price Deck'!M88</f>
        <v>43.658536585365859</v>
      </c>
      <c r="AB94" s="72">
        <f t="shared" si="33"/>
        <v>15398.614330912456</v>
      </c>
      <c r="AC94" s="72">
        <f t="shared" si="34"/>
        <v>1680.491143788114</v>
      </c>
      <c r="AD94" s="85">
        <f t="shared" si="35"/>
        <v>4.7645705325038312</v>
      </c>
    </row>
    <row r="95" spans="1:30">
      <c r="A95" t="str">
        <f>'Price Deck'!A89</f>
        <v>03/2026</v>
      </c>
      <c r="B95" s="51">
        <f>'Liquids Type Curve'!A102</f>
        <v>6.671890798786646</v>
      </c>
      <c r="C95" s="51">
        <f>'Liquids Type Curve'!B102</f>
        <v>80.062689585439756</v>
      </c>
      <c r="D95" s="51">
        <f>'Liquids Type Curve'!C102</f>
        <v>11.460749002302375</v>
      </c>
      <c r="E95" s="51">
        <f>'Liquids Type Curve'!D102</f>
        <v>348.59778215336394</v>
      </c>
      <c r="F95" s="51">
        <f>'Liquids Type Curve'!E102</f>
        <v>89884.796157363831</v>
      </c>
      <c r="H95" s="51">
        <f t="shared" si="19"/>
        <v>6.671890798786646</v>
      </c>
      <c r="I95" s="51">
        <f t="shared" si="20"/>
        <v>80.062689585439756</v>
      </c>
      <c r="J95" s="51">
        <f t="shared" si="21"/>
        <v>3.782047170759784</v>
      </c>
      <c r="K95" s="51">
        <f t="shared" si="22"/>
        <v>115.0372681106101</v>
      </c>
      <c r="L95" s="51">
        <f t="shared" si="23"/>
        <v>29661.982731930068</v>
      </c>
      <c r="N95" s="51">
        <f t="shared" si="24"/>
        <v>18.289495391047424</v>
      </c>
      <c r="O95" s="51">
        <f>(('Price Deck'!Q89/'Propane Royalties'!$B$2))/'Price Deck'!M89</f>
        <v>274.60346341463418</v>
      </c>
      <c r="P95" s="39"/>
      <c r="Q95" s="51">
        <f t="shared" si="25"/>
        <v>0.34605084341463416</v>
      </c>
      <c r="R95" s="51">
        <f t="shared" si="26"/>
        <v>0.1</v>
      </c>
      <c r="S95" s="51">
        <f t="shared" si="27"/>
        <v>0.47673699609756104</v>
      </c>
      <c r="T95" s="51">
        <f t="shared" si="28"/>
        <v>0.35712224439024398</v>
      </c>
      <c r="U95" s="51">
        <f t="shared" si="29"/>
        <v>0.34605084341463416</v>
      </c>
      <c r="W95" s="51">
        <f t="shared" si="30"/>
        <v>-0.23720918122208601</v>
      </c>
      <c r="X95" s="39">
        <f t="shared" si="31"/>
        <v>0.10884166219254815</v>
      </c>
      <c r="Y95" s="39">
        <f t="shared" si="32"/>
        <v>0.10884166219254815</v>
      </c>
      <c r="AA95" s="85">
        <f>'Price Deck'!Q89/'Price Deck'!M89</f>
        <v>43.658536585365859</v>
      </c>
      <c r="AB95" s="72">
        <f t="shared" si="33"/>
        <v>15219.269025720037</v>
      </c>
      <c r="AC95" s="72">
        <f t="shared" si="34"/>
        <v>1656.4905381149317</v>
      </c>
      <c r="AD95" s="85">
        <f t="shared" si="35"/>
        <v>4.7518676908453958</v>
      </c>
    </row>
    <row r="96" spans="1:30">
      <c r="A96" t="str">
        <f>'Price Deck'!A90</f>
        <v>04/2026</v>
      </c>
      <c r="B96" s="51">
        <f>'Liquids Type Curve'!A103</f>
        <v>6.7552241321199791</v>
      </c>
      <c r="C96" s="51">
        <f>'Liquids Type Curve'!B103</f>
        <v>81.062689585439756</v>
      </c>
      <c r="D96" s="51">
        <f>'Liquids Type Curve'!C103</f>
        <v>11.328914754257504</v>
      </c>
      <c r="E96" s="51">
        <f>'Liquids Type Curve'!D103</f>
        <v>344.58782377533242</v>
      </c>
      <c r="F96" s="51">
        <f>'Liquids Type Curve'!E103</f>
        <v>90229.383981139166</v>
      </c>
      <c r="H96" s="51">
        <f t="shared" si="19"/>
        <v>6.7552241321199791</v>
      </c>
      <c r="I96" s="51">
        <f t="shared" si="20"/>
        <v>81.062689585439756</v>
      </c>
      <c r="J96" s="51">
        <f t="shared" si="21"/>
        <v>3.7385418689049765</v>
      </c>
      <c r="K96" s="51">
        <f t="shared" si="22"/>
        <v>113.71398184585971</v>
      </c>
      <c r="L96" s="51">
        <f t="shared" si="23"/>
        <v>29775.696713775927</v>
      </c>
      <c r="N96" s="51">
        <f t="shared" si="24"/>
        <v>18.079109327142312</v>
      </c>
      <c r="O96" s="51">
        <f>(('Price Deck'!Q90/'Propane Royalties'!$B$2))/'Price Deck'!M90</f>
        <v>274.60346341463418</v>
      </c>
      <c r="P96" s="39"/>
      <c r="Q96" s="51">
        <f t="shared" si="25"/>
        <v>0.34605084341463416</v>
      </c>
      <c r="R96" s="51">
        <f t="shared" si="26"/>
        <v>0.1</v>
      </c>
      <c r="S96" s="51">
        <f t="shared" si="27"/>
        <v>0.47673699609756104</v>
      </c>
      <c r="T96" s="51">
        <f t="shared" si="28"/>
        <v>0.35712224439024398</v>
      </c>
      <c r="U96" s="51">
        <f t="shared" si="29"/>
        <v>0.34605084341463416</v>
      </c>
      <c r="W96" s="51">
        <f t="shared" si="30"/>
        <v>-0.23749320240835789</v>
      </c>
      <c r="X96" s="39">
        <f t="shared" si="31"/>
        <v>0.10855764100627627</v>
      </c>
      <c r="Y96" s="39">
        <f t="shared" si="32"/>
        <v>0.10855764100627627</v>
      </c>
      <c r="AA96" s="85">
        <f>'Price Deck'!Q90/'Price Deck'!M90</f>
        <v>43.658536585365859</v>
      </c>
      <c r="AB96" s="72">
        <f t="shared" si="33"/>
        <v>15044.200111166954</v>
      </c>
      <c r="AC96" s="72">
        <f t="shared" si="34"/>
        <v>1633.1628748946437</v>
      </c>
      <c r="AD96" s="85">
        <f t="shared" si="35"/>
        <v>4.7394677414935256</v>
      </c>
    </row>
    <row r="97" spans="1:30">
      <c r="A97" t="str">
        <f>'Price Deck'!A91</f>
        <v>05/2026</v>
      </c>
      <c r="B97" s="51">
        <f>'Liquids Type Curve'!A104</f>
        <v>6.8385574654533121</v>
      </c>
      <c r="C97" s="51">
        <f>'Liquids Type Curve'!B104</f>
        <v>82.062689585439742</v>
      </c>
      <c r="D97" s="51">
        <f>'Liquids Type Curve'!C104</f>
        <v>11.200185699377407</v>
      </c>
      <c r="E97" s="51">
        <f>'Liquids Type Curve'!D104</f>
        <v>340.67231502272949</v>
      </c>
      <c r="F97" s="51">
        <f>'Liquids Type Curve'!E104</f>
        <v>90570.0562961619</v>
      </c>
      <c r="H97" s="51">
        <f t="shared" si="19"/>
        <v>6.8385574654533121</v>
      </c>
      <c r="I97" s="51">
        <f t="shared" si="20"/>
        <v>82.062689585439742</v>
      </c>
      <c r="J97" s="51">
        <f t="shared" si="21"/>
        <v>3.6960612807945443</v>
      </c>
      <c r="K97" s="51">
        <f t="shared" si="22"/>
        <v>112.42186395750073</v>
      </c>
      <c r="L97" s="51">
        <f t="shared" si="23"/>
        <v>29888.118577733429</v>
      </c>
      <c r="N97" s="51">
        <f t="shared" si="24"/>
        <v>17.873678647572376</v>
      </c>
      <c r="O97" s="51">
        <f>(('Price Deck'!Q91/'Propane Royalties'!$B$2))/'Price Deck'!M91</f>
        <v>274.60346341463418</v>
      </c>
      <c r="P97" s="39"/>
      <c r="Q97" s="51">
        <f t="shared" si="25"/>
        <v>0.34605084341463416</v>
      </c>
      <c r="R97" s="51">
        <f t="shared" si="26"/>
        <v>0.1</v>
      </c>
      <c r="S97" s="51">
        <f t="shared" si="27"/>
        <v>0.47673699609756104</v>
      </c>
      <c r="T97" s="51">
        <f t="shared" si="28"/>
        <v>0.35712224439024398</v>
      </c>
      <c r="U97" s="51">
        <f t="shared" si="29"/>
        <v>0.34605084341463416</v>
      </c>
      <c r="W97" s="51">
        <f t="shared" si="30"/>
        <v>-0.23777053382577731</v>
      </c>
      <c r="X97" s="39">
        <f t="shared" si="31"/>
        <v>0.10828030958885684</v>
      </c>
      <c r="Y97" s="39">
        <f t="shared" si="32"/>
        <v>0.10828030958885684</v>
      </c>
      <c r="AA97" s="85">
        <f>'Price Deck'!Q91/'Price Deck'!M91</f>
        <v>43.658536585365859</v>
      </c>
      <c r="AB97" s="72">
        <f t="shared" si="33"/>
        <v>14873.254729041118</v>
      </c>
      <c r="AC97" s="72">
        <f t="shared" si="34"/>
        <v>1610.4806266545015</v>
      </c>
      <c r="AD97" s="85">
        <f t="shared" si="35"/>
        <v>4.7273598576598488</v>
      </c>
    </row>
    <row r="98" spans="1:30">
      <c r="A98" t="str">
        <f>'Price Deck'!A92</f>
        <v>06/2026</v>
      </c>
      <c r="B98" s="51">
        <f>'Liquids Type Curve'!A105</f>
        <v>6.9218907987866451</v>
      </c>
      <c r="C98" s="51">
        <f>'Liquids Type Curve'!B105</f>
        <v>83.062689585439742</v>
      </c>
      <c r="D98" s="51">
        <f>'Liquids Type Curve'!C105</f>
        <v>11.074452180353081</v>
      </c>
      <c r="E98" s="51">
        <f>'Liquids Type Curve'!D105</f>
        <v>336.84792048573956</v>
      </c>
      <c r="F98" s="51">
        <f>'Liquids Type Curve'!E105</f>
        <v>90906.904216647643</v>
      </c>
      <c r="H98" s="51">
        <f t="shared" si="19"/>
        <v>6.9218907987866451</v>
      </c>
      <c r="I98" s="51">
        <f t="shared" si="20"/>
        <v>83.062689585439742</v>
      </c>
      <c r="J98" s="51">
        <f t="shared" si="21"/>
        <v>3.6545692195165169</v>
      </c>
      <c r="K98" s="51">
        <f t="shared" si="22"/>
        <v>111.15981376029406</v>
      </c>
      <c r="L98" s="51">
        <f t="shared" si="23"/>
        <v>29999.278391493724</v>
      </c>
      <c r="N98" s="51">
        <f t="shared" si="24"/>
        <v>17.673028357069231</v>
      </c>
      <c r="O98" s="51">
        <f>(('Price Deck'!Q92/'Propane Royalties'!$B$2))/'Price Deck'!M92</f>
        <v>274.60346341463418</v>
      </c>
      <c r="P98" s="39"/>
      <c r="Q98" s="51">
        <f t="shared" si="25"/>
        <v>0.34605084341463416</v>
      </c>
      <c r="R98" s="51">
        <f t="shared" si="26"/>
        <v>0.1</v>
      </c>
      <c r="S98" s="51">
        <f t="shared" si="27"/>
        <v>0.47673699609756104</v>
      </c>
      <c r="T98" s="51">
        <f t="shared" si="28"/>
        <v>0.35712224439024398</v>
      </c>
      <c r="U98" s="51">
        <f t="shared" si="29"/>
        <v>0.34605084341463416</v>
      </c>
      <c r="W98" s="51">
        <f t="shared" si="30"/>
        <v>-0.23804141171795656</v>
      </c>
      <c r="X98" s="39">
        <f t="shared" si="31"/>
        <v>0.10800943169667759</v>
      </c>
      <c r="Y98" s="39">
        <f t="shared" si="32"/>
        <v>0.10800943169667759</v>
      </c>
      <c r="AA98" s="85">
        <f>'Price Deck'!Q92/'Price Deck'!M92</f>
        <v>43.658536585365859</v>
      </c>
      <c r="AB98" s="72">
        <f t="shared" si="33"/>
        <v>14706.287260231071</v>
      </c>
      <c r="AC98" s="72">
        <f t="shared" si="34"/>
        <v>1588.4177293456478</v>
      </c>
      <c r="AD98" s="85">
        <f t="shared" si="35"/>
        <v>4.715533725293974</v>
      </c>
    </row>
    <row r="99" spans="1:30">
      <c r="A99" t="str">
        <f>'Price Deck'!A93</f>
        <v>07/2026</v>
      </c>
      <c r="B99" s="51">
        <f>'Liquids Type Curve'!A106</f>
        <v>7.0052241321199782</v>
      </c>
      <c r="C99" s="51">
        <f>'Liquids Type Curve'!B106</f>
        <v>84.062689585439742</v>
      </c>
      <c r="D99" s="51">
        <f>'Liquids Type Curve'!C106</f>
        <v>10.951609671253077</v>
      </c>
      <c r="E99" s="51">
        <f>'Liquids Type Curve'!D106</f>
        <v>333.11146083394777</v>
      </c>
      <c r="F99" s="51">
        <f>'Liquids Type Curve'!E106</f>
        <v>91240.015677481584</v>
      </c>
      <c r="H99" s="51">
        <f t="shared" si="19"/>
        <v>7.0052241321199782</v>
      </c>
      <c r="I99" s="51">
        <f t="shared" si="20"/>
        <v>84.062689585439742</v>
      </c>
      <c r="J99" s="51">
        <f t="shared" si="21"/>
        <v>3.6140311915135159</v>
      </c>
      <c r="K99" s="51">
        <f t="shared" si="22"/>
        <v>109.92678207520277</v>
      </c>
      <c r="L99" s="51">
        <f t="shared" si="23"/>
        <v>30109.205173568924</v>
      </c>
      <c r="N99" s="51">
        <f t="shared" si="24"/>
        <v>17.476991649210273</v>
      </c>
      <c r="O99" s="51">
        <f>(('Price Deck'!Q93/'Propane Royalties'!$B$2))/'Price Deck'!M93</f>
        <v>274.60346341463418</v>
      </c>
      <c r="P99" s="39"/>
      <c r="Q99" s="51">
        <f t="shared" si="25"/>
        <v>0.34605084341463416</v>
      </c>
      <c r="R99" s="51">
        <f t="shared" si="26"/>
        <v>0.1</v>
      </c>
      <c r="S99" s="51">
        <f t="shared" si="27"/>
        <v>0.47673699609756104</v>
      </c>
      <c r="T99" s="51">
        <f t="shared" si="28"/>
        <v>0.35712224439024398</v>
      </c>
      <c r="U99" s="51">
        <f t="shared" si="29"/>
        <v>0.34605084341463416</v>
      </c>
      <c r="W99" s="51">
        <f t="shared" si="30"/>
        <v>-0.23830606127356613</v>
      </c>
      <c r="X99" s="39">
        <f t="shared" si="31"/>
        <v>0.10774478214106803</v>
      </c>
      <c r="Y99" s="39">
        <f t="shared" si="32"/>
        <v>0.10774478214106803</v>
      </c>
      <c r="AA99" s="85">
        <f>'Price Deck'!Q93/'Price Deck'!M93</f>
        <v>43.658536585365859</v>
      </c>
      <c r="AB99" s="72">
        <f t="shared" si="33"/>
        <v>14543.158899823575</v>
      </c>
      <c r="AC99" s="72">
        <f t="shared" si="34"/>
        <v>1566.9494873044257</v>
      </c>
      <c r="AD99" s="85">
        <f t="shared" si="35"/>
        <v>4.7039795129880924</v>
      </c>
    </row>
    <row r="100" spans="1:30">
      <c r="A100" t="str">
        <f>'Price Deck'!A94</f>
        <v>08/2026</v>
      </c>
      <c r="B100" s="51">
        <f>'Liquids Type Curve'!A107</f>
        <v>7.0885574654533112</v>
      </c>
      <c r="C100" s="51">
        <f>'Liquids Type Curve'!B107</f>
        <v>85.062689585439728</v>
      </c>
      <c r="D100" s="51">
        <f>'Liquids Type Curve'!C107</f>
        <v>10.831558479877252</v>
      </c>
      <c r="E100" s="51">
        <f>'Liquids Type Curve'!D107</f>
        <v>329.4599037629331</v>
      </c>
      <c r="F100" s="51">
        <f>'Liquids Type Curve'!E107</f>
        <v>91569.475581244522</v>
      </c>
      <c r="H100" s="51">
        <f t="shared" si="19"/>
        <v>7.0885574654533112</v>
      </c>
      <c r="I100" s="51">
        <f t="shared" si="20"/>
        <v>85.062689585439728</v>
      </c>
      <c r="J100" s="51">
        <f t="shared" si="21"/>
        <v>3.5744142983594931</v>
      </c>
      <c r="K100" s="51">
        <f t="shared" si="22"/>
        <v>108.72176824176793</v>
      </c>
      <c r="L100" s="51">
        <f t="shared" si="23"/>
        <v>30217.926941810692</v>
      </c>
      <c r="N100" s="51">
        <f t="shared" si="24"/>
        <v>17.285409431423563</v>
      </c>
      <c r="O100" s="51">
        <f>(('Price Deck'!Q94/'Propane Royalties'!$B$2))/'Price Deck'!M94</f>
        <v>274.60346341463418</v>
      </c>
      <c r="P100" s="39"/>
      <c r="Q100" s="51">
        <f t="shared" si="25"/>
        <v>0.34605084341463416</v>
      </c>
      <c r="R100" s="51">
        <f t="shared" si="26"/>
        <v>0.1</v>
      </c>
      <c r="S100" s="51">
        <f t="shared" si="27"/>
        <v>0.47673699609756104</v>
      </c>
      <c r="T100" s="51">
        <f t="shared" si="28"/>
        <v>0.35712224439024398</v>
      </c>
      <c r="U100" s="51">
        <f t="shared" si="29"/>
        <v>0.34605084341463416</v>
      </c>
      <c r="W100" s="51">
        <f t="shared" si="30"/>
        <v>-0.2385646972675782</v>
      </c>
      <c r="X100" s="39">
        <f t="shared" si="31"/>
        <v>0.10748614614705596</v>
      </c>
      <c r="Y100" s="39">
        <f t="shared" si="32"/>
        <v>0.10748614614705596</v>
      </c>
      <c r="AA100" s="85">
        <f>'Price Deck'!Q94/'Price Deck'!M94</f>
        <v>43.658536585365859</v>
      </c>
      <c r="AB100" s="72">
        <f t="shared" si="33"/>
        <v>14383.73726184513</v>
      </c>
      <c r="AC100" s="72">
        <f t="shared" si="34"/>
        <v>1546.05248546754</v>
      </c>
      <c r="AD100" s="85">
        <f t="shared" si="35"/>
        <v>4.6926878439812238</v>
      </c>
    </row>
    <row r="101" spans="1:30">
      <c r="A101" t="str">
        <f>'Price Deck'!A95</f>
        <v>09/2026</v>
      </c>
      <c r="B101" s="51">
        <f>'Liquids Type Curve'!A108</f>
        <v>7.1718907987866443</v>
      </c>
      <c r="C101" s="51">
        <f>'Liquids Type Curve'!B108</f>
        <v>86.062689585439728</v>
      </c>
      <c r="D101" s="51">
        <f>'Liquids Type Curve'!C108</f>
        <v>10.714203470634567</v>
      </c>
      <c r="E101" s="51">
        <f>'Liquids Type Curve'!D108</f>
        <v>325.89035556513477</v>
      </c>
      <c r="F101" s="51">
        <f>'Liquids Type Curve'!E108</f>
        <v>91895.365936809656</v>
      </c>
      <c r="H101" s="51">
        <f t="shared" si="19"/>
        <v>7.1718907987866443</v>
      </c>
      <c r="I101" s="51">
        <f t="shared" si="20"/>
        <v>86.062689585439728</v>
      </c>
      <c r="J101" s="51">
        <f t="shared" si="21"/>
        <v>3.5356871453094074</v>
      </c>
      <c r="K101" s="51">
        <f t="shared" si="22"/>
        <v>107.54381733649448</v>
      </c>
      <c r="L101" s="51">
        <f t="shared" si="23"/>
        <v>30325.470759147189</v>
      </c>
      <c r="N101" s="51">
        <f t="shared" si="24"/>
        <v>17.098129882745791</v>
      </c>
      <c r="O101" s="51">
        <f>(('Price Deck'!Q95/'Propane Royalties'!$B$2))/'Price Deck'!M95</f>
        <v>274.60346341463418</v>
      </c>
      <c r="P101" s="39"/>
      <c r="Q101" s="51">
        <f t="shared" si="25"/>
        <v>0.34605084341463416</v>
      </c>
      <c r="R101" s="51">
        <f t="shared" si="26"/>
        <v>0.1</v>
      </c>
      <c r="S101" s="51">
        <f t="shared" si="27"/>
        <v>0.47673699609756104</v>
      </c>
      <c r="T101" s="51">
        <f t="shared" si="28"/>
        <v>0.35712224439024398</v>
      </c>
      <c r="U101" s="51">
        <f t="shared" si="29"/>
        <v>0.34605084341463416</v>
      </c>
      <c r="W101" s="51">
        <f t="shared" si="30"/>
        <v>-0.2388175246582932</v>
      </c>
      <c r="X101" s="39">
        <f t="shared" si="31"/>
        <v>0.10723331875634096</v>
      </c>
      <c r="Y101" s="39">
        <f t="shared" si="32"/>
        <v>0.10723331875634096</v>
      </c>
      <c r="AA101" s="85">
        <f>'Price Deck'!Q95/'Price Deck'!M95</f>
        <v>43.658536585365859</v>
      </c>
      <c r="AB101" s="72">
        <f t="shared" si="33"/>
        <v>14227.896011258325</v>
      </c>
      <c r="AC101" s="72">
        <f t="shared" si="34"/>
        <v>1525.7045082073359</v>
      </c>
      <c r="AD101" s="85">
        <f t="shared" si="35"/>
        <v>4.6816497700939106</v>
      </c>
    </row>
    <row r="102" spans="1:30">
      <c r="A102" t="str">
        <f>'Price Deck'!A96</f>
        <v>10/2026</v>
      </c>
      <c r="B102" s="51">
        <f>'Liquids Type Curve'!A109</f>
        <v>7.2552241321199773</v>
      </c>
      <c r="C102" s="51">
        <f>'Liquids Type Curve'!B109</f>
        <v>87.062689585439728</v>
      </c>
      <c r="D102" s="51">
        <f>'Liquids Type Curve'!C109</f>
        <v>10.599453806310406</v>
      </c>
      <c r="E102" s="51">
        <f>'Liquids Type Curve'!D109</f>
        <v>322.40005327527484</v>
      </c>
      <c r="F102" s="51">
        <f>'Liquids Type Curve'!E109</f>
        <v>92217.765990084925</v>
      </c>
      <c r="H102" s="51">
        <f t="shared" si="19"/>
        <v>7.2552241321199773</v>
      </c>
      <c r="I102" s="51">
        <f t="shared" si="20"/>
        <v>87.062689585439728</v>
      </c>
      <c r="J102" s="51">
        <f t="shared" si="21"/>
        <v>3.4978197560824338</v>
      </c>
      <c r="K102" s="51">
        <f t="shared" si="22"/>
        <v>106.3920175808407</v>
      </c>
      <c r="L102" s="51">
        <f t="shared" si="23"/>
        <v>30431.862776728027</v>
      </c>
      <c r="N102" s="51">
        <f t="shared" si="24"/>
        <v>16.915008041724807</v>
      </c>
      <c r="O102" s="51">
        <f>(('Price Deck'!Q96/'Propane Royalties'!$B$2))/'Price Deck'!M96</f>
        <v>274.60346341463418</v>
      </c>
      <c r="P102" s="39"/>
      <c r="Q102" s="51">
        <f t="shared" si="25"/>
        <v>0.34605084341463416</v>
      </c>
      <c r="R102" s="51">
        <f t="shared" si="26"/>
        <v>0.1</v>
      </c>
      <c r="S102" s="51">
        <f t="shared" si="27"/>
        <v>0.47673699609756104</v>
      </c>
      <c r="T102" s="51">
        <f t="shared" si="28"/>
        <v>0.35712224439024398</v>
      </c>
      <c r="U102" s="51">
        <f t="shared" si="29"/>
        <v>0.34605084341463416</v>
      </c>
      <c r="W102" s="51">
        <f t="shared" si="30"/>
        <v>-0.23906473914367152</v>
      </c>
      <c r="X102" s="39">
        <f t="shared" si="31"/>
        <v>0.10698610427096264</v>
      </c>
      <c r="Y102" s="39">
        <f t="shared" si="32"/>
        <v>0.10698610427096264</v>
      </c>
      <c r="AA102" s="85">
        <f>'Price Deck'!Q96/'Price Deck'!M96</f>
        <v>43.658536585365859</v>
      </c>
      <c r="AB102" s="72">
        <f t="shared" si="33"/>
        <v>14075.514521042489</v>
      </c>
      <c r="AC102" s="72">
        <f t="shared" si="34"/>
        <v>1505.8844642157005</v>
      </c>
      <c r="AD102" s="85">
        <f t="shared" si="35"/>
        <v>4.670856747439589</v>
      </c>
    </row>
    <row r="103" spans="1:30">
      <c r="A103" t="str">
        <f>'Price Deck'!A97</f>
        <v>11/2026</v>
      </c>
      <c r="B103" s="51">
        <f>'Liquids Type Curve'!A110</f>
        <v>7.3385574654533103</v>
      </c>
      <c r="C103" s="51">
        <f>'Liquids Type Curve'!B110</f>
        <v>88.062689585439728</v>
      </c>
      <c r="D103" s="51">
        <f>'Liquids Type Curve'!C110</f>
        <v>10.487222707235683</v>
      </c>
      <c r="E103" s="51">
        <f>'Liquids Type Curve'!D110</f>
        <v>318.98635734508537</v>
      </c>
      <c r="F103" s="51">
        <f>'Liquids Type Curve'!E110</f>
        <v>92536.752347430011</v>
      </c>
      <c r="H103" s="51">
        <f t="shared" si="19"/>
        <v>7.3385574654533103</v>
      </c>
      <c r="I103" s="51">
        <f t="shared" si="20"/>
        <v>88.062689585439728</v>
      </c>
      <c r="J103" s="51">
        <f t="shared" si="21"/>
        <v>3.4607834933877752</v>
      </c>
      <c r="K103" s="51">
        <f t="shared" si="22"/>
        <v>105.26549792387817</v>
      </c>
      <c r="L103" s="51">
        <f t="shared" si="23"/>
        <v>30537.128274651906</v>
      </c>
      <c r="N103" s="51">
        <f t="shared" si="24"/>
        <v>16.735905422092621</v>
      </c>
      <c r="O103" s="51">
        <f>(('Price Deck'!Q97/'Propane Royalties'!$B$2))/'Price Deck'!M97</f>
        <v>274.60346341463418</v>
      </c>
      <c r="P103" s="39"/>
      <c r="Q103" s="51">
        <f t="shared" si="25"/>
        <v>0.34605084341463416</v>
      </c>
      <c r="R103" s="51">
        <f t="shared" si="26"/>
        <v>0.1</v>
      </c>
      <c r="S103" s="51">
        <f t="shared" si="27"/>
        <v>0.47673699609756104</v>
      </c>
      <c r="T103" s="51">
        <f t="shared" si="28"/>
        <v>0.35712224439024398</v>
      </c>
      <c r="U103" s="51">
        <f t="shared" si="29"/>
        <v>0.34605084341463416</v>
      </c>
      <c r="W103" s="51">
        <f t="shared" si="30"/>
        <v>-0.23930652768017496</v>
      </c>
      <c r="X103" s="39">
        <f t="shared" si="31"/>
        <v>0.10674431573445919</v>
      </c>
      <c r="Y103" s="39">
        <f t="shared" si="32"/>
        <v>0.10674431573445919</v>
      </c>
      <c r="AA103" s="85">
        <f>'Price Deck'!Q97/'Price Deck'!M97</f>
        <v>43.658536585365859</v>
      </c>
      <c r="AB103" s="72">
        <f t="shared" si="33"/>
        <v>13926.477552382998</v>
      </c>
      <c r="AC103" s="72">
        <f t="shared" si="34"/>
        <v>1486.5723169204291</v>
      </c>
      <c r="AD103" s="85">
        <f t="shared" si="35"/>
        <v>4.6603006137727316</v>
      </c>
    </row>
    <row r="104" spans="1:30">
      <c r="A104" t="str">
        <f>'Price Deck'!A98</f>
        <v>12/2026</v>
      </c>
      <c r="B104" s="51">
        <f>'Liquids Type Curve'!A111</f>
        <v>7.4218907987866434</v>
      </c>
      <c r="C104" s="51">
        <f>'Liquids Type Curve'!B111</f>
        <v>89.062689585439728</v>
      </c>
      <c r="D104" s="51">
        <f>'Liquids Type Curve'!C111</f>
        <v>10.377427226502917</v>
      </c>
      <c r="E104" s="51">
        <f>'Liquids Type Curve'!D111</f>
        <v>315.64674480613041</v>
      </c>
      <c r="F104" s="51">
        <f>'Liquids Type Curve'!E111</f>
        <v>92852.399092236141</v>
      </c>
      <c r="H104" s="51">
        <f t="shared" si="19"/>
        <v>7.4218907987866434</v>
      </c>
      <c r="I104" s="51">
        <f t="shared" si="20"/>
        <v>89.062689585439728</v>
      </c>
      <c r="J104" s="51">
        <f t="shared" si="21"/>
        <v>3.4245509847459625</v>
      </c>
      <c r="K104" s="51">
        <f t="shared" si="22"/>
        <v>104.16342578602304</v>
      </c>
      <c r="L104" s="51">
        <f t="shared" si="23"/>
        <v>30641.291700437927</v>
      </c>
      <c r="N104" s="51">
        <f t="shared" si="24"/>
        <v>16.560689654046715</v>
      </c>
      <c r="O104" s="51">
        <f>(('Price Deck'!Q98/'Propane Royalties'!$B$2))/'Price Deck'!M98</f>
        <v>274.60346341463418</v>
      </c>
      <c r="P104" s="39"/>
      <c r="Q104" s="51">
        <f t="shared" si="25"/>
        <v>0.34605084341463416</v>
      </c>
      <c r="R104" s="51">
        <f t="shared" si="26"/>
        <v>0.1</v>
      </c>
      <c r="S104" s="51">
        <f t="shared" si="27"/>
        <v>0.47673699609756104</v>
      </c>
      <c r="T104" s="51">
        <f t="shared" si="28"/>
        <v>0.35712224439024398</v>
      </c>
      <c r="U104" s="51">
        <f t="shared" si="29"/>
        <v>0.34605084341463416</v>
      </c>
      <c r="W104" s="51">
        <f t="shared" si="30"/>
        <v>-0.23954306896703695</v>
      </c>
      <c r="X104" s="39">
        <f t="shared" si="31"/>
        <v>0.10650777444759721</v>
      </c>
      <c r="Y104" s="39">
        <f t="shared" si="32"/>
        <v>0.10650777444759721</v>
      </c>
      <c r="AA104" s="85">
        <f>'Price Deck'!Q98/'Price Deck'!M98</f>
        <v>43.658536585365859</v>
      </c>
      <c r="AB104" s="72">
        <f t="shared" si="33"/>
        <v>13780.674956170085</v>
      </c>
      <c r="AC104" s="72">
        <f t="shared" si="34"/>
        <v>1467.7490199674151</v>
      </c>
      <c r="AD104" s="85">
        <f t="shared" si="35"/>
        <v>4.6499735673463176</v>
      </c>
    </row>
    <row r="105" spans="1:30">
      <c r="A105" t="str">
        <f>'Price Deck'!A99</f>
        <v>01/2027</v>
      </c>
      <c r="B105" s="51">
        <f>'Liquids Type Curve'!A112</f>
        <v>7.5052241321199764</v>
      </c>
      <c r="C105" s="51">
        <f>'Liquids Type Curve'!B112</f>
        <v>90.062689585439713</v>
      </c>
      <c r="D105" s="51">
        <f>'Liquids Type Curve'!C112</f>
        <v>10.269988039993605</v>
      </c>
      <c r="E105" s="51">
        <f>'Liquids Type Curve'!D112</f>
        <v>312.3788028831388</v>
      </c>
      <c r="F105" s="51">
        <f>'Liquids Type Curve'!E112</f>
        <v>93164.777895119274</v>
      </c>
      <c r="H105" s="51">
        <f t="shared" si="19"/>
        <v>7.5052241321199764</v>
      </c>
      <c r="I105" s="51">
        <f t="shared" si="20"/>
        <v>90.062689585439713</v>
      </c>
      <c r="J105" s="51">
        <f t="shared" si="21"/>
        <v>3.3890960531978895</v>
      </c>
      <c r="K105" s="51">
        <f t="shared" si="22"/>
        <v>103.08500495143581</v>
      </c>
      <c r="L105" s="51">
        <f t="shared" si="23"/>
        <v>30744.376705389361</v>
      </c>
      <c r="N105" s="51">
        <f t="shared" si="24"/>
        <v>16.389234149167827</v>
      </c>
      <c r="O105" s="51">
        <f>(('Price Deck'!Q99/'Propane Royalties'!$B$2))/'Price Deck'!M99</f>
        <v>292.83987941999999</v>
      </c>
      <c r="P105" s="39"/>
      <c r="Q105" s="51">
        <f t="shared" si="25"/>
        <v>0.35681032885780001</v>
      </c>
      <c r="R105" s="51">
        <f t="shared" si="26"/>
        <v>0.1</v>
      </c>
      <c r="S105" s="51">
        <f t="shared" si="27"/>
        <v>0.5135745564284</v>
      </c>
      <c r="T105" s="51">
        <f t="shared" si="28"/>
        <v>0.37736466615620001</v>
      </c>
      <c r="U105" s="51">
        <f t="shared" si="29"/>
        <v>0.35681032885780001</v>
      </c>
      <c r="W105" s="51">
        <f t="shared" si="30"/>
        <v>-0.23977453389862344</v>
      </c>
      <c r="X105" s="39">
        <f t="shared" si="31"/>
        <v>0.11703579495917657</v>
      </c>
      <c r="Y105" s="39">
        <f t="shared" si="32"/>
        <v>0.11703579495917657</v>
      </c>
      <c r="AA105" s="85">
        <f>'Price Deck'!Q99/'Price Deck'!M99</f>
        <v>46.557899999999997</v>
      </c>
      <c r="AB105" s="72">
        <f t="shared" si="33"/>
        <v>14543.701066752887</v>
      </c>
      <c r="AC105" s="72">
        <f t="shared" si="34"/>
        <v>1702.1336159960483</v>
      </c>
      <c r="AD105" s="85">
        <f t="shared" si="35"/>
        <v>5.4489408381298459</v>
      </c>
    </row>
    <row r="106" spans="1:30">
      <c r="A106" t="str">
        <f>'Price Deck'!A100</f>
        <v>02/2027</v>
      </c>
      <c r="B106" s="51">
        <f>'Liquids Type Curve'!A113</f>
        <v>7.5885574654533094</v>
      </c>
      <c r="C106" s="51">
        <f>'Liquids Type Curve'!B113</f>
        <v>91.062689585439713</v>
      </c>
      <c r="D106" s="51">
        <f>'Liquids Type Curve'!C113</f>
        <v>10.164829250088889</v>
      </c>
      <c r="E106" s="51">
        <f>'Liquids Type Curve'!D113</f>
        <v>309.18022302353705</v>
      </c>
      <c r="F106" s="51">
        <f>'Liquids Type Curve'!E113</f>
        <v>93473.958118142808</v>
      </c>
      <c r="H106" s="51">
        <f t="shared" si="19"/>
        <v>7.5885574654533094</v>
      </c>
      <c r="I106" s="51">
        <f t="shared" si="20"/>
        <v>91.062689585439713</v>
      </c>
      <c r="J106" s="51">
        <f t="shared" si="21"/>
        <v>3.3543936525293336</v>
      </c>
      <c r="K106" s="51">
        <f t="shared" si="22"/>
        <v>102.02947359776724</v>
      </c>
      <c r="L106" s="51">
        <f t="shared" si="23"/>
        <v>30846.406178987127</v>
      </c>
      <c r="N106" s="51">
        <f t="shared" si="24"/>
        <v>16.221417787174033</v>
      </c>
      <c r="O106" s="51">
        <f>(('Price Deck'!Q100/'Propane Royalties'!$B$2))/'Price Deck'!M100</f>
        <v>292.83987941999999</v>
      </c>
      <c r="P106" s="39"/>
      <c r="Q106" s="51">
        <f t="shared" si="25"/>
        <v>0.35681032885780001</v>
      </c>
      <c r="R106" s="51">
        <f t="shared" si="26"/>
        <v>0.1</v>
      </c>
      <c r="S106" s="51">
        <f t="shared" si="27"/>
        <v>0.5135745564284</v>
      </c>
      <c r="T106" s="51">
        <f t="shared" si="28"/>
        <v>0.37736466615620001</v>
      </c>
      <c r="U106" s="51">
        <f t="shared" si="29"/>
        <v>0.35681032885780001</v>
      </c>
      <c r="W106" s="51">
        <f t="shared" si="30"/>
        <v>-0.24000108598731507</v>
      </c>
      <c r="X106" s="39">
        <f t="shared" si="31"/>
        <v>0.11680924287048494</v>
      </c>
      <c r="Y106" s="39">
        <f t="shared" si="32"/>
        <v>0.11680924287048494</v>
      </c>
      <c r="AA106" s="85">
        <f>'Price Deck'!Q100/'Price Deck'!M100</f>
        <v>46.557899999999997</v>
      </c>
      <c r="AB106" s="72">
        <f t="shared" si="33"/>
        <v>14394.781905507534</v>
      </c>
      <c r="AC106" s="72">
        <f t="shared" si="34"/>
        <v>1681.4435756680916</v>
      </c>
      <c r="AD106" s="85">
        <f t="shared" si="35"/>
        <v>5.4383930486397505</v>
      </c>
    </row>
    <row r="107" spans="1:30">
      <c r="A107" t="str">
        <f>'Price Deck'!A101</f>
        <v>03/2027</v>
      </c>
      <c r="B107" s="51">
        <f>'Liquids Type Curve'!A114</f>
        <v>7.6718907987866425</v>
      </c>
      <c r="C107" s="51">
        <f>'Liquids Type Curve'!B114</f>
        <v>92.062689585439713</v>
      </c>
      <c r="D107" s="51">
        <f>'Liquids Type Curve'!C114</f>
        <v>10.061878202033057</v>
      </c>
      <c r="E107" s="51">
        <f>'Liquids Type Curve'!D114</f>
        <v>306.04879531183883</v>
      </c>
      <c r="F107" s="51">
        <f>'Liquids Type Curve'!E114</f>
        <v>93780.00691345465</v>
      </c>
      <c r="H107" s="51">
        <f t="shared" si="19"/>
        <v>7.6718907987866425</v>
      </c>
      <c r="I107" s="51">
        <f t="shared" si="20"/>
        <v>92.062689585439713</v>
      </c>
      <c r="J107" s="51">
        <f t="shared" si="21"/>
        <v>3.320419806670909</v>
      </c>
      <c r="K107" s="51">
        <f t="shared" si="22"/>
        <v>100.99610245290683</v>
      </c>
      <c r="L107" s="51">
        <f t="shared" si="23"/>
        <v>30947.402281440038</v>
      </c>
      <c r="N107" s="51">
        <f t="shared" si="24"/>
        <v>16.057124622866677</v>
      </c>
      <c r="O107" s="51">
        <f>(('Price Deck'!Q101/'Propane Royalties'!$B$2))/'Price Deck'!M101</f>
        <v>292.83987941999999</v>
      </c>
      <c r="P107" s="39"/>
      <c r="Q107" s="51">
        <f t="shared" si="25"/>
        <v>0.35681032885780001</v>
      </c>
      <c r="R107" s="51">
        <f t="shared" si="26"/>
        <v>0.1</v>
      </c>
      <c r="S107" s="51">
        <f t="shared" si="27"/>
        <v>0.5135745564284</v>
      </c>
      <c r="T107" s="51">
        <f t="shared" si="28"/>
        <v>0.37736466615620001</v>
      </c>
      <c r="U107" s="51">
        <f t="shared" si="29"/>
        <v>0.35681032885780001</v>
      </c>
      <c r="W107" s="51">
        <f t="shared" si="30"/>
        <v>-0.24022288175913001</v>
      </c>
      <c r="X107" s="39">
        <f t="shared" si="31"/>
        <v>0.11658744709867</v>
      </c>
      <c r="Y107" s="39">
        <f t="shared" si="32"/>
        <v>0.11658744709867</v>
      </c>
      <c r="AA107" s="85">
        <f>'Price Deck'!Q101/'Price Deck'!M101</f>
        <v>46.557899999999997</v>
      </c>
      <c r="AB107" s="72">
        <f t="shared" si="33"/>
        <v>14248.98920724906</v>
      </c>
      <c r="AC107" s="72">
        <f t="shared" si="34"/>
        <v>1661.2532754096696</v>
      </c>
      <c r="AD107" s="85">
        <f t="shared" si="35"/>
        <v>5.4280667032751682</v>
      </c>
    </row>
    <row r="108" spans="1:30">
      <c r="A108" t="str">
        <f>'Price Deck'!A102</f>
        <v>04/2027</v>
      </c>
      <c r="B108" s="51">
        <f>'Liquids Type Curve'!A115</f>
        <v>7.7552241321199755</v>
      </c>
      <c r="C108" s="51">
        <f>'Liquids Type Curve'!B115</f>
        <v>93.062689585439699</v>
      </c>
      <c r="D108" s="51">
        <f>'Liquids Type Curve'!C115</f>
        <v>9.9610653120067525</v>
      </c>
      <c r="E108" s="51">
        <f>'Liquids Type Curve'!D115</f>
        <v>302.98240324020537</v>
      </c>
      <c r="F108" s="51">
        <f>'Liquids Type Curve'!E115</f>
        <v>94082.98931669486</v>
      </c>
      <c r="H108" s="51">
        <f t="shared" si="19"/>
        <v>7.7552241321199755</v>
      </c>
      <c r="I108" s="51">
        <f t="shared" si="20"/>
        <v>93.062689585439699</v>
      </c>
      <c r="J108" s="51">
        <f t="shared" si="21"/>
        <v>3.2871515529622286</v>
      </c>
      <c r="K108" s="51">
        <f t="shared" si="22"/>
        <v>99.984193069267775</v>
      </c>
      <c r="L108" s="51">
        <f t="shared" si="23"/>
        <v>31047.386474509305</v>
      </c>
      <c r="N108" s="51">
        <f t="shared" si="24"/>
        <v>15.896243611763136</v>
      </c>
      <c r="O108" s="51">
        <f>(('Price Deck'!Q102/'Propane Royalties'!$B$2))/'Price Deck'!M102</f>
        <v>292.83987941999999</v>
      </c>
      <c r="P108" s="39"/>
      <c r="Q108" s="51">
        <f t="shared" si="25"/>
        <v>0.35681032885780001</v>
      </c>
      <c r="R108" s="51">
        <f t="shared" si="26"/>
        <v>0.1</v>
      </c>
      <c r="S108" s="51">
        <f t="shared" si="27"/>
        <v>0.5135745564284</v>
      </c>
      <c r="T108" s="51">
        <f t="shared" si="28"/>
        <v>0.37736466615620001</v>
      </c>
      <c r="U108" s="51">
        <f t="shared" si="29"/>
        <v>0.35681032885780001</v>
      </c>
      <c r="W108" s="51">
        <f t="shared" si="30"/>
        <v>-0.24044007112411978</v>
      </c>
      <c r="X108" s="39">
        <f t="shared" si="31"/>
        <v>0.11637025773368023</v>
      </c>
      <c r="Y108" s="39">
        <f t="shared" si="32"/>
        <v>0.11637025773368023</v>
      </c>
      <c r="AA108" s="85">
        <f>'Price Deck'!Q102/'Price Deck'!M102</f>
        <v>46.557899999999997</v>
      </c>
      <c r="AB108" s="72">
        <f t="shared" si="33"/>
        <v>14106.224431817156</v>
      </c>
      <c r="AC108" s="72">
        <f t="shared" si="34"/>
        <v>1641.5449727796995</v>
      </c>
      <c r="AD108" s="85">
        <f t="shared" si="35"/>
        <v>5.4179548225389107</v>
      </c>
    </row>
    <row r="109" spans="1:30">
      <c r="A109" t="str">
        <f>'Price Deck'!A103</f>
        <v>05/2027</v>
      </c>
      <c r="B109" s="51">
        <f>'Liquids Type Curve'!A116</f>
        <v>7.8385574654533086</v>
      </c>
      <c r="C109" s="51">
        <f>'Liquids Type Curve'!B116</f>
        <v>94.062689585439699</v>
      </c>
      <c r="D109" s="51">
        <f>'Liquids Type Curve'!C116</f>
        <v>9.8623239060467895</v>
      </c>
      <c r="E109" s="51">
        <f>'Liquids Type Curve'!D116</f>
        <v>299.97901880892317</v>
      </c>
      <c r="F109" s="51">
        <f>'Liquids Type Curve'!E116</f>
        <v>94382.968335503785</v>
      </c>
      <c r="H109" s="51">
        <f t="shared" si="19"/>
        <v>7.8385574654533086</v>
      </c>
      <c r="I109" s="51">
        <f t="shared" si="20"/>
        <v>94.062689585439699</v>
      </c>
      <c r="J109" s="51">
        <f t="shared" si="21"/>
        <v>3.2545668889954409</v>
      </c>
      <c r="K109" s="51">
        <f t="shared" si="22"/>
        <v>98.99307620694465</v>
      </c>
      <c r="L109" s="51">
        <f t="shared" si="23"/>
        <v>31146.37955071625</v>
      </c>
      <c r="N109" s="51">
        <f t="shared" si="24"/>
        <v>15.738668353038992</v>
      </c>
      <c r="O109" s="51">
        <f>(('Price Deck'!Q103/'Propane Royalties'!$B$2))/'Price Deck'!M103</f>
        <v>292.83987941999999</v>
      </c>
      <c r="P109" s="39"/>
      <c r="Q109" s="51">
        <f t="shared" si="25"/>
        <v>0.35681032885780001</v>
      </c>
      <c r="R109" s="51">
        <f t="shared" si="26"/>
        <v>0.1</v>
      </c>
      <c r="S109" s="51">
        <f t="shared" si="27"/>
        <v>0.5135745564284</v>
      </c>
      <c r="T109" s="51">
        <f t="shared" si="28"/>
        <v>0.37736466615620001</v>
      </c>
      <c r="U109" s="51">
        <f t="shared" si="29"/>
        <v>0.35681032885780001</v>
      </c>
      <c r="W109" s="51">
        <f t="shared" si="30"/>
        <v>-0.24065279772339737</v>
      </c>
      <c r="X109" s="39">
        <f t="shared" si="31"/>
        <v>0.11615753113440264</v>
      </c>
      <c r="Y109" s="39">
        <f t="shared" si="32"/>
        <v>0.11615753113440264</v>
      </c>
      <c r="AA109" s="85">
        <f>'Price Deck'!Q103/'Price Deck'!M103</f>
        <v>46.557899999999997</v>
      </c>
      <c r="AB109" s="72">
        <f t="shared" si="33"/>
        <v>13966.393159803963</v>
      </c>
      <c r="AC109" s="72">
        <f t="shared" si="34"/>
        <v>1622.3017482952368</v>
      </c>
      <c r="AD109" s="85">
        <f t="shared" si="35"/>
        <v>5.4080507188024036</v>
      </c>
    </row>
    <row r="110" spans="1:30">
      <c r="A110" t="str">
        <f>'Price Deck'!A104</f>
        <v>06/2027</v>
      </c>
      <c r="B110" s="51">
        <f>'Liquids Type Curve'!A117</f>
        <v>7.9218907987866416</v>
      </c>
      <c r="C110" s="51">
        <f>'Liquids Type Curve'!B117</f>
        <v>95.062689585439699</v>
      </c>
      <c r="D110" s="51">
        <f>'Liquids Type Curve'!C117</f>
        <v>9.7655900690212896</v>
      </c>
      <c r="E110" s="51">
        <f>'Liquids Type Curve'!D117</f>
        <v>297.03669793273093</v>
      </c>
      <c r="F110" s="51">
        <f>'Liquids Type Curve'!E117</f>
        <v>94680.005033436522</v>
      </c>
      <c r="H110" s="51">
        <f t="shared" si="19"/>
        <v>7.9218907987866416</v>
      </c>
      <c r="I110" s="51">
        <f t="shared" si="20"/>
        <v>95.062689585439699</v>
      </c>
      <c r="J110" s="51">
        <f t="shared" si="21"/>
        <v>3.2226447227770256</v>
      </c>
      <c r="K110" s="51">
        <f t="shared" si="22"/>
        <v>98.022110317801207</v>
      </c>
      <c r="L110" s="51">
        <f t="shared" si="23"/>
        <v>31244.401661034055</v>
      </c>
      <c r="N110" s="51">
        <f t="shared" si="24"/>
        <v>15.584296848516837</v>
      </c>
      <c r="O110" s="51">
        <f>(('Price Deck'!Q104/'Propane Royalties'!$B$2))/'Price Deck'!M104</f>
        <v>292.83987941999999</v>
      </c>
      <c r="P110" s="39"/>
      <c r="Q110" s="51">
        <f t="shared" si="25"/>
        <v>0.35681032885780001</v>
      </c>
      <c r="R110" s="51">
        <f t="shared" si="26"/>
        <v>0.1</v>
      </c>
      <c r="S110" s="51">
        <f t="shared" si="27"/>
        <v>0.5135745564284</v>
      </c>
      <c r="T110" s="51">
        <f t="shared" si="28"/>
        <v>0.37736466615620001</v>
      </c>
      <c r="U110" s="51">
        <f t="shared" si="29"/>
        <v>0.35681032885780001</v>
      </c>
      <c r="W110" s="51">
        <f t="shared" si="30"/>
        <v>-0.24086119925450231</v>
      </c>
      <c r="X110" s="39">
        <f t="shared" si="31"/>
        <v>0.1159491296032977</v>
      </c>
      <c r="Y110" s="39">
        <f t="shared" si="32"/>
        <v>0.1159491296032977</v>
      </c>
      <c r="AA110" s="85">
        <f>'Price Deck'!Q104/'Price Deck'!M104</f>
        <v>46.557899999999997</v>
      </c>
      <c r="AB110" s="72">
        <f t="shared" si="33"/>
        <v>13829.404878682293</v>
      </c>
      <c r="AC110" s="72">
        <f t="shared" si="34"/>
        <v>1603.5074586148107</v>
      </c>
      <c r="AD110" s="85">
        <f t="shared" si="35"/>
        <v>5.3983479811573742</v>
      </c>
    </row>
    <row r="111" spans="1:30">
      <c r="A111" t="str">
        <f>'Price Deck'!A105</f>
        <v>07/2027</v>
      </c>
      <c r="B111" s="51">
        <f>'Liquids Type Curve'!A118</f>
        <v>8.0052241321199755</v>
      </c>
      <c r="C111" s="51">
        <f>'Liquids Type Curve'!B118</f>
        <v>96.062689585439699</v>
      </c>
      <c r="D111" s="51">
        <f>'Liquids Type Curve'!C118</f>
        <v>9.6708025029343307</v>
      </c>
      <c r="E111" s="51">
        <f>'Liquids Type Curve'!D118</f>
        <v>294.15357613091925</v>
      </c>
      <c r="F111" s="51">
        <f>'Liquids Type Curve'!E118</f>
        <v>94974.158609567443</v>
      </c>
      <c r="H111" s="51">
        <f t="shared" si="19"/>
        <v>8.0052241321199755</v>
      </c>
      <c r="I111" s="51">
        <f t="shared" si="20"/>
        <v>96.062689585439699</v>
      </c>
      <c r="J111" s="51">
        <f t="shared" si="21"/>
        <v>3.1913648259683294</v>
      </c>
      <c r="K111" s="51">
        <f t="shared" si="22"/>
        <v>97.07068012320336</v>
      </c>
      <c r="L111" s="51">
        <f t="shared" si="23"/>
        <v>31341.472341157256</v>
      </c>
      <c r="N111" s="51">
        <f t="shared" si="24"/>
        <v>15.433031276543508</v>
      </c>
      <c r="O111" s="51">
        <f>(('Price Deck'!Q105/'Propane Royalties'!$B$2))/'Price Deck'!M105</f>
        <v>292.83987941999999</v>
      </c>
      <c r="P111" s="39"/>
      <c r="Q111" s="51">
        <f t="shared" si="25"/>
        <v>0.35681032885780001</v>
      </c>
      <c r="R111" s="51">
        <f t="shared" si="26"/>
        <v>0.1</v>
      </c>
      <c r="S111" s="51">
        <f t="shared" si="27"/>
        <v>0.5135745564284</v>
      </c>
      <c r="T111" s="51">
        <f t="shared" si="28"/>
        <v>0.37736466615620001</v>
      </c>
      <c r="U111" s="51">
        <f t="shared" si="29"/>
        <v>0.35681032885780001</v>
      </c>
      <c r="W111" s="51">
        <f t="shared" si="30"/>
        <v>-0.24106540777666627</v>
      </c>
      <c r="X111" s="39">
        <f t="shared" si="31"/>
        <v>0.11574492108113374</v>
      </c>
      <c r="Y111" s="39">
        <f t="shared" si="32"/>
        <v>0.11574492108113374</v>
      </c>
      <c r="AA111" s="85">
        <f>'Price Deck'!Q105/'Price Deck'!M105</f>
        <v>46.557899999999997</v>
      </c>
      <c r="AB111" s="72">
        <f t="shared" si="33"/>
        <v>13695.172782145724</v>
      </c>
      <c r="AC111" s="72">
        <f t="shared" si="34"/>
        <v>1585.1466928619477</v>
      </c>
      <c r="AD111" s="85">
        <f t="shared" si="35"/>
        <v>5.3888404612033165</v>
      </c>
    </row>
    <row r="112" spans="1:30">
      <c r="A112" t="str">
        <f>'Price Deck'!A106</f>
        <v>08/2027</v>
      </c>
      <c r="B112" s="51">
        <f>'Liquids Type Curve'!A119</f>
        <v>8.0885574654533094</v>
      </c>
      <c r="C112" s="51">
        <f>'Liquids Type Curve'!B119</f>
        <v>97.062689585439713</v>
      </c>
      <c r="D112" s="51">
        <f>'Liquids Type Curve'!C119</f>
        <v>9.5779023938933552</v>
      </c>
      <c r="E112" s="51">
        <f>'Liquids Type Curve'!D119</f>
        <v>291.32786448092293</v>
      </c>
      <c r="F112" s="51">
        <f>'Liquids Type Curve'!E119</f>
        <v>95265.486474048361</v>
      </c>
      <c r="H112" s="51">
        <f t="shared" si="19"/>
        <v>8.0885574654533094</v>
      </c>
      <c r="I112" s="51">
        <f t="shared" si="20"/>
        <v>97.062689585439713</v>
      </c>
      <c r="J112" s="51">
        <f t="shared" si="21"/>
        <v>3.1607077899848073</v>
      </c>
      <c r="K112" s="51">
        <f t="shared" si="22"/>
        <v>96.138195278704572</v>
      </c>
      <c r="L112" s="51">
        <f t="shared" si="23"/>
        <v>31437.610536435961</v>
      </c>
      <c r="N112" s="51">
        <f t="shared" si="24"/>
        <v>15.284777779691655</v>
      </c>
      <c r="O112" s="51">
        <f>(('Price Deck'!Q106/'Propane Royalties'!$B$2))/'Price Deck'!M106</f>
        <v>292.83987941999999</v>
      </c>
      <c r="P112" s="39"/>
      <c r="Q112" s="51">
        <f t="shared" si="25"/>
        <v>0.35681032885780001</v>
      </c>
      <c r="R112" s="51">
        <f t="shared" si="26"/>
        <v>0.1</v>
      </c>
      <c r="S112" s="51">
        <f t="shared" si="27"/>
        <v>0.5135745564284</v>
      </c>
      <c r="T112" s="51">
        <f t="shared" si="28"/>
        <v>0.37736466615620001</v>
      </c>
      <c r="U112" s="51">
        <f t="shared" si="29"/>
        <v>0.35681032885780001</v>
      </c>
      <c r="W112" s="51">
        <f t="shared" si="30"/>
        <v>-0.24126554999741626</v>
      </c>
      <c r="X112" s="39">
        <f t="shared" si="31"/>
        <v>0.11554477886038375</v>
      </c>
      <c r="Y112" s="39">
        <f t="shared" si="32"/>
        <v>0.11554477886038375</v>
      </c>
      <c r="AA112" s="85">
        <f>'Price Deck'!Q106/'Price Deck'!M106</f>
        <v>46.557899999999997</v>
      </c>
      <c r="AB112" s="72">
        <f t="shared" si="33"/>
        <v>13563.613581716361</v>
      </c>
      <c r="AC112" s="72">
        <f t="shared" si="34"/>
        <v>1567.2047318471145</v>
      </c>
      <c r="AD112" s="85">
        <f t="shared" si="35"/>
        <v>5.3795222597038608</v>
      </c>
    </row>
    <row r="113" spans="1:30">
      <c r="A113" t="str">
        <f>'Price Deck'!A107</f>
        <v>09/2027</v>
      </c>
      <c r="B113" s="51">
        <f>'Liquids Type Curve'!A120</f>
        <v>8.1718907987866434</v>
      </c>
      <c r="C113" s="51">
        <f>'Liquids Type Curve'!B120</f>
        <v>98.062689585439728</v>
      </c>
      <c r="D113" s="51">
        <f>'Liquids Type Curve'!C120</f>
        <v>9.4868332871271193</v>
      </c>
      <c r="E113" s="51">
        <f>'Liquids Type Curve'!D120</f>
        <v>288.55784581678324</v>
      </c>
      <c r="F113" s="51">
        <f>'Liquids Type Curve'!E120</f>
        <v>95554.044319865148</v>
      </c>
      <c r="H113" s="51">
        <f t="shared" si="19"/>
        <v>8.1718907987866434</v>
      </c>
      <c r="I113" s="51">
        <f t="shared" si="20"/>
        <v>98.062689585439728</v>
      </c>
      <c r="J113" s="51">
        <f t="shared" si="21"/>
        <v>3.1306549847519496</v>
      </c>
      <c r="K113" s="51">
        <f t="shared" si="22"/>
        <v>95.224089119538476</v>
      </c>
      <c r="L113" s="51">
        <f t="shared" si="23"/>
        <v>31532.834625555501</v>
      </c>
      <c r="N113" s="51">
        <f t="shared" si="24"/>
        <v>15.139446265308671</v>
      </c>
      <c r="O113" s="51">
        <f>(('Price Deck'!Q107/'Propane Royalties'!$B$2))/'Price Deck'!M107</f>
        <v>292.83987941999999</v>
      </c>
      <c r="P113" s="39"/>
      <c r="Q113" s="51">
        <f t="shared" si="25"/>
        <v>0.35681032885780001</v>
      </c>
      <c r="R113" s="51">
        <f t="shared" si="26"/>
        <v>0.1</v>
      </c>
      <c r="S113" s="51">
        <f t="shared" si="27"/>
        <v>0.5135745564284</v>
      </c>
      <c r="T113" s="51">
        <f t="shared" si="28"/>
        <v>0.37736466615620001</v>
      </c>
      <c r="U113" s="51">
        <f t="shared" si="29"/>
        <v>0.35681032885780001</v>
      </c>
      <c r="W113" s="51">
        <f t="shared" si="30"/>
        <v>-0.2414617475418333</v>
      </c>
      <c r="X113" s="39">
        <f t="shared" si="31"/>
        <v>0.1153485813159667</v>
      </c>
      <c r="Y113" s="39">
        <f t="shared" si="32"/>
        <v>0.1153485813159667</v>
      </c>
      <c r="AA113" s="85">
        <f>'Price Deck'!Q107/'Price Deck'!M107</f>
        <v>46.557899999999997</v>
      </c>
      <c r="AB113" s="72">
        <f t="shared" si="33"/>
        <v>13434.647329753212</v>
      </c>
      <c r="AC113" s="72">
        <f t="shared" si="34"/>
        <v>1549.6675099673732</v>
      </c>
      <c r="AD113" s="85">
        <f t="shared" si="35"/>
        <v>5.3703877140506453</v>
      </c>
    </row>
    <row r="114" spans="1:30">
      <c r="A114" t="str">
        <f>'Price Deck'!A108</f>
        <v>10/2027</v>
      </c>
      <c r="B114" s="51">
        <f>'Liquids Type Curve'!A121</f>
        <v>8.2552241321199773</v>
      </c>
      <c r="C114" s="51">
        <f>'Liquids Type Curve'!B121</f>
        <v>99.062689585439728</v>
      </c>
      <c r="D114" s="51">
        <f>'Liquids Type Curve'!C121</f>
        <v>9.3975409694902616</v>
      </c>
      <c r="E114" s="51">
        <f>'Liquids Type Curve'!D121</f>
        <v>285.84187115532882</v>
      </c>
      <c r="F114" s="51">
        <f>'Liquids Type Curve'!E121</f>
        <v>95839.886191020472</v>
      </c>
      <c r="H114" s="51">
        <f t="shared" si="19"/>
        <v>8.2552241321199773</v>
      </c>
      <c r="I114" s="51">
        <f t="shared" si="20"/>
        <v>99.062689585439728</v>
      </c>
      <c r="J114" s="51">
        <f t="shared" si="21"/>
        <v>3.1011885199317866</v>
      </c>
      <c r="K114" s="51">
        <f t="shared" si="22"/>
        <v>94.327817481258521</v>
      </c>
      <c r="L114" s="51">
        <f t="shared" si="23"/>
        <v>31627.162443036756</v>
      </c>
      <c r="N114" s="51">
        <f t="shared" si="24"/>
        <v>14.996950218013056</v>
      </c>
      <c r="O114" s="51">
        <f>(('Price Deck'!Q108/'Propane Royalties'!$B$2))/'Price Deck'!M108</f>
        <v>292.83987941999999</v>
      </c>
      <c r="P114" s="39"/>
      <c r="Q114" s="51">
        <f t="shared" si="25"/>
        <v>0.35681032885780001</v>
      </c>
      <c r="R114" s="51">
        <f t="shared" si="26"/>
        <v>0.1</v>
      </c>
      <c r="S114" s="51">
        <f t="shared" si="27"/>
        <v>0.5135745564284</v>
      </c>
      <c r="T114" s="51">
        <f t="shared" si="28"/>
        <v>0.37736466615620001</v>
      </c>
      <c r="U114" s="51">
        <f t="shared" si="29"/>
        <v>0.35681032885780001</v>
      </c>
      <c r="W114" s="51">
        <f t="shared" si="30"/>
        <v>-0.24165411720568236</v>
      </c>
      <c r="X114" s="39">
        <f t="shared" si="31"/>
        <v>0.11515621165211765</v>
      </c>
      <c r="Y114" s="39">
        <f t="shared" si="32"/>
        <v>0.11515621165211765</v>
      </c>
      <c r="AA114" s="85">
        <f>'Price Deck'!Q108/'Price Deck'!M108</f>
        <v>46.557899999999997</v>
      </c>
      <c r="AB114" s="72">
        <f t="shared" si="33"/>
        <v>13308.197253062683</v>
      </c>
      <c r="AC114" s="72">
        <f t="shared" si="34"/>
        <v>1532.5215795818169</v>
      </c>
      <c r="AD114" s="85">
        <f t="shared" si="35"/>
        <v>5.3614313864781273</v>
      </c>
    </row>
    <row r="115" spans="1:30">
      <c r="A115" t="str">
        <f>'Price Deck'!A109</f>
        <v>11/2027</v>
      </c>
      <c r="B115" s="51">
        <f>'Liquids Type Curve'!A122</f>
        <v>8.3385574654533112</v>
      </c>
      <c r="C115" s="51">
        <f>'Liquids Type Curve'!B122</f>
        <v>100.06268958543973</v>
      </c>
      <c r="D115" s="51">
        <f>'Liquids Type Curve'!C122</f>
        <v>9.3099733589359026</v>
      </c>
      <c r="E115" s="51">
        <f>'Liquids Type Curve'!D122</f>
        <v>283.17835633430036</v>
      </c>
      <c r="F115" s="51">
        <f>'Liquids Type Curve'!E122</f>
        <v>96123.064547354777</v>
      </c>
      <c r="H115" s="51">
        <f t="shared" si="19"/>
        <v>8.3385574654533112</v>
      </c>
      <c r="I115" s="51">
        <f t="shared" si="20"/>
        <v>100.06268958543973</v>
      </c>
      <c r="J115" s="51">
        <f t="shared" si="21"/>
        <v>3.0722912084488478</v>
      </c>
      <c r="K115" s="51">
        <f t="shared" si="22"/>
        <v>93.448857590319122</v>
      </c>
      <c r="L115" s="51">
        <f t="shared" si="23"/>
        <v>31720.611300627079</v>
      </c>
      <c r="N115" s="51">
        <f t="shared" si="24"/>
        <v>14.857206523310618</v>
      </c>
      <c r="O115" s="51">
        <f>(('Price Deck'!Q109/'Propane Royalties'!$B$2))/'Price Deck'!M109</f>
        <v>292.83987941999999</v>
      </c>
      <c r="P115" s="39"/>
      <c r="Q115" s="51">
        <f t="shared" si="25"/>
        <v>0.35681032885780001</v>
      </c>
      <c r="R115" s="51">
        <f t="shared" si="26"/>
        <v>0.1</v>
      </c>
      <c r="S115" s="51">
        <f t="shared" si="27"/>
        <v>0.5135745564284</v>
      </c>
      <c r="T115" s="51">
        <f t="shared" si="28"/>
        <v>0.37736466615620001</v>
      </c>
      <c r="U115" s="51">
        <f t="shared" si="29"/>
        <v>0.35681032885780001</v>
      </c>
      <c r="W115" s="51">
        <f t="shared" si="30"/>
        <v>-0.24184277119353068</v>
      </c>
      <c r="X115" s="39">
        <f t="shared" si="31"/>
        <v>0.11496755766426933</v>
      </c>
      <c r="Y115" s="39">
        <f t="shared" si="32"/>
        <v>0.11496755766426933</v>
      </c>
      <c r="AA115" s="85">
        <f>'Price Deck'!Q109/'Price Deck'!M109</f>
        <v>46.557899999999997</v>
      </c>
      <c r="AB115" s="72">
        <f t="shared" si="33"/>
        <v>13184.189596376722</v>
      </c>
      <c r="AC115" s="72">
        <f t="shared" si="34"/>
        <v>1515.7540776781007</v>
      </c>
      <c r="AD115" s="85">
        <f t="shared" si="35"/>
        <v>5.3526480529772851</v>
      </c>
    </row>
    <row r="116" spans="1:30">
      <c r="A116" t="str">
        <f>'Price Deck'!A110</f>
        <v>12/2027</v>
      </c>
      <c r="B116" s="51">
        <f>'Liquids Type Curve'!A123</f>
        <v>8.4218907987866451</v>
      </c>
      <c r="C116" s="51">
        <f>'Liquids Type Curve'!B123</f>
        <v>101.06268958543974</v>
      </c>
      <c r="D116" s="51">
        <f>'Liquids Type Curve'!C123</f>
        <v>9.2240804004779964</v>
      </c>
      <c r="E116" s="51">
        <f>'Liquids Type Curve'!D123</f>
        <v>280.56577884787242</v>
      </c>
      <c r="F116" s="51">
        <f>'Liquids Type Curve'!E123</f>
        <v>96403.630326202649</v>
      </c>
      <c r="H116" s="51">
        <f t="shared" si="19"/>
        <v>8.4218907987866451</v>
      </c>
      <c r="I116" s="51">
        <f t="shared" si="20"/>
        <v>101.06268958543974</v>
      </c>
      <c r="J116" s="51">
        <f t="shared" si="21"/>
        <v>3.0439465321577388</v>
      </c>
      <c r="K116" s="51">
        <f t="shared" si="22"/>
        <v>92.586707019797899</v>
      </c>
      <c r="L116" s="51">
        <f t="shared" si="23"/>
        <v>31813.198007646875</v>
      </c>
      <c r="N116" s="51">
        <f t="shared" si="24"/>
        <v>14.720135301567284</v>
      </c>
      <c r="O116" s="51">
        <f>(('Price Deck'!Q110/'Propane Royalties'!$B$2))/'Price Deck'!M110</f>
        <v>292.83987941999999</v>
      </c>
      <c r="P116" s="39"/>
      <c r="Q116" s="51">
        <f t="shared" si="25"/>
        <v>0.35681032885780001</v>
      </c>
      <c r="R116" s="51">
        <f t="shared" si="26"/>
        <v>0.1</v>
      </c>
      <c r="S116" s="51">
        <f t="shared" si="27"/>
        <v>0.5135745564284</v>
      </c>
      <c r="T116" s="51">
        <f t="shared" si="28"/>
        <v>0.37736466615620001</v>
      </c>
      <c r="U116" s="51">
        <f t="shared" si="29"/>
        <v>0.35681032885780001</v>
      </c>
      <c r="W116" s="51">
        <f t="shared" si="30"/>
        <v>-0.24202781734288417</v>
      </c>
      <c r="X116" s="39">
        <f t="shared" si="31"/>
        <v>0.11478251151491584</v>
      </c>
      <c r="Y116" s="39">
        <f t="shared" si="32"/>
        <v>0.11478251151491584</v>
      </c>
      <c r="AA116" s="85">
        <f>'Price Deck'!Q110/'Price Deck'!M110</f>
        <v>46.557899999999997</v>
      </c>
      <c r="AB116" s="72">
        <f t="shared" si="33"/>
        <v>13062.553475021359</v>
      </c>
      <c r="AC116" s="72">
        <f t="shared" si="34"/>
        <v>1499.3526946608431</v>
      </c>
      <c r="AD116" s="85">
        <f t="shared" si="35"/>
        <v>5.3440326928603001</v>
      </c>
    </row>
    <row r="117" spans="1:30">
      <c r="A117" t="str">
        <f>'Price Deck'!A111</f>
        <v>01/2028</v>
      </c>
      <c r="B117" s="51">
        <f>'Liquids Type Curve'!A124</f>
        <v>8.5052241321199791</v>
      </c>
      <c r="C117" s="51">
        <f>'Liquids Type Curve'!B124</f>
        <v>102.06268958543976</v>
      </c>
      <c r="D117" s="51">
        <f>'Liquids Type Curve'!C124</f>
        <v>9.1398139682027573</v>
      </c>
      <c r="E117" s="51">
        <f>'Liquids Type Curve'!D124</f>
        <v>278.00267486616718</v>
      </c>
      <c r="F117" s="51">
        <f>'Liquids Type Curve'!E124</f>
        <v>96681.633001068811</v>
      </c>
      <c r="H117" s="51">
        <f t="shared" si="19"/>
        <v>8.5052241321199791</v>
      </c>
      <c r="I117" s="51">
        <f t="shared" si="20"/>
        <v>102.06268958543976</v>
      </c>
      <c r="J117" s="51">
        <f t="shared" si="21"/>
        <v>3.01613860950691</v>
      </c>
      <c r="K117" s="51">
        <f t="shared" si="22"/>
        <v>91.740882705835176</v>
      </c>
      <c r="L117" s="51">
        <f t="shared" si="23"/>
        <v>31904.938890352711</v>
      </c>
      <c r="N117" s="51">
        <f t="shared" si="24"/>
        <v>14.585659751635214</v>
      </c>
      <c r="O117" s="51">
        <f>(('Price Deck'!Q111/'Propane Royalties'!$B$2))/'Price Deck'!M111</f>
        <v>298.69667700839994</v>
      </c>
      <c r="P117" s="39"/>
      <c r="Q117" s="51">
        <f t="shared" si="25"/>
        <v>0.36026583943495594</v>
      </c>
      <c r="R117" s="51">
        <f t="shared" si="26"/>
        <v>0.1</v>
      </c>
      <c r="S117" s="51">
        <f t="shared" si="27"/>
        <v>0.52540528755696791</v>
      </c>
      <c r="T117" s="51">
        <f t="shared" si="28"/>
        <v>0.38386571147932391</v>
      </c>
      <c r="U117" s="51">
        <f t="shared" si="29"/>
        <v>0.36026583943495594</v>
      </c>
      <c r="W117" s="51">
        <f t="shared" si="30"/>
        <v>-0.24220935933529247</v>
      </c>
      <c r="X117" s="39">
        <f t="shared" si="31"/>
        <v>0.11805648009966346</v>
      </c>
      <c r="Y117" s="39">
        <f t="shared" si="32"/>
        <v>0.11805648009966346</v>
      </c>
      <c r="AA117" s="85">
        <f>'Price Deck'!Q111/'Price Deck'!M111</f>
        <v>47.489057999999993</v>
      </c>
      <c r="AB117" s="72">
        <f t="shared" si="33"/>
        <v>13202.085150874555</v>
      </c>
      <c r="AC117" s="72">
        <f t="shared" si="34"/>
        <v>1558.5917028882843</v>
      </c>
      <c r="AD117" s="85">
        <f t="shared" si="35"/>
        <v>5.606391030728763</v>
      </c>
    </row>
    <row r="118" spans="1:30">
      <c r="A118" t="str">
        <f>'Price Deck'!A112</f>
        <v>02/2028</v>
      </c>
      <c r="B118" s="51">
        <f>'Liquids Type Curve'!A125</f>
        <v>8.588557465453313</v>
      </c>
      <c r="C118" s="51">
        <f>'Liquids Type Curve'!B125</f>
        <v>103.06268958543976</v>
      </c>
      <c r="D118" s="51">
        <f>'Liquids Type Curve'!C125</f>
        <v>9.0571277729217918</v>
      </c>
      <c r="E118" s="51">
        <f>'Liquids Type Curve'!D125</f>
        <v>275.48763642637118</v>
      </c>
      <c r="F118" s="51">
        <f>'Liquids Type Curve'!E125</f>
        <v>96957.120637495187</v>
      </c>
      <c r="H118" s="51">
        <f t="shared" si="19"/>
        <v>8.588557465453313</v>
      </c>
      <c r="I118" s="51">
        <f t="shared" si="20"/>
        <v>103.06268958543976</v>
      </c>
      <c r="J118" s="51">
        <f t="shared" si="21"/>
        <v>2.9888521650641913</v>
      </c>
      <c r="K118" s="51">
        <f t="shared" si="22"/>
        <v>90.910920020702491</v>
      </c>
      <c r="L118" s="51">
        <f t="shared" si="23"/>
        <v>31995.849810373413</v>
      </c>
      <c r="N118" s="51">
        <f t="shared" si="24"/>
        <v>14.453706003482223</v>
      </c>
      <c r="O118" s="51">
        <f>(('Price Deck'!Q112/'Propane Royalties'!$B$2))/'Price Deck'!M112</f>
        <v>298.69667700839994</v>
      </c>
      <c r="P118" s="39"/>
      <c r="Q118" s="51">
        <f t="shared" si="25"/>
        <v>0.36026583943495594</v>
      </c>
      <c r="R118" s="51">
        <f t="shared" si="26"/>
        <v>0.1</v>
      </c>
      <c r="S118" s="51">
        <f t="shared" si="27"/>
        <v>0.52540528755696791</v>
      </c>
      <c r="T118" s="51">
        <f t="shared" si="28"/>
        <v>0.38386571147932391</v>
      </c>
      <c r="U118" s="51">
        <f t="shared" si="29"/>
        <v>0.36026583943495594</v>
      </c>
      <c r="W118" s="51">
        <f t="shared" si="30"/>
        <v>-0.24238749689529904</v>
      </c>
      <c r="X118" s="39">
        <f t="shared" si="31"/>
        <v>0.1178783425396569</v>
      </c>
      <c r="Y118" s="39">
        <f t="shared" si="32"/>
        <v>0.1178783425396569</v>
      </c>
      <c r="AA118" s="85">
        <f>'Price Deck'!Q112/'Price Deck'!M112</f>
        <v>47.489057999999993</v>
      </c>
      <c r="AB118" s="72">
        <f t="shared" si="33"/>
        <v>13082.648344534851</v>
      </c>
      <c r="AC118" s="72">
        <f t="shared" si="34"/>
        <v>1542.1609028829544</v>
      </c>
      <c r="AD118" s="85">
        <f t="shared" si="35"/>
        <v>5.5979314458096328</v>
      </c>
    </row>
    <row r="119" spans="1:30">
      <c r="A119" t="str">
        <f>'Price Deck'!A113</f>
        <v>03/2028</v>
      </c>
      <c r="B119" s="51">
        <f>'Liquids Type Curve'!A126</f>
        <v>8.6718907987866469</v>
      </c>
      <c r="C119" s="51">
        <f>'Liquids Type Curve'!B126</f>
        <v>104.06268958543976</v>
      </c>
      <c r="D119" s="51">
        <f>'Liquids Type Curve'!C126</f>
        <v>8.9759772750913083</v>
      </c>
      <c r="E119" s="51">
        <f>'Liquids Type Curve'!D126</f>
        <v>273.01930878402732</v>
      </c>
      <c r="F119" s="51">
        <f>'Liquids Type Curve'!E126</f>
        <v>97230.139946279218</v>
      </c>
      <c r="H119" s="51">
        <f t="shared" si="19"/>
        <v>8.6718907987866469</v>
      </c>
      <c r="I119" s="51">
        <f t="shared" si="20"/>
        <v>104.06268958543976</v>
      </c>
      <c r="J119" s="51">
        <f t="shared" si="21"/>
        <v>2.9620725007801321</v>
      </c>
      <c r="K119" s="51">
        <f t="shared" si="22"/>
        <v>90.096371898729018</v>
      </c>
      <c r="L119" s="51">
        <f t="shared" si="23"/>
        <v>32085.946182272142</v>
      </c>
      <c r="N119" s="51">
        <f t="shared" si="24"/>
        <v>14.324202979224939</v>
      </c>
      <c r="O119" s="51">
        <f>(('Price Deck'!Q113/'Propane Royalties'!$B$2))/'Price Deck'!M113</f>
        <v>298.69667700839994</v>
      </c>
      <c r="P119" s="39"/>
      <c r="Q119" s="51">
        <f t="shared" si="25"/>
        <v>0.36026583943495594</v>
      </c>
      <c r="R119" s="51">
        <f t="shared" si="26"/>
        <v>0.1</v>
      </c>
      <c r="S119" s="51">
        <f t="shared" si="27"/>
        <v>0.52540528755696791</v>
      </c>
      <c r="T119" s="51">
        <f t="shared" si="28"/>
        <v>0.38386571147932391</v>
      </c>
      <c r="U119" s="51">
        <f t="shared" si="29"/>
        <v>0.36026583943495594</v>
      </c>
      <c r="W119" s="51">
        <f t="shared" si="30"/>
        <v>-0.24256232597804636</v>
      </c>
      <c r="X119" s="39">
        <f t="shared" si="31"/>
        <v>0.11770351345690958</v>
      </c>
      <c r="Y119" s="39">
        <f t="shared" si="32"/>
        <v>0.11770351345690958</v>
      </c>
      <c r="AA119" s="85">
        <f>'Price Deck'!Q113/'Price Deck'!M113</f>
        <v>47.489057999999993</v>
      </c>
      <c r="AB119" s="72">
        <f t="shared" si="33"/>
        <v>12965.429789964581</v>
      </c>
      <c r="AC119" s="72">
        <f t="shared" si="34"/>
        <v>1526.0766397577124</v>
      </c>
      <c r="AD119" s="85">
        <f t="shared" si="35"/>
        <v>5.5896289773589585</v>
      </c>
    </row>
    <row r="120" spans="1:30">
      <c r="A120" t="str">
        <f>'Price Deck'!A114</f>
        <v>04/2028</v>
      </c>
      <c r="B120" s="51">
        <f>'Liquids Type Curve'!A127</f>
        <v>8.7552241321199809</v>
      </c>
      <c r="C120" s="51">
        <f>'Liquids Type Curve'!B127</f>
        <v>105.06268958543977</v>
      </c>
      <c r="D120" s="51">
        <f>'Liquids Type Curve'!C127</f>
        <v>8.8963196026496991</v>
      </c>
      <c r="E120" s="51">
        <f>'Liquids Type Curve'!D127</f>
        <v>270.59638791392837</v>
      </c>
      <c r="F120" s="51">
        <f>'Liquids Type Curve'!E127</f>
        <v>97500.736334193149</v>
      </c>
      <c r="H120" s="51">
        <f t="shared" si="19"/>
        <v>8.7552241321199809</v>
      </c>
      <c r="I120" s="51">
        <f t="shared" si="20"/>
        <v>105.06268958543977</v>
      </c>
      <c r="J120" s="51">
        <f t="shared" si="21"/>
        <v>2.9357854688744007</v>
      </c>
      <c r="K120" s="51">
        <f t="shared" si="22"/>
        <v>89.296808011596369</v>
      </c>
      <c r="L120" s="51">
        <f t="shared" si="23"/>
        <v>32175.242990283739</v>
      </c>
      <c r="N120" s="51">
        <f t="shared" si="24"/>
        <v>14.197082262010934</v>
      </c>
      <c r="O120" s="51">
        <f>(('Price Deck'!Q114/'Propane Royalties'!$B$2))/'Price Deck'!M114</f>
        <v>298.69667700839994</v>
      </c>
      <c r="P120" s="39"/>
      <c r="Q120" s="51">
        <f t="shared" si="25"/>
        <v>0.36026583943495594</v>
      </c>
      <c r="R120" s="51">
        <f t="shared" si="26"/>
        <v>0.1</v>
      </c>
      <c r="S120" s="51">
        <f t="shared" si="27"/>
        <v>0.52540528755696791</v>
      </c>
      <c r="T120" s="51">
        <f t="shared" si="28"/>
        <v>0.38386571147932391</v>
      </c>
      <c r="U120" s="51">
        <f t="shared" si="29"/>
        <v>0.36026583943495594</v>
      </c>
      <c r="W120" s="51">
        <f t="shared" si="30"/>
        <v>-0.24273393894628525</v>
      </c>
      <c r="X120" s="39">
        <f t="shared" si="31"/>
        <v>0.11753190048867068</v>
      </c>
      <c r="Y120" s="39">
        <f t="shared" si="32"/>
        <v>0.11753190048867068</v>
      </c>
      <c r="AA120" s="85">
        <f>'Price Deck'!Q114/'Price Deck'!M114</f>
        <v>47.489057999999993</v>
      </c>
      <c r="AB120" s="72">
        <f t="shared" si="33"/>
        <v>12850.367560235041</v>
      </c>
      <c r="AC120" s="72">
        <f t="shared" si="34"/>
        <v>1510.3281213323867</v>
      </c>
      <c r="AD120" s="85">
        <f t="shared" si="35"/>
        <v>5.5814792391567094</v>
      </c>
    </row>
    <row r="121" spans="1:30">
      <c r="A121" t="str">
        <f>'Price Deck'!A115</f>
        <v>05/2028</v>
      </c>
      <c r="B121" s="51">
        <f>'Liquids Type Curve'!A128</f>
        <v>8.8385574654533148</v>
      </c>
      <c r="C121" s="51">
        <f>'Liquids Type Curve'!B128</f>
        <v>106.06268958543978</v>
      </c>
      <c r="D121" s="51">
        <f>'Liquids Type Curve'!C128</f>
        <v>8.8181134734519553</v>
      </c>
      <c r="E121" s="51">
        <f>'Liquids Type Curve'!D128</f>
        <v>268.21761815083033</v>
      </c>
      <c r="F121" s="51">
        <f>'Liquids Type Curve'!E128</f>
        <v>97768.953952343974</v>
      </c>
      <c r="H121" s="51">
        <f t="shared" si="19"/>
        <v>8.8385574654533148</v>
      </c>
      <c r="I121" s="51">
        <f t="shared" si="20"/>
        <v>106.06268958543978</v>
      </c>
      <c r="J121" s="51">
        <f t="shared" si="21"/>
        <v>2.9099774462391452</v>
      </c>
      <c r="K121" s="51">
        <f t="shared" si="22"/>
        <v>88.511813989774012</v>
      </c>
      <c r="L121" s="51">
        <f t="shared" si="23"/>
        <v>32263.754804273514</v>
      </c>
      <c r="N121" s="51">
        <f t="shared" si="24"/>
        <v>14.072277972236639</v>
      </c>
      <c r="O121" s="51">
        <f>(('Price Deck'!Q115/'Propane Royalties'!$B$2))/'Price Deck'!M115</f>
        <v>298.69667700839994</v>
      </c>
      <c r="P121" s="39"/>
      <c r="Q121" s="51">
        <f t="shared" si="25"/>
        <v>0.36026583943495594</v>
      </c>
      <c r="R121" s="51">
        <f t="shared" si="26"/>
        <v>0.1</v>
      </c>
      <c r="S121" s="51">
        <f t="shared" si="27"/>
        <v>0.52540528755696791</v>
      </c>
      <c r="T121" s="51">
        <f t="shared" si="28"/>
        <v>0.38386571147932391</v>
      </c>
      <c r="U121" s="51">
        <f t="shared" si="29"/>
        <v>0.36026583943495594</v>
      </c>
      <c r="W121" s="51">
        <f t="shared" si="30"/>
        <v>-0.24290242473748055</v>
      </c>
      <c r="X121" s="39">
        <f t="shared" si="31"/>
        <v>0.11736341469747538</v>
      </c>
      <c r="Y121" s="39">
        <f t="shared" si="32"/>
        <v>0.11736341469747538</v>
      </c>
      <c r="AA121" s="85">
        <f>'Price Deck'!Q115/'Price Deck'!M115</f>
        <v>47.489057999999993</v>
      </c>
      <c r="AB121" s="72">
        <f t="shared" si="33"/>
        <v>12737.402024986632</v>
      </c>
      <c r="AC121" s="72">
        <f t="shared" si="34"/>
        <v>1494.9049960269688</v>
      </c>
      <c r="AD121" s="85">
        <f t="shared" si="35"/>
        <v>5.5734780076464601</v>
      </c>
    </row>
    <row r="122" spans="1:30">
      <c r="A122" t="str">
        <f>'Price Deck'!A116</f>
        <v>06/2028</v>
      </c>
      <c r="B122" s="51">
        <f>'Liquids Type Curve'!A129</f>
        <v>8.9218907987866487</v>
      </c>
      <c r="C122" s="51">
        <f>'Liquids Type Curve'!B129</f>
        <v>107.06268958543978</v>
      </c>
      <c r="D122" s="51">
        <f>'Liquids Type Curve'!C129</f>
        <v>8.7413191220031141</v>
      </c>
      <c r="E122" s="51">
        <f>'Liquids Type Curve'!D129</f>
        <v>265.88178996092807</v>
      </c>
      <c r="F122" s="51">
        <f>'Liquids Type Curve'!E129</f>
        <v>98034.835742304902</v>
      </c>
      <c r="H122" s="51">
        <f t="shared" si="19"/>
        <v>8.9218907987866487</v>
      </c>
      <c r="I122" s="51">
        <f t="shared" si="20"/>
        <v>107.06268958543978</v>
      </c>
      <c r="J122" s="51">
        <f t="shared" si="21"/>
        <v>2.8846353102610278</v>
      </c>
      <c r="K122" s="51">
        <f t="shared" si="22"/>
        <v>87.740990687106262</v>
      </c>
      <c r="L122" s="51">
        <f t="shared" si="23"/>
        <v>32351.495794960618</v>
      </c>
      <c r="N122" s="51">
        <f t="shared" si="24"/>
        <v>13.949726650625816</v>
      </c>
      <c r="O122" s="51">
        <f>(('Price Deck'!Q116/'Propane Royalties'!$B$2))/'Price Deck'!M116</f>
        <v>298.69667700839994</v>
      </c>
      <c r="P122" s="39"/>
      <c r="Q122" s="51">
        <f t="shared" si="25"/>
        <v>0.36026583943495594</v>
      </c>
      <c r="R122" s="51">
        <f t="shared" si="26"/>
        <v>0.1</v>
      </c>
      <c r="S122" s="51">
        <f t="shared" si="27"/>
        <v>0.52540528755696791</v>
      </c>
      <c r="T122" s="51">
        <f t="shared" si="28"/>
        <v>0.38386571147932391</v>
      </c>
      <c r="U122" s="51">
        <f t="shared" si="29"/>
        <v>0.36026583943495594</v>
      </c>
      <c r="W122" s="51">
        <f t="shared" si="30"/>
        <v>-0.24306786902165517</v>
      </c>
      <c r="X122" s="39">
        <f t="shared" si="31"/>
        <v>0.11719797041330077</v>
      </c>
      <c r="Y122" s="39">
        <f t="shared" si="32"/>
        <v>0.11719797041330077</v>
      </c>
      <c r="AA122" s="85">
        <f>'Price Deck'!Q116/'Price Deck'!M116</f>
        <v>47.489057999999993</v>
      </c>
      <c r="AB122" s="72">
        <f t="shared" si="33"/>
        <v>12626.475744598329</v>
      </c>
      <c r="AC122" s="72">
        <f t="shared" si="34"/>
        <v>1479.7973307396946</v>
      </c>
      <c r="AD122" s="85">
        <f t="shared" si="35"/>
        <v>5.5656212144395232</v>
      </c>
    </row>
    <row r="123" spans="1:30">
      <c r="A123" t="str">
        <f>'Price Deck'!A117</f>
        <v>07/2028</v>
      </c>
      <c r="B123" s="51">
        <f>'Liquids Type Curve'!A130</f>
        <v>9.0052241321199826</v>
      </c>
      <c r="C123" s="51">
        <f>'Liquids Type Curve'!B130</f>
        <v>108.06268958543978</v>
      </c>
      <c r="D123" s="51">
        <f>'Liquids Type Curve'!C130</f>
        <v>8.665898230215042</v>
      </c>
      <c r="E123" s="51">
        <f>'Liquids Type Curve'!D130</f>
        <v>263.58773783570751</v>
      </c>
      <c r="F123" s="51">
        <f>'Liquids Type Curve'!E130</f>
        <v>98298.423480140613</v>
      </c>
      <c r="H123" s="51">
        <f t="shared" si="19"/>
        <v>9.0052241321199826</v>
      </c>
      <c r="I123" s="51">
        <f t="shared" si="20"/>
        <v>108.06268958543978</v>
      </c>
      <c r="J123" s="51">
        <f t="shared" si="21"/>
        <v>2.8597464159709638</v>
      </c>
      <c r="K123" s="51">
        <f t="shared" si="22"/>
        <v>86.983953485783488</v>
      </c>
      <c r="L123" s="51">
        <f t="shared" si="23"/>
        <v>32438.479748446403</v>
      </c>
      <c r="N123" s="51">
        <f t="shared" si="24"/>
        <v>13.829367147728622</v>
      </c>
      <c r="O123" s="51">
        <f>(('Price Deck'!Q117/'Propane Royalties'!$B$2))/'Price Deck'!M117</f>
        <v>298.69667700839994</v>
      </c>
      <c r="P123" s="39"/>
      <c r="Q123" s="51">
        <f t="shared" si="25"/>
        <v>0.36026583943495594</v>
      </c>
      <c r="R123" s="51">
        <f t="shared" si="26"/>
        <v>0.1</v>
      </c>
      <c r="S123" s="51">
        <f t="shared" si="27"/>
        <v>0.52540528755696791</v>
      </c>
      <c r="T123" s="51">
        <f t="shared" si="28"/>
        <v>0.38386571147932391</v>
      </c>
      <c r="U123" s="51">
        <f t="shared" si="29"/>
        <v>0.36026583943495594</v>
      </c>
      <c r="W123" s="51">
        <f t="shared" si="30"/>
        <v>-0.24323035435056639</v>
      </c>
      <c r="X123" s="39">
        <f t="shared" si="31"/>
        <v>0.11703548508438955</v>
      </c>
      <c r="Y123" s="39">
        <f t="shared" si="32"/>
        <v>0.11703548508438955</v>
      </c>
      <c r="AA123" s="85">
        <f>'Price Deck'!Q117/'Price Deck'!M117</f>
        <v>47.489057999999993</v>
      </c>
      <c r="AB123" s="72">
        <f t="shared" si="33"/>
        <v>12517.533370168707</v>
      </c>
      <c r="AC123" s="72">
        <f t="shared" si="34"/>
        <v>1464.9955900377281</v>
      </c>
      <c r="AD123" s="85">
        <f t="shared" si="35"/>
        <v>5.5579049392307089</v>
      </c>
    </row>
    <row r="124" spans="1:30">
      <c r="A124" t="str">
        <f>'Price Deck'!A118</f>
        <v>08/2028</v>
      </c>
      <c r="B124" s="51">
        <f>'Liquids Type Curve'!A131</f>
        <v>9.0885574654533166</v>
      </c>
      <c r="C124" s="51">
        <f>'Liquids Type Curve'!B131</f>
        <v>109.0626895854398</v>
      </c>
      <c r="D124" s="51">
        <f>'Liquids Type Curve'!C131</f>
        <v>8.5918138619305733</v>
      </c>
      <c r="E124" s="51">
        <f>'Liquids Type Curve'!D131</f>
        <v>261.33433830038825</v>
      </c>
      <c r="F124" s="51">
        <f>'Liquids Type Curve'!E131</f>
        <v>98559.757818440994</v>
      </c>
      <c r="H124" s="51">
        <f t="shared" si="19"/>
        <v>9.0885574654533166</v>
      </c>
      <c r="I124" s="51">
        <f t="shared" si="20"/>
        <v>109.0626895854398</v>
      </c>
      <c r="J124" s="51">
        <f t="shared" si="21"/>
        <v>2.8352985744370893</v>
      </c>
      <c r="K124" s="51">
        <f t="shared" si="22"/>
        <v>86.240331639128129</v>
      </c>
      <c r="L124" s="51">
        <f t="shared" si="23"/>
        <v>32524.720080085528</v>
      </c>
      <c r="N124" s="51">
        <f t="shared" si="24"/>
        <v>13.711140519432753</v>
      </c>
      <c r="O124" s="51">
        <f>(('Price Deck'!Q118/'Propane Royalties'!$B$2))/'Price Deck'!M118</f>
        <v>298.69667700839994</v>
      </c>
      <c r="P124" s="39"/>
      <c r="Q124" s="51">
        <f t="shared" si="25"/>
        <v>0.36026583943495594</v>
      </c>
      <c r="R124" s="51">
        <f t="shared" si="26"/>
        <v>0.1</v>
      </c>
      <c r="S124" s="51">
        <f t="shared" si="27"/>
        <v>0.52540528755696791</v>
      </c>
      <c r="T124" s="51">
        <f t="shared" si="28"/>
        <v>0.38386571147932391</v>
      </c>
      <c r="U124" s="51">
        <f t="shared" si="29"/>
        <v>0.36026583943495594</v>
      </c>
      <c r="W124" s="51">
        <f t="shared" si="30"/>
        <v>-0.24338996029876581</v>
      </c>
      <c r="X124" s="39">
        <f t="shared" si="31"/>
        <v>0.11687587913619013</v>
      </c>
      <c r="Y124" s="39">
        <f t="shared" si="32"/>
        <v>0.11687587913619013</v>
      </c>
      <c r="AA124" s="85">
        <f>'Price Deck'!Q118/'Price Deck'!M118</f>
        <v>47.489057999999993</v>
      </c>
      <c r="AB124" s="72">
        <f t="shared" si="33"/>
        <v>12410.521548938757</v>
      </c>
      <c r="AC124" s="72">
        <f t="shared" si="34"/>
        <v>1450.4906165708494</v>
      </c>
      <c r="AD124" s="85">
        <f t="shared" si="35"/>
        <v>5.5503254030995226</v>
      </c>
    </row>
    <row r="125" spans="1:30">
      <c r="A125" t="str">
        <f>'Price Deck'!A119</f>
        <v>09/2028</v>
      </c>
      <c r="B125" s="51">
        <f>'Liquids Type Curve'!A132</f>
        <v>9.1718907987866505</v>
      </c>
      <c r="C125" s="51">
        <f>'Liquids Type Curve'!B132</f>
        <v>110.06268958543981</v>
      </c>
      <c r="D125" s="51">
        <f>'Liquids Type Curve'!C132</f>
        <v>8.5190304009777069</v>
      </c>
      <c r="E125" s="51">
        <f>'Liquids Type Curve'!D132</f>
        <v>259.12050802973857</v>
      </c>
      <c r="F125" s="51">
        <f>'Liquids Type Curve'!E132</f>
        <v>98818.878326470731</v>
      </c>
      <c r="H125" s="51">
        <f t="shared" si="19"/>
        <v>9.1718907987866505</v>
      </c>
      <c r="I125" s="51">
        <f t="shared" si="20"/>
        <v>110.06268958543981</v>
      </c>
      <c r="J125" s="51">
        <f t="shared" si="21"/>
        <v>2.8112800323226432</v>
      </c>
      <c r="K125" s="51">
        <f t="shared" si="22"/>
        <v>85.509767649813739</v>
      </c>
      <c r="L125" s="51">
        <f t="shared" si="23"/>
        <v>32610.229847735343</v>
      </c>
      <c r="N125" s="51">
        <f t="shared" si="24"/>
        <v>13.594989928108006</v>
      </c>
      <c r="O125" s="51">
        <f>(('Price Deck'!Q119/'Propane Royalties'!$B$2))/'Price Deck'!M119</f>
        <v>298.69667700839994</v>
      </c>
      <c r="P125" s="39"/>
      <c r="Q125" s="51">
        <f t="shared" si="25"/>
        <v>0.36026583943495594</v>
      </c>
      <c r="R125" s="51">
        <f t="shared" si="26"/>
        <v>0.1</v>
      </c>
      <c r="S125" s="51">
        <f t="shared" si="27"/>
        <v>0.52540528755696791</v>
      </c>
      <c r="T125" s="51">
        <f t="shared" si="28"/>
        <v>0.38386571147932391</v>
      </c>
      <c r="U125" s="51">
        <f t="shared" si="29"/>
        <v>0.36026583943495594</v>
      </c>
      <c r="W125" s="51">
        <f t="shared" si="30"/>
        <v>-0.24354676359705418</v>
      </c>
      <c r="X125" s="39">
        <f t="shared" si="31"/>
        <v>0.11671907583790175</v>
      </c>
      <c r="Y125" s="39">
        <f t="shared" si="32"/>
        <v>0.11671907583790175</v>
      </c>
      <c r="AA125" s="85">
        <f>'Price Deck'!Q119/'Price Deck'!M119</f>
        <v>47.489057999999993</v>
      </c>
      <c r="AB125" s="72">
        <f t="shared" si="33"/>
        <v>12305.388834813719</v>
      </c>
      <c r="AC125" s="72">
        <f t="shared" si="34"/>
        <v>1436.273612625492</v>
      </c>
      <c r="AD125" s="85">
        <f t="shared" si="35"/>
        <v>5.5428789621725141</v>
      </c>
    </row>
    <row r="126" spans="1:30">
      <c r="A126" t="str">
        <f>'Price Deck'!A120</f>
        <v>10/2028</v>
      </c>
      <c r="B126" s="51">
        <f>'Liquids Type Curve'!A133</f>
        <v>9.2552241321199844</v>
      </c>
      <c r="C126" s="51">
        <f>'Liquids Type Curve'!B133</f>
        <v>111.06268958543981</v>
      </c>
      <c r="D126" s="51">
        <f>'Liquids Type Curve'!C133</f>
        <v>8.4475134925335755</v>
      </c>
      <c r="E126" s="51">
        <f>'Liquids Type Curve'!D133</f>
        <v>256.94520206456292</v>
      </c>
      <c r="F126" s="51">
        <f>'Liquids Type Curve'!E133</f>
        <v>99075.8235285353</v>
      </c>
      <c r="H126" s="51">
        <f t="shared" si="19"/>
        <v>9.2552241321199844</v>
      </c>
      <c r="I126" s="51">
        <f t="shared" si="20"/>
        <v>111.06268958543981</v>
      </c>
      <c r="J126" s="51">
        <f t="shared" si="21"/>
        <v>2.78767945253608</v>
      </c>
      <c r="K126" s="51">
        <f t="shared" si="22"/>
        <v>84.791916681305764</v>
      </c>
      <c r="L126" s="51">
        <f t="shared" si="23"/>
        <v>32695.021764416651</v>
      </c>
      <c r="N126" s="51">
        <f t="shared" si="24"/>
        <v>13.480860549032682</v>
      </c>
      <c r="O126" s="51">
        <f>(('Price Deck'!Q120/'Propane Royalties'!$B$2))/'Price Deck'!M120</f>
        <v>298.69667700839994</v>
      </c>
      <c r="P126" s="39"/>
      <c r="Q126" s="51">
        <f t="shared" si="25"/>
        <v>0.36026583943495594</v>
      </c>
      <c r="R126" s="51">
        <f t="shared" si="26"/>
        <v>0.1</v>
      </c>
      <c r="S126" s="51">
        <f t="shared" si="27"/>
        <v>0.52540528755696791</v>
      </c>
      <c r="T126" s="51">
        <f t="shared" si="28"/>
        <v>0.38386571147932391</v>
      </c>
      <c r="U126" s="51">
        <f t="shared" si="29"/>
        <v>0.36026583943495594</v>
      </c>
      <c r="W126" s="51">
        <f t="shared" si="30"/>
        <v>-0.2437008382588059</v>
      </c>
      <c r="X126" s="39">
        <f t="shared" si="31"/>
        <v>0.11656500117615004</v>
      </c>
      <c r="Y126" s="39">
        <f t="shared" si="32"/>
        <v>0.11656500117615004</v>
      </c>
      <c r="AA126" s="85">
        <f>'Price Deck'!Q120/'Price Deck'!M120</f>
        <v>47.489057999999993</v>
      </c>
      <c r="AB126" s="72">
        <f t="shared" si="33"/>
        <v>12202.085603665746</v>
      </c>
      <c r="AC126" s="72">
        <f t="shared" si="34"/>
        <v>1422.3361227427811</v>
      </c>
      <c r="AD126" s="85">
        <f t="shared" si="35"/>
        <v>5.5355621016242562</v>
      </c>
    </row>
    <row r="127" spans="1:30">
      <c r="A127" t="str">
        <f>'Price Deck'!A121</f>
        <v>11/2028</v>
      </c>
      <c r="B127" s="51">
        <f>'Liquids Type Curve'!A134</f>
        <v>9.3385574654533183</v>
      </c>
      <c r="C127" s="51">
        <f>'Liquids Type Curve'!B134</f>
        <v>112.06268958543981</v>
      </c>
      <c r="D127" s="51">
        <f>'Liquids Type Curve'!C134</f>
        <v>8.3772299875931573</v>
      </c>
      <c r="E127" s="51">
        <f>'Liquids Type Curve'!D134</f>
        <v>254.80741212262521</v>
      </c>
      <c r="F127" s="51">
        <f>'Liquids Type Curve'!E134</f>
        <v>99330.630940657924</v>
      </c>
      <c r="H127" s="51">
        <f t="shared" si="19"/>
        <v>9.3385574654533183</v>
      </c>
      <c r="I127" s="51">
        <f t="shared" si="20"/>
        <v>112.06268958543981</v>
      </c>
      <c r="J127" s="51">
        <f t="shared" si="21"/>
        <v>2.7644858959057421</v>
      </c>
      <c r="K127" s="51">
        <f t="shared" si="22"/>
        <v>84.086446000466324</v>
      </c>
      <c r="L127" s="51">
        <f t="shared" si="23"/>
        <v>32779.108210417115</v>
      </c>
      <c r="N127" s="51">
        <f t="shared" si="24"/>
        <v>13.368699481774671</v>
      </c>
      <c r="O127" s="51">
        <f>(('Price Deck'!Q121/'Propane Royalties'!$B$2))/'Price Deck'!M121</f>
        <v>298.69667700839994</v>
      </c>
      <c r="P127" s="39"/>
      <c r="Q127" s="51">
        <f t="shared" si="25"/>
        <v>0.36026583943495594</v>
      </c>
      <c r="R127" s="51">
        <f t="shared" si="26"/>
        <v>0.1</v>
      </c>
      <c r="S127" s="51">
        <f t="shared" si="27"/>
        <v>0.52540528755696791</v>
      </c>
      <c r="T127" s="51">
        <f t="shared" si="28"/>
        <v>0.38386571147932391</v>
      </c>
      <c r="U127" s="51">
        <f t="shared" si="29"/>
        <v>0.36026583943495594</v>
      </c>
      <c r="W127" s="51">
        <f t="shared" si="30"/>
        <v>-0.2438522556996042</v>
      </c>
      <c r="X127" s="39">
        <f t="shared" si="31"/>
        <v>0.11641358373535174</v>
      </c>
      <c r="Y127" s="39">
        <f t="shared" si="32"/>
        <v>0.11641358373535174</v>
      </c>
      <c r="AA127" s="85">
        <f>'Price Deck'!Q121/'Price Deck'!M121</f>
        <v>47.489057999999993</v>
      </c>
      <c r="AB127" s="72">
        <f t="shared" si="33"/>
        <v>12100.56397312125</v>
      </c>
      <c r="AC127" s="72">
        <f t="shared" si="34"/>
        <v>1408.6700173299312</v>
      </c>
      <c r="AD127" s="85">
        <f t="shared" si="35"/>
        <v>5.5283714299959748</v>
      </c>
    </row>
    <row r="128" spans="1:30">
      <c r="A128" t="str">
        <f>'Price Deck'!A122</f>
        <v>12/2028</v>
      </c>
      <c r="B128" s="51">
        <f>'Liquids Type Curve'!A135</f>
        <v>9.4218907987866523</v>
      </c>
      <c r="C128" s="51">
        <f>'Liquids Type Curve'!B135</f>
        <v>113.06268958543983</v>
      </c>
      <c r="D128" s="51">
        <f>'Liquids Type Curve'!C135</f>
        <v>8.3081478903525152</v>
      </c>
      <c r="E128" s="51">
        <f>'Liquids Type Curve'!D135</f>
        <v>252.70616499822233</v>
      </c>
      <c r="F128" s="51">
        <f>'Liquids Type Curve'!E135</f>
        <v>99583.337105656145</v>
      </c>
      <c r="H128" s="51">
        <f t="shared" si="19"/>
        <v>9.4218907987866523</v>
      </c>
      <c r="I128" s="51">
        <f t="shared" si="20"/>
        <v>113.06268958543983</v>
      </c>
      <c r="J128" s="51">
        <f t="shared" si="21"/>
        <v>2.7416888038163303</v>
      </c>
      <c r="K128" s="51">
        <f t="shared" si="22"/>
        <v>83.393034449413378</v>
      </c>
      <c r="L128" s="51">
        <f t="shared" si="23"/>
        <v>32862.501244866529</v>
      </c>
      <c r="N128" s="51">
        <f t="shared" si="24"/>
        <v>13.258455666223629</v>
      </c>
      <c r="O128" s="51">
        <f>(('Price Deck'!Q122/'Propane Royalties'!$B$2))/'Price Deck'!M122</f>
        <v>298.69667700839994</v>
      </c>
      <c r="P128" s="39"/>
      <c r="Q128" s="51">
        <f t="shared" si="25"/>
        <v>0.36026583943495594</v>
      </c>
      <c r="R128" s="51">
        <f t="shared" si="26"/>
        <v>0.1</v>
      </c>
      <c r="S128" s="51">
        <f t="shared" si="27"/>
        <v>0.52540528755696791</v>
      </c>
      <c r="T128" s="51">
        <f t="shared" si="28"/>
        <v>0.38386571147932391</v>
      </c>
      <c r="U128" s="51">
        <f t="shared" si="29"/>
        <v>0.36026583943495594</v>
      </c>
      <c r="W128" s="51">
        <f t="shared" si="30"/>
        <v>-0.24400108485059813</v>
      </c>
      <c r="X128" s="39">
        <f t="shared" si="31"/>
        <v>0.11626475458435781</v>
      </c>
      <c r="Y128" s="39">
        <f t="shared" si="32"/>
        <v>0.11626475458435781</v>
      </c>
      <c r="AA128" s="85">
        <f>'Price Deck'!Q122/'Price Deck'!M122</f>
        <v>47.489057999999993</v>
      </c>
      <c r="AB128" s="72">
        <f t="shared" si="33"/>
        <v>12000.777726558148</v>
      </c>
      <c r="AC128" s="72">
        <f t="shared" si="34"/>
        <v>1395.2674771997106</v>
      </c>
      <c r="AD128" s="85">
        <f t="shared" si="35"/>
        <v>5.5213036738123327</v>
      </c>
    </row>
    <row r="129" spans="1:30">
      <c r="A129" t="str">
        <f>'Price Deck'!A123</f>
        <v>01/2029</v>
      </c>
      <c r="B129" s="51">
        <f>'Liquids Type Curve'!A136</f>
        <v>9.5052241321199862</v>
      </c>
      <c r="C129" s="51">
        <f>'Liquids Type Curve'!B136</f>
        <v>114.06268958543984</v>
      </c>
      <c r="D129" s="51">
        <f>'Liquids Type Curve'!C136</f>
        <v>8.2402363083293348</v>
      </c>
      <c r="E129" s="51">
        <f>'Liquids Type Curve'!D136</f>
        <v>250.64052104501727</v>
      </c>
      <c r="F129" s="51">
        <f>'Liquids Type Curve'!E136</f>
        <v>99833.977626701162</v>
      </c>
      <c r="H129" s="51">
        <f t="shared" si="19"/>
        <v>9.5052241321199862</v>
      </c>
      <c r="I129" s="51">
        <f t="shared" si="20"/>
        <v>114.06268958543984</v>
      </c>
      <c r="J129" s="51">
        <f t="shared" si="21"/>
        <v>2.7192779817486805</v>
      </c>
      <c r="K129" s="51">
        <f t="shared" si="22"/>
        <v>82.711371944855699</v>
      </c>
      <c r="L129" s="51">
        <f t="shared" si="23"/>
        <v>32945.212616811383</v>
      </c>
      <c r="N129" s="51">
        <f t="shared" si="24"/>
        <v>13.150079802991462</v>
      </c>
      <c r="O129" s="51">
        <f>(('Price Deck'!Q123/'Propane Royalties'!$B$2))/'Price Deck'!M123</f>
        <v>298.69667700839994</v>
      </c>
      <c r="P129" s="39"/>
      <c r="Q129" s="51">
        <f t="shared" si="25"/>
        <v>0.36026583943495594</v>
      </c>
      <c r="R129" s="51">
        <f t="shared" si="26"/>
        <v>0.1</v>
      </c>
      <c r="S129" s="51">
        <f t="shared" si="27"/>
        <v>0.52540528755696791</v>
      </c>
      <c r="T129" s="51">
        <f t="shared" si="28"/>
        <v>0.38386571147932391</v>
      </c>
      <c r="U129" s="51">
        <f t="shared" si="29"/>
        <v>0.36026583943495594</v>
      </c>
      <c r="W129" s="51">
        <f t="shared" si="30"/>
        <v>-0.24414739226596155</v>
      </c>
      <c r="X129" s="39">
        <f t="shared" si="31"/>
        <v>0.11611844716899439</v>
      </c>
      <c r="Y129" s="39">
        <f t="shared" si="32"/>
        <v>0.11611844716899439</v>
      </c>
      <c r="AA129" s="85">
        <f>'Price Deck'!Q123/'Price Deck'!M123</f>
        <v>47.489057999999993</v>
      </c>
      <c r="AB129" s="72">
        <f t="shared" si="33"/>
        <v>11902.682241057044</v>
      </c>
      <c r="AC129" s="72">
        <f t="shared" si="34"/>
        <v>1382.12097897751</v>
      </c>
      <c r="AD129" s="85">
        <f t="shared" si="35"/>
        <v>5.5143556724783096</v>
      </c>
    </row>
    <row r="130" spans="1:30">
      <c r="A130" t="str">
        <f>'Price Deck'!A124</f>
        <v>02/2029</v>
      </c>
      <c r="B130" s="51">
        <f>'Liquids Type Curve'!A137</f>
        <v>9.5885574654533201</v>
      </c>
      <c r="C130" s="51">
        <f>'Liquids Type Curve'!B137</f>
        <v>115.06268958543984</v>
      </c>
      <c r="D130" s="51">
        <f>'Liquids Type Curve'!C137</f>
        <v>8.1734654050556976</v>
      </c>
      <c r="E130" s="51">
        <f>'Liquids Type Curve'!D137</f>
        <v>248.60957273711082</v>
      </c>
      <c r="F130" s="51">
        <f>'Liquids Type Curve'!E137</f>
        <v>100082.58719943828</v>
      </c>
      <c r="H130" s="51">
        <f t="shared" si="19"/>
        <v>9.5885574654533201</v>
      </c>
      <c r="I130" s="51">
        <f t="shared" si="20"/>
        <v>115.06268958543984</v>
      </c>
      <c r="J130" s="51">
        <f t="shared" si="21"/>
        <v>2.6972435836683801</v>
      </c>
      <c r="K130" s="51">
        <f t="shared" si="22"/>
        <v>82.041159003246577</v>
      </c>
      <c r="L130" s="51">
        <f t="shared" si="23"/>
        <v>33027.253775814635</v>
      </c>
      <c r="N130" s="51">
        <f t="shared" si="24"/>
        <v>13.043524277917673</v>
      </c>
      <c r="O130" s="51">
        <f>(('Price Deck'!Q124/'Propane Royalties'!$B$2))/'Price Deck'!M124</f>
        <v>298.69667700839994</v>
      </c>
      <c r="P130" s="39"/>
      <c r="Q130" s="51">
        <f t="shared" si="25"/>
        <v>0.36026583943495594</v>
      </c>
      <c r="R130" s="51">
        <f t="shared" si="26"/>
        <v>0.1</v>
      </c>
      <c r="S130" s="51">
        <f t="shared" si="27"/>
        <v>0.52540528755696791</v>
      </c>
      <c r="T130" s="51">
        <f t="shared" si="28"/>
        <v>0.38386571147932391</v>
      </c>
      <c r="U130" s="51">
        <f t="shared" si="29"/>
        <v>0.36026583943495594</v>
      </c>
      <c r="W130" s="51">
        <f t="shared" si="30"/>
        <v>-0.24429124222481116</v>
      </c>
      <c r="X130" s="39">
        <f t="shared" si="31"/>
        <v>0.11597459721014478</v>
      </c>
      <c r="Y130" s="39">
        <f t="shared" si="32"/>
        <v>0.11597459721014478</v>
      </c>
      <c r="AA130" s="85">
        <f>'Price Deck'!Q124/'Price Deck'!M124</f>
        <v>47.489057999999993</v>
      </c>
      <c r="AB130" s="72">
        <f t="shared" si="33"/>
        <v>11806.234419067872</v>
      </c>
      <c r="AC130" s="72">
        <f t="shared" si="34"/>
        <v>1369.2232813199441</v>
      </c>
      <c r="AD130" s="85">
        <f t="shared" si="35"/>
        <v>5.5075243734392023</v>
      </c>
    </row>
    <row r="131" spans="1:30">
      <c r="A131" t="str">
        <f>'Price Deck'!A125</f>
        <v>03/2029</v>
      </c>
      <c r="B131" s="51">
        <f>'Liquids Type Curve'!A138</f>
        <v>9.671890798786654</v>
      </c>
      <c r="C131" s="51">
        <f>'Liquids Type Curve'!B138</f>
        <v>116.06268958543984</v>
      </c>
      <c r="D131" s="51">
        <f>'Liquids Type Curve'!C138</f>
        <v>8.1078063551895418</v>
      </c>
      <c r="E131" s="51">
        <f>'Liquids Type Curve'!D138</f>
        <v>246.61244330368191</v>
      </c>
      <c r="F131" s="51">
        <f>'Liquids Type Curve'!E138</f>
        <v>100329.19964274195</v>
      </c>
      <c r="H131" s="51">
        <f t="shared" si="19"/>
        <v>9.671890798786654</v>
      </c>
      <c r="I131" s="51">
        <f t="shared" si="20"/>
        <v>116.06268958543984</v>
      </c>
      <c r="J131" s="51">
        <f t="shared" si="21"/>
        <v>2.6755760972125491</v>
      </c>
      <c r="K131" s="51">
        <f t="shared" si="22"/>
        <v>81.382106290215035</v>
      </c>
      <c r="L131" s="51">
        <f t="shared" si="23"/>
        <v>33108.635882104849</v>
      </c>
      <c r="N131" s="51">
        <f t="shared" si="24"/>
        <v>12.938743090434519</v>
      </c>
      <c r="O131" s="51">
        <f>(('Price Deck'!Q125/'Propane Royalties'!$B$2))/'Price Deck'!M125</f>
        <v>298.69667700839994</v>
      </c>
      <c r="P131" s="39"/>
      <c r="Q131" s="51">
        <f t="shared" si="25"/>
        <v>0.36026583943495594</v>
      </c>
      <c r="R131" s="51">
        <f t="shared" si="26"/>
        <v>0.1</v>
      </c>
      <c r="S131" s="51">
        <f t="shared" si="27"/>
        <v>0.52540528755696791</v>
      </c>
      <c r="T131" s="51">
        <f t="shared" si="28"/>
        <v>0.38386571147932391</v>
      </c>
      <c r="U131" s="51">
        <f t="shared" si="29"/>
        <v>0.36026583943495594</v>
      </c>
      <c r="W131" s="51">
        <f t="shared" si="30"/>
        <v>-0.24443269682791341</v>
      </c>
      <c r="X131" s="39">
        <f t="shared" si="31"/>
        <v>0.11583314260704253</v>
      </c>
      <c r="Y131" s="39">
        <f t="shared" si="32"/>
        <v>0.11583314260704253</v>
      </c>
      <c r="AA131" s="85">
        <f>'Price Deck'!Q125/'Price Deck'!M125</f>
        <v>47.489057999999993</v>
      </c>
      <c r="AB131" s="72">
        <f t="shared" si="33"/>
        <v>11711.39262357026</v>
      </c>
      <c r="AC131" s="72">
        <f t="shared" si="34"/>
        <v>1356.5674118930799</v>
      </c>
      <c r="AD131" s="85">
        <f t="shared" si="35"/>
        <v>5.5008068275881135</v>
      </c>
    </row>
    <row r="132" spans="1:30">
      <c r="A132" t="str">
        <f>'Price Deck'!A126</f>
        <v>04/2029</v>
      </c>
      <c r="B132" s="51">
        <f>'Liquids Type Curve'!A139</f>
        <v>9.755224132119988</v>
      </c>
      <c r="C132" s="51">
        <f>'Liquids Type Curve'!B139</f>
        <v>117.06268958543986</v>
      </c>
      <c r="D132" s="51">
        <f>'Liquids Type Curve'!C139</f>
        <v>8.0432313019014909</v>
      </c>
      <c r="E132" s="51">
        <f>'Liquids Type Curve'!D139</f>
        <v>244.64828543283701</v>
      </c>
      <c r="F132" s="51">
        <f>'Liquids Type Curve'!E139</f>
        <v>100573.84792817479</v>
      </c>
      <c r="H132" s="51">
        <f t="shared" si="19"/>
        <v>9.755224132119988</v>
      </c>
      <c r="I132" s="51">
        <f t="shared" si="20"/>
        <v>117.06268958543986</v>
      </c>
      <c r="J132" s="51">
        <f t="shared" si="21"/>
        <v>2.6542663296274922</v>
      </c>
      <c r="K132" s="51">
        <f t="shared" si="22"/>
        <v>80.733934192836216</v>
      </c>
      <c r="L132" s="51">
        <f t="shared" si="23"/>
        <v>33189.36981629768</v>
      </c>
      <c r="N132" s="51">
        <f t="shared" si="24"/>
        <v>12.835691785563327</v>
      </c>
      <c r="O132" s="51">
        <f>(('Price Deck'!Q126/'Propane Royalties'!$B$2))/'Price Deck'!M126</f>
        <v>298.69667700839994</v>
      </c>
      <c r="P132" s="39"/>
      <c r="Q132" s="51">
        <f t="shared" si="25"/>
        <v>0.36026583943495594</v>
      </c>
      <c r="R132" s="51">
        <f t="shared" si="26"/>
        <v>0.1</v>
      </c>
      <c r="S132" s="51">
        <f t="shared" si="27"/>
        <v>0.52540528755696791</v>
      </c>
      <c r="T132" s="51">
        <f t="shared" si="28"/>
        <v>0.38386571147932391</v>
      </c>
      <c r="U132" s="51">
        <f t="shared" si="29"/>
        <v>0.36026583943495594</v>
      </c>
      <c r="W132" s="51">
        <f t="shared" si="30"/>
        <v>-0.24457181608948955</v>
      </c>
      <c r="X132" s="39">
        <f t="shared" si="31"/>
        <v>0.11569402334546638</v>
      </c>
      <c r="Y132" s="39">
        <f t="shared" si="32"/>
        <v>0.11569402334546638</v>
      </c>
      <c r="AA132" s="85">
        <f>'Price Deck'!Q126/'Price Deck'!M126</f>
        <v>47.489057999999993</v>
      </c>
      <c r="AB132" s="72">
        <f t="shared" si="33"/>
        <v>11618.11661652055</v>
      </c>
      <c r="AC132" s="72">
        <f t="shared" si="34"/>
        <v>1344.1466550620794</v>
      </c>
      <c r="AD132" s="85">
        <f t="shared" si="35"/>
        <v>5.4942001849062061</v>
      </c>
    </row>
    <row r="133" spans="1:30">
      <c r="A133" t="str">
        <f>'Price Deck'!A127</f>
        <v>05/2029</v>
      </c>
      <c r="B133" s="51">
        <f>'Liquids Type Curve'!A140</f>
        <v>9.8385574654533219</v>
      </c>
      <c r="C133" s="51">
        <f>'Liquids Type Curve'!B140</f>
        <v>118.06268958543987</v>
      </c>
      <c r="D133" s="51">
        <f>'Liquids Type Curve'!C140</f>
        <v>7.9797133164033838</v>
      </c>
      <c r="E133" s="51">
        <f>'Liquids Type Curve'!D140</f>
        <v>242.71628004060292</v>
      </c>
      <c r="F133" s="51">
        <f>'Liquids Type Curve'!E140</f>
        <v>100816.56420821539</v>
      </c>
      <c r="H133" s="51">
        <f t="shared" si="19"/>
        <v>9.8385574654533219</v>
      </c>
      <c r="I133" s="51">
        <f t="shared" si="20"/>
        <v>118.06268958543987</v>
      </c>
      <c r="J133" s="51">
        <f t="shared" si="21"/>
        <v>2.6333053944131168</v>
      </c>
      <c r="K133" s="51">
        <f t="shared" si="22"/>
        <v>80.096372413398967</v>
      </c>
      <c r="L133" s="51">
        <f t="shared" si="23"/>
        <v>33269.466188711078</v>
      </c>
      <c r="N133" s="51">
        <f t="shared" si="24"/>
        <v>12.734327389328591</v>
      </c>
      <c r="O133" s="51">
        <f>(('Price Deck'!Q127/'Propane Royalties'!$B$2))/'Price Deck'!M127</f>
        <v>298.69667700839994</v>
      </c>
      <c r="P133" s="39"/>
      <c r="Q133" s="51">
        <f t="shared" si="25"/>
        <v>0.36026583943495594</v>
      </c>
      <c r="R133" s="51">
        <f t="shared" si="26"/>
        <v>0.1</v>
      </c>
      <c r="S133" s="51">
        <f t="shared" si="27"/>
        <v>0.52540528755696791</v>
      </c>
      <c r="T133" s="51">
        <f t="shared" si="28"/>
        <v>0.38386571147932391</v>
      </c>
      <c r="U133" s="51">
        <f t="shared" si="29"/>
        <v>0.36026583943495594</v>
      </c>
      <c r="W133" s="51">
        <f t="shared" si="30"/>
        <v>-0.24470865802440642</v>
      </c>
      <c r="X133" s="39">
        <f t="shared" si="31"/>
        <v>0.11555718141054952</v>
      </c>
      <c r="Y133" s="39">
        <f t="shared" si="32"/>
        <v>0.11555718141054952</v>
      </c>
      <c r="AA133" s="85">
        <f>'Price Deck'!Q127/'Price Deck'!M127</f>
        <v>47.489057999999993</v>
      </c>
      <c r="AB133" s="72">
        <f t="shared" si="33"/>
        <v>11526.367500392433</v>
      </c>
      <c r="AC133" s="72">
        <f t="shared" si="34"/>
        <v>1331.9545402475105</v>
      </c>
      <c r="AD133" s="85">
        <f t="shared" si="35"/>
        <v>5.4877016903221065</v>
      </c>
    </row>
    <row r="134" spans="1:30">
      <c r="A134" t="str">
        <f>'Price Deck'!A128</f>
        <v>06/2029</v>
      </c>
      <c r="B134" s="51">
        <f>'Liquids Type Curve'!A141</f>
        <v>9.9218907987866558</v>
      </c>
      <c r="C134" s="51">
        <f>'Liquids Type Curve'!B141</f>
        <v>119.06268958543987</v>
      </c>
      <c r="D134" s="51">
        <f>'Liquids Type Curve'!C141</f>
        <v>7.9172263594938022</v>
      </c>
      <c r="E134" s="51">
        <f>'Liquids Type Curve'!D141</f>
        <v>240.81563510126983</v>
      </c>
      <c r="F134" s="51">
        <f>'Liquids Type Curve'!E141</f>
        <v>101057.37984331667</v>
      </c>
      <c r="H134" s="51">
        <f t="shared" si="19"/>
        <v>9.9218907987866558</v>
      </c>
      <c r="I134" s="51">
        <f t="shared" si="20"/>
        <v>119.06268958543987</v>
      </c>
      <c r="J134" s="51">
        <f t="shared" si="21"/>
        <v>2.6126846986329548</v>
      </c>
      <c r="K134" s="51">
        <f t="shared" si="22"/>
        <v>79.469159583419042</v>
      </c>
      <c r="L134" s="51">
        <f t="shared" si="23"/>
        <v>33348.935348294501</v>
      </c>
      <c r="N134" s="51">
        <f t="shared" si="24"/>
        <v>12.634608347390861</v>
      </c>
      <c r="O134" s="51">
        <f>(('Price Deck'!Q128/'Propane Royalties'!$B$2))/'Price Deck'!M128</f>
        <v>298.69667700839994</v>
      </c>
      <c r="P134" s="39"/>
      <c r="Q134" s="51">
        <f t="shared" si="25"/>
        <v>0.36026583943495594</v>
      </c>
      <c r="R134" s="51">
        <f t="shared" si="26"/>
        <v>0.1</v>
      </c>
      <c r="S134" s="51">
        <f t="shared" si="27"/>
        <v>0.52540528755696791</v>
      </c>
      <c r="T134" s="51">
        <f t="shared" si="28"/>
        <v>0.38386571147932391</v>
      </c>
      <c r="U134" s="51">
        <f t="shared" si="29"/>
        <v>0.36026583943495594</v>
      </c>
      <c r="W134" s="51">
        <f t="shared" si="30"/>
        <v>-0.24484327873102235</v>
      </c>
      <c r="X134" s="39">
        <f t="shared" si="31"/>
        <v>0.11542256070393359</v>
      </c>
      <c r="Y134" s="39">
        <f t="shared" si="32"/>
        <v>0.11542256070393359</v>
      </c>
      <c r="AA134" s="85">
        <f>'Price Deck'!Q128/'Price Deck'!M128</f>
        <v>47.489057999999993</v>
      </c>
      <c r="AB134" s="72">
        <f t="shared" si="33"/>
        <v>11436.107662631037</v>
      </c>
      <c r="AC134" s="72">
        <f t="shared" si="34"/>
        <v>1319.9848309067509</v>
      </c>
      <c r="AD134" s="85">
        <f t="shared" si="35"/>
        <v>5.481308679777622</v>
      </c>
    </row>
    <row r="135" spans="1:30">
      <c r="A135" t="str">
        <f>'Price Deck'!A129</f>
        <v>07/2029</v>
      </c>
      <c r="B135" s="51">
        <f>'Liquids Type Curve'!A142</f>
        <v>10.00522413211999</v>
      </c>
      <c r="C135" s="51">
        <f>'Liquids Type Curve'!B142</f>
        <v>120.06268958543987</v>
      </c>
      <c r="D135" s="51">
        <f>'Liquids Type Curve'!C142</f>
        <v>7.8557452450041731</v>
      </c>
      <c r="E135" s="51">
        <f>'Liquids Type Curve'!D142</f>
        <v>238.94558453554362</v>
      </c>
      <c r="F135" s="51">
        <f>'Liquids Type Curve'!E142</f>
        <v>101296.32542785221</v>
      </c>
      <c r="H135" s="51">
        <f t="shared" si="19"/>
        <v>10.00522413211999</v>
      </c>
      <c r="I135" s="51">
        <f t="shared" si="20"/>
        <v>120.06268958543987</v>
      </c>
      <c r="J135" s="51">
        <f t="shared" si="21"/>
        <v>2.5923959308513771</v>
      </c>
      <c r="K135" s="51">
        <f t="shared" si="22"/>
        <v>78.852042896729401</v>
      </c>
      <c r="L135" s="51">
        <f t="shared" si="23"/>
        <v>33427.787391191232</v>
      </c>
      <c r="N135" s="51">
        <f t="shared" si="24"/>
        <v>12.536494466712679</v>
      </c>
      <c r="O135" s="51">
        <f>(('Price Deck'!Q129/'Propane Royalties'!$B$2))/'Price Deck'!M129</f>
        <v>298.69667700839994</v>
      </c>
      <c r="P135" s="39"/>
      <c r="Q135" s="51">
        <f t="shared" si="25"/>
        <v>0.36026583943495594</v>
      </c>
      <c r="R135" s="51">
        <f t="shared" si="26"/>
        <v>0.1</v>
      </c>
      <c r="S135" s="51">
        <f t="shared" si="27"/>
        <v>0.52540528755696791</v>
      </c>
      <c r="T135" s="51">
        <f t="shared" si="28"/>
        <v>0.38386571147932391</v>
      </c>
      <c r="U135" s="51">
        <f t="shared" si="29"/>
        <v>0.36026583943495594</v>
      </c>
      <c r="W135" s="51">
        <f t="shared" si="30"/>
        <v>-0.24497573246993792</v>
      </c>
      <c r="X135" s="39">
        <f t="shared" si="31"/>
        <v>0.11529010696501801</v>
      </c>
      <c r="Y135" s="39">
        <f t="shared" si="32"/>
        <v>0.11529010696501801</v>
      </c>
      <c r="AA135" s="85">
        <f>'Price Deck'!Q129/'Price Deck'!M129</f>
        <v>47.489057999999993</v>
      </c>
      <c r="AB135" s="72">
        <f t="shared" si="33"/>
        <v>11347.300722852333</v>
      </c>
      <c r="AC135" s="72">
        <f t="shared" si="34"/>
        <v>1308.2315141018717</v>
      </c>
      <c r="AD135" s="85">
        <f t="shared" si="35"/>
        <v>5.475018576487944</v>
      </c>
    </row>
    <row r="136" spans="1:30">
      <c r="A136" t="str">
        <f>'Price Deck'!A130</f>
        <v>08/2029</v>
      </c>
      <c r="B136" s="51">
        <f>'Liquids Type Curve'!A143</f>
        <v>10.088557465453324</v>
      </c>
      <c r="C136" s="51">
        <f>'Liquids Type Curve'!B143</f>
        <v>121.06268958543988</v>
      </c>
      <c r="D136" s="51">
        <f>'Liquids Type Curve'!C143</f>
        <v>7.7952456050364054</v>
      </c>
      <c r="E136" s="51">
        <f>'Liquids Type Curve'!D143</f>
        <v>237.10538715319066</v>
      </c>
      <c r="F136" s="51">
        <f>'Liquids Type Curve'!E143</f>
        <v>101533.4308150054</v>
      </c>
      <c r="H136" s="51">
        <f t="shared" si="19"/>
        <v>10.088557465453324</v>
      </c>
      <c r="I136" s="51">
        <f t="shared" si="20"/>
        <v>121.06268958543988</v>
      </c>
      <c r="J136" s="51">
        <f t="shared" si="21"/>
        <v>2.572431049662014</v>
      </c>
      <c r="K136" s="51">
        <f t="shared" si="22"/>
        <v>78.244777760552921</v>
      </c>
      <c r="L136" s="51">
        <f t="shared" si="23"/>
        <v>33506.03216895178</v>
      </c>
      <c r="N136" s="51">
        <f t="shared" si="24"/>
        <v>12.439946860083456</v>
      </c>
      <c r="O136" s="51">
        <f>(('Price Deck'!Q130/'Propane Royalties'!$B$2))/'Price Deck'!M130</f>
        <v>298.69667700839994</v>
      </c>
      <c r="P136" s="39"/>
      <c r="Q136" s="51">
        <f t="shared" si="25"/>
        <v>0.36026583943495594</v>
      </c>
      <c r="R136" s="51">
        <f t="shared" si="26"/>
        <v>0.1</v>
      </c>
      <c r="S136" s="51">
        <f t="shared" si="27"/>
        <v>0.52540528755696791</v>
      </c>
      <c r="T136" s="51">
        <f t="shared" si="28"/>
        <v>0.38386571147932391</v>
      </c>
      <c r="U136" s="51">
        <f t="shared" si="29"/>
        <v>0.36026583943495594</v>
      </c>
      <c r="W136" s="51">
        <f t="shared" si="30"/>
        <v>-0.24510607173888732</v>
      </c>
      <c r="X136" s="39">
        <f t="shared" si="31"/>
        <v>0.11515976769606862</v>
      </c>
      <c r="Y136" s="39">
        <f t="shared" si="32"/>
        <v>0.11515976769606862</v>
      </c>
      <c r="AA136" s="85">
        <f>'Price Deck'!Q130/'Price Deck'!M130</f>
        <v>47.489057999999993</v>
      </c>
      <c r="AB136" s="72">
        <f t="shared" si="33"/>
        <v>11259.911482630325</v>
      </c>
      <c r="AC136" s="72">
        <f t="shared" si="34"/>
        <v>1296.6887906180038</v>
      </c>
      <c r="AD136" s="85">
        <f t="shared" si="35"/>
        <v>5.4688288873851283</v>
      </c>
    </row>
    <row r="137" spans="1:30">
      <c r="A137" t="str">
        <f>'Price Deck'!A131</f>
        <v>09/2029</v>
      </c>
      <c r="B137" s="51">
        <f>'Liquids Type Curve'!A144</f>
        <v>10.171890798786658</v>
      </c>
      <c r="C137" s="51">
        <f>'Liquids Type Curve'!B144</f>
        <v>122.0626895854399</v>
      </c>
      <c r="D137" s="51">
        <f>'Liquids Type Curve'!C144</f>
        <v>7.7357038568905256</v>
      </c>
      <c r="E137" s="51">
        <f>'Liquids Type Curve'!D144</f>
        <v>235.29432564708682</v>
      </c>
      <c r="F137" s="51">
        <f>'Liquids Type Curve'!E144</f>
        <v>101768.72514065249</v>
      </c>
      <c r="H137" s="51">
        <f t="shared" si="19"/>
        <v>10.171890798786658</v>
      </c>
      <c r="I137" s="51">
        <f t="shared" si="20"/>
        <v>122.0626895854399</v>
      </c>
      <c r="J137" s="51">
        <f t="shared" si="21"/>
        <v>2.5527822727738734</v>
      </c>
      <c r="K137" s="51">
        <f t="shared" si="22"/>
        <v>77.647127463538652</v>
      </c>
      <c r="L137" s="51">
        <f t="shared" si="23"/>
        <v>33583.679296415321</v>
      </c>
      <c r="N137" s="51">
        <f t="shared" si="24"/>
        <v>12.344927893341387</v>
      </c>
      <c r="O137" s="51">
        <f>(('Price Deck'!Q131/'Propane Royalties'!$B$2))/'Price Deck'!M131</f>
        <v>298.69667700839994</v>
      </c>
      <c r="P137" s="39"/>
      <c r="Q137" s="51">
        <f t="shared" si="25"/>
        <v>0.36026583943495594</v>
      </c>
      <c r="R137" s="51">
        <f t="shared" si="26"/>
        <v>0.1</v>
      </c>
      <c r="S137" s="51">
        <f t="shared" si="27"/>
        <v>0.52540528755696791</v>
      </c>
      <c r="T137" s="51">
        <f t="shared" si="28"/>
        <v>0.38386571147932391</v>
      </c>
      <c r="U137" s="51">
        <f t="shared" si="29"/>
        <v>0.36026583943495594</v>
      </c>
      <c r="W137" s="51">
        <f t="shared" si="30"/>
        <v>-0.24523434734398916</v>
      </c>
      <c r="X137" s="39">
        <f t="shared" si="31"/>
        <v>0.11503149209096677</v>
      </c>
      <c r="Y137" s="39">
        <f t="shared" si="32"/>
        <v>0.11503149209096677</v>
      </c>
      <c r="AA137" s="85">
        <f>'Price Deck'!Q131/'Price Deck'!M131</f>
        <v>47.489057999999993</v>
      </c>
      <c r="AB137" s="72">
        <f t="shared" si="33"/>
        <v>11173.905877725392</v>
      </c>
      <c r="AC137" s="72">
        <f t="shared" si="34"/>
        <v>1285.3510655987757</v>
      </c>
      <c r="AD137" s="85">
        <f t="shared" si="35"/>
        <v>5.4627371997344616</v>
      </c>
    </row>
    <row r="138" spans="1:30">
      <c r="A138" t="str">
        <f>'Price Deck'!A132</f>
        <v>10/2029</v>
      </c>
      <c r="B138" s="51">
        <f>'Liquids Type Curve'!A145</f>
        <v>10.255224132119992</v>
      </c>
      <c r="C138" s="51">
        <f>'Liquids Type Curve'!B145</f>
        <v>123.0626895854399</v>
      </c>
      <c r="D138" s="51">
        <f>'Liquids Type Curve'!C145</f>
        <v>7.6770971715868761</v>
      </c>
      <c r="E138" s="51">
        <f>'Liquids Type Curve'!D145</f>
        <v>233.5117056357675</v>
      </c>
      <c r="F138" s="51">
        <f>'Liquids Type Curve'!E145</f>
        <v>102002.23684628826</v>
      </c>
      <c r="H138" s="51">
        <f t="shared" si="19"/>
        <v>10.255224132119992</v>
      </c>
      <c r="I138" s="51">
        <f t="shared" si="20"/>
        <v>123.0626895854399</v>
      </c>
      <c r="J138" s="51">
        <f t="shared" si="21"/>
        <v>2.5334420666236692</v>
      </c>
      <c r="K138" s="51">
        <f t="shared" si="22"/>
        <v>77.058862859803284</v>
      </c>
      <c r="L138" s="51">
        <f t="shared" si="23"/>
        <v>33660.738159275126</v>
      </c>
      <c r="N138" s="51">
        <f t="shared" si="24"/>
        <v>12.251401135139954</v>
      </c>
      <c r="O138" s="51">
        <f>(('Price Deck'!Q132/'Propane Royalties'!$B$2))/'Price Deck'!M132</f>
        <v>298.69667700839994</v>
      </c>
      <c r="P138" s="39"/>
      <c r="Q138" s="51">
        <f t="shared" si="25"/>
        <v>0.36026583943495594</v>
      </c>
      <c r="R138" s="51">
        <f t="shared" si="26"/>
        <v>0.1</v>
      </c>
      <c r="S138" s="51">
        <f t="shared" si="27"/>
        <v>0.52540528755696791</v>
      </c>
      <c r="T138" s="51">
        <f t="shared" si="28"/>
        <v>0.38386571147932391</v>
      </c>
      <c r="U138" s="51">
        <f t="shared" si="29"/>
        <v>0.36026583943495594</v>
      </c>
      <c r="W138" s="51">
        <f t="shared" si="30"/>
        <v>-0.24536060846756108</v>
      </c>
      <c r="X138" s="39">
        <f t="shared" si="31"/>
        <v>0.11490523096739486</v>
      </c>
      <c r="Y138" s="39">
        <f t="shared" si="32"/>
        <v>0.11490523096739486</v>
      </c>
      <c r="AA138" s="85">
        <f>'Price Deck'!Q132/'Price Deck'!M132</f>
        <v>47.489057999999993</v>
      </c>
      <c r="AB138" s="72">
        <f t="shared" si="33"/>
        <v>11089.250932615889</v>
      </c>
      <c r="AC138" s="72">
        <f t="shared" si="34"/>
        <v>1274.2129396676276</v>
      </c>
      <c r="AD138" s="85">
        <f t="shared" si="35"/>
        <v>5.4567411779140098</v>
      </c>
    </row>
    <row r="139" spans="1:30">
      <c r="A139" t="str">
        <f>'Price Deck'!A133</f>
        <v>11/2029</v>
      </c>
      <c r="B139" s="51">
        <f>'Liquids Type Curve'!A146</f>
        <v>10.338557465453325</v>
      </c>
      <c r="C139" s="51">
        <f>'Liquids Type Curve'!B146</f>
        <v>124.0626895854399</v>
      </c>
      <c r="D139" s="51">
        <f>'Liquids Type Curve'!C146</f>
        <v>7.6194034438939058</v>
      </c>
      <c r="E139" s="51">
        <f>'Liquids Type Curve'!D146</f>
        <v>231.75685475177298</v>
      </c>
      <c r="F139" s="51">
        <f>'Liquids Type Curve'!E146</f>
        <v>102233.99370104003</v>
      </c>
      <c r="H139" s="51">
        <f t="shared" si="19"/>
        <v>10.338557465453325</v>
      </c>
      <c r="I139" s="51">
        <f t="shared" si="20"/>
        <v>124.0626895854399</v>
      </c>
      <c r="J139" s="51">
        <f t="shared" si="21"/>
        <v>2.5144031364849888</v>
      </c>
      <c r="K139" s="51">
        <f t="shared" si="22"/>
        <v>76.47976206808508</v>
      </c>
      <c r="L139" s="51">
        <f t="shared" si="23"/>
        <v>33737.21792134321</v>
      </c>
      <c r="N139" s="51">
        <f t="shared" si="24"/>
        <v>12.159331309117155</v>
      </c>
      <c r="O139" s="51">
        <f>(('Price Deck'!Q133/'Propane Royalties'!$B$2))/'Price Deck'!M133</f>
        <v>298.69667700839994</v>
      </c>
      <c r="P139" s="39"/>
      <c r="Q139" s="51">
        <f t="shared" si="25"/>
        <v>0.36026583943495594</v>
      </c>
      <c r="R139" s="51">
        <f t="shared" si="26"/>
        <v>0.1</v>
      </c>
      <c r="S139" s="51">
        <f t="shared" si="27"/>
        <v>0.52540528755696791</v>
      </c>
      <c r="T139" s="51">
        <f t="shared" si="28"/>
        <v>0.38386571147932391</v>
      </c>
      <c r="U139" s="51">
        <f t="shared" si="29"/>
        <v>0.36026583943495594</v>
      </c>
      <c r="W139" s="51">
        <f t="shared" si="30"/>
        <v>-0.24548490273269183</v>
      </c>
      <c r="X139" s="39">
        <f t="shared" si="31"/>
        <v>0.11478093670226411</v>
      </c>
      <c r="Y139" s="39">
        <f t="shared" si="32"/>
        <v>0.11478093670226411</v>
      </c>
      <c r="AA139" s="85">
        <f>'Price Deck'!Q133/'Price Deck'!M133</f>
        <v>47.489057999999993</v>
      </c>
      <c r="AB139" s="72">
        <f t="shared" si="33"/>
        <v>11005.914717204521</v>
      </c>
      <c r="AC139" s="72">
        <f t="shared" si="34"/>
        <v>1263.2692005059691</v>
      </c>
      <c r="AD139" s="85">
        <f t="shared" si="35"/>
        <v>5.4508385603481484</v>
      </c>
    </row>
    <row r="140" spans="1:30">
      <c r="A140" t="str">
        <f>'Price Deck'!A134</f>
        <v>12/2029</v>
      </c>
      <c r="B140" s="51">
        <f>'Liquids Type Curve'!A147</f>
        <v>10.421890798786659</v>
      </c>
      <c r="C140" s="51">
        <f>'Liquids Type Curve'!B147</f>
        <v>125.06268958543991</v>
      </c>
      <c r="D140" s="51">
        <f>'Liquids Type Curve'!C147</f>
        <v>7.5626012637779692</v>
      </c>
      <c r="E140" s="51">
        <f>'Liquids Type Curve'!D147</f>
        <v>230.02912177324657</v>
      </c>
      <c r="F140" s="51">
        <f>'Liquids Type Curve'!E147</f>
        <v>102464.02282281328</v>
      </c>
      <c r="H140" s="51">
        <f t="shared" ref="H140:H203" si="36">B140</f>
        <v>10.421890798786659</v>
      </c>
      <c r="I140" s="51">
        <f t="shared" ref="I140:I203" si="37">C140</f>
        <v>125.06268958543991</v>
      </c>
      <c r="J140" s="51">
        <f t="shared" ref="J140:J203" si="38">D140*$C$2</f>
        <v>2.4956584170467297</v>
      </c>
      <c r="K140" s="51">
        <f t="shared" ref="K140:K203" si="39">E140*$C$2</f>
        <v>75.909610185171374</v>
      </c>
      <c r="L140" s="51">
        <f t="shared" ref="L140:L203" si="40">F140*$C$2</f>
        <v>33813.127531528386</v>
      </c>
      <c r="N140" s="51">
        <f t="shared" ref="N140:N203" si="41">K140*$B$2</f>
        <v>12.068684248334028</v>
      </c>
      <c r="O140" s="51">
        <f>(('Price Deck'!Q134/'Propane Royalties'!$B$2))/'Price Deck'!M134</f>
        <v>298.69667700839994</v>
      </c>
      <c r="P140" s="39"/>
      <c r="Q140" s="51">
        <f t="shared" ref="Q140:Q203" si="42">MIN(IF(O140&gt;$M$3,U140,IF(O140&gt;$L$3,T140,IF(O140&gt;$K$3,S140,R140))),J132)</f>
        <v>0.36026583943495594</v>
      </c>
      <c r="R140" s="51">
        <f t="shared" ref="R140:R203" si="43">$F$3</f>
        <v>0.1</v>
      </c>
      <c r="S140" s="51">
        <f t="shared" ref="S140:S203" si="44">((O140-$K$3)*0.00202+0.1)</f>
        <v>0.52540528755696791</v>
      </c>
      <c r="T140" s="51">
        <f t="shared" ref="T140:T203" si="45">((O140-$L$3)*0.00111+0.21122)</f>
        <v>0.38386571147932391</v>
      </c>
      <c r="U140" s="51">
        <f t="shared" ref="U140:U203" si="46">((O140-$M$3)*0.00059+0.33347)</f>
        <v>0.36026583943495594</v>
      </c>
      <c r="W140" s="51">
        <f t="shared" ref="W140:W203" si="47">IF(N140&gt;$D$2,0,((N140-$D$2)*0.00135))</f>
        <v>-0.24560727626474907</v>
      </c>
      <c r="X140" s="39">
        <f t="shared" ref="X140:X203" si="48">MAX(0.05,W140+Q140)</f>
        <v>0.11465856317020687</v>
      </c>
      <c r="Y140" s="39">
        <f t="shared" ref="Y140:Y203" si="49">IF(C140&gt;$A$5,X140,0.05)</f>
        <v>0.11465856317020687</v>
      </c>
      <c r="AA140" s="85">
        <f>'Price Deck'!Q134/'Price Deck'!M134</f>
        <v>47.489057999999993</v>
      </c>
      <c r="AB140" s="72">
        <f t="shared" ref="AB140:AB203" si="50">AA140*E140</f>
        <v>10923.866305578767</v>
      </c>
      <c r="AC140" s="72">
        <f t="shared" ref="AC140:AC203" si="51">AB140*Y140</f>
        <v>1252.5148148610974</v>
      </c>
      <c r="AD140" s="85">
        <f t="shared" ref="AD140:AD203" si="52">AC140/E140</f>
        <v>5.4450271565866171</v>
      </c>
    </row>
    <row r="141" spans="1:30">
      <c r="A141" t="str">
        <f>'Price Deck'!A135</f>
        <v>01/2030</v>
      </c>
      <c r="B141" s="51">
        <f>'Liquids Type Curve'!A148</f>
        <v>10.505224132119993</v>
      </c>
      <c r="C141" s="51">
        <f>'Liquids Type Curve'!B148</f>
        <v>126.06268958543993</v>
      </c>
      <c r="D141" s="51">
        <f>'Liquids Type Curve'!C148</f>
        <v>7.5066698891970427</v>
      </c>
      <c r="E141" s="51">
        <f>'Liquids Type Curve'!D148</f>
        <v>228.32787579641007</v>
      </c>
      <c r="F141" s="51">
        <f>'Liquids Type Curve'!E148</f>
        <v>102692.35069860969</v>
      </c>
      <c r="H141" s="51">
        <f t="shared" si="36"/>
        <v>10.505224132119993</v>
      </c>
      <c r="I141" s="51">
        <f t="shared" si="37"/>
        <v>126.06268958543993</v>
      </c>
      <c r="J141" s="51">
        <f t="shared" si="38"/>
        <v>2.4772010634350243</v>
      </c>
      <c r="K141" s="51">
        <f t="shared" si="39"/>
        <v>75.348199012815329</v>
      </c>
      <c r="L141" s="51">
        <f t="shared" si="40"/>
        <v>33888.475730541199</v>
      </c>
      <c r="N141" s="51">
        <f t="shared" si="41"/>
        <v>11.979426851857822</v>
      </c>
      <c r="O141" s="51">
        <f>(('Price Deck'!Q135/'Propane Royalties'!$B$2))/'Price Deck'!M135</f>
        <v>298.69667700839994</v>
      </c>
      <c r="P141" s="39"/>
      <c r="Q141" s="51">
        <f t="shared" si="42"/>
        <v>0.36026583943495594</v>
      </c>
      <c r="R141" s="51">
        <f t="shared" si="43"/>
        <v>0.1</v>
      </c>
      <c r="S141" s="51">
        <f t="shared" si="44"/>
        <v>0.52540528755696791</v>
      </c>
      <c r="T141" s="51">
        <f t="shared" si="45"/>
        <v>0.38386571147932391</v>
      </c>
      <c r="U141" s="51">
        <f t="shared" si="46"/>
        <v>0.36026583943495594</v>
      </c>
      <c r="W141" s="51">
        <f t="shared" si="47"/>
        <v>-0.24572777374999194</v>
      </c>
      <c r="X141" s="39">
        <f t="shared" si="48"/>
        <v>0.114538065684964</v>
      </c>
      <c r="Y141" s="39">
        <f t="shared" si="49"/>
        <v>0.114538065684964</v>
      </c>
      <c r="AA141" s="85">
        <f>'Price Deck'!Q135/'Price Deck'!M135</f>
        <v>47.489057999999993</v>
      </c>
      <c r="AB141" s="72">
        <f t="shared" si="50"/>
        <v>10843.075736712512</v>
      </c>
      <c r="AC141" s="72">
        <f t="shared" si="51"/>
        <v>1241.9449209586171</v>
      </c>
      <c r="AD141" s="85">
        <f t="shared" si="52"/>
        <v>5.4393048445210637</v>
      </c>
    </row>
    <row r="142" spans="1:30">
      <c r="A142" t="str">
        <f>'Price Deck'!A136</f>
        <v>02/2030</v>
      </c>
      <c r="B142" s="51">
        <f>'Liquids Type Curve'!A149</f>
        <v>10.588557465453327</v>
      </c>
      <c r="C142" s="51">
        <f>'Liquids Type Curve'!B149</f>
        <v>127.06268958543993</v>
      </c>
      <c r="D142" s="51">
        <f>'Liquids Type Curve'!C149</f>
        <v>7.4515892201648501</v>
      </c>
      <c r="E142" s="51">
        <f>'Liquids Type Curve'!D149</f>
        <v>226.65250544668086</v>
      </c>
      <c r="F142" s="51">
        <f>'Liquids Type Curve'!E149</f>
        <v>102919.00320405637</v>
      </c>
      <c r="H142" s="51">
        <f t="shared" si="36"/>
        <v>10.588557465453327</v>
      </c>
      <c r="I142" s="51">
        <f t="shared" si="37"/>
        <v>127.06268958543993</v>
      </c>
      <c r="J142" s="51">
        <f t="shared" si="38"/>
        <v>2.4590244426544006</v>
      </c>
      <c r="K142" s="51">
        <f t="shared" si="39"/>
        <v>74.795326797404684</v>
      </c>
      <c r="L142" s="51">
        <f t="shared" si="40"/>
        <v>33963.271057338599</v>
      </c>
      <c r="N142" s="51">
        <f t="shared" si="41"/>
        <v>11.891527043372554</v>
      </c>
      <c r="O142" s="51">
        <f>(('Price Deck'!Q136/'Propane Royalties'!$B$2))/'Price Deck'!M136</f>
        <v>298.69667700839994</v>
      </c>
      <c r="P142" s="39"/>
      <c r="Q142" s="51">
        <f t="shared" si="42"/>
        <v>0.36026583943495594</v>
      </c>
      <c r="R142" s="51">
        <f t="shared" si="43"/>
        <v>0.1</v>
      </c>
      <c r="S142" s="51">
        <f t="shared" si="44"/>
        <v>0.52540528755696791</v>
      </c>
      <c r="T142" s="51">
        <f t="shared" si="45"/>
        <v>0.38386571147932391</v>
      </c>
      <c r="U142" s="51">
        <f t="shared" si="46"/>
        <v>0.36026583943495594</v>
      </c>
      <c r="W142" s="51">
        <f t="shared" si="47"/>
        <v>-0.24584643849144708</v>
      </c>
      <c r="X142" s="39">
        <f t="shared" si="48"/>
        <v>0.11441940094350886</v>
      </c>
      <c r="Y142" s="39">
        <f t="shared" si="49"/>
        <v>0.11441940094350886</v>
      </c>
      <c r="AA142" s="85">
        <f>'Price Deck'!Q136/'Price Deck'!M136</f>
        <v>47.489057999999993</v>
      </c>
      <c r="AB142" s="72">
        <f t="shared" si="50"/>
        <v>10763.513977002742</v>
      </c>
      <c r="AC142" s="72">
        <f t="shared" si="51"/>
        <v>1231.5548212957383</v>
      </c>
      <c r="AD142" s="85">
        <f t="shared" si="52"/>
        <v>5.4336695677315463</v>
      </c>
    </row>
    <row r="143" spans="1:30">
      <c r="A143" t="str">
        <f>'Price Deck'!A137</f>
        <v>03/2030</v>
      </c>
      <c r="B143" s="51">
        <f>'Liquids Type Curve'!A150</f>
        <v>10.671890798786661</v>
      </c>
      <c r="C143" s="51">
        <f>'Liquids Type Curve'!B150</f>
        <v>128.06268958543993</v>
      </c>
      <c r="D143" s="51">
        <f>'Liquids Type Curve'!C150</f>
        <v>7.3973397740167597</v>
      </c>
      <c r="E143" s="51">
        <f>'Liquids Type Curve'!D150</f>
        <v>225.00241812634312</v>
      </c>
      <c r="F143" s="51">
        <f>'Liquids Type Curve'!E150</f>
        <v>103144.00562218271</v>
      </c>
      <c r="H143" s="51">
        <f t="shared" si="36"/>
        <v>10.671890798786661</v>
      </c>
      <c r="I143" s="51">
        <f t="shared" si="37"/>
        <v>128.06268958543993</v>
      </c>
      <c r="J143" s="51">
        <f t="shared" si="38"/>
        <v>2.4411221254255309</v>
      </c>
      <c r="K143" s="51">
        <f t="shared" si="39"/>
        <v>74.250797981693225</v>
      </c>
      <c r="L143" s="51">
        <f t="shared" si="40"/>
        <v>34037.521855320294</v>
      </c>
      <c r="N143" s="51">
        <f t="shared" si="41"/>
        <v>11.804953731707403</v>
      </c>
      <c r="O143" s="51">
        <f>(('Price Deck'!Q137/'Propane Royalties'!$B$2))/'Price Deck'!M137</f>
        <v>298.69667700839994</v>
      </c>
      <c r="P143" s="39"/>
      <c r="Q143" s="51">
        <f t="shared" si="42"/>
        <v>0.36026583943495594</v>
      </c>
      <c r="R143" s="51">
        <f t="shared" si="43"/>
        <v>0.1</v>
      </c>
      <c r="S143" s="51">
        <f t="shared" si="44"/>
        <v>0.52540528755696791</v>
      </c>
      <c r="T143" s="51">
        <f t="shared" si="45"/>
        <v>0.38386571147932391</v>
      </c>
      <c r="U143" s="51">
        <f t="shared" si="46"/>
        <v>0.36026583943495594</v>
      </c>
      <c r="W143" s="51">
        <f t="shared" si="47"/>
        <v>-0.24596331246219502</v>
      </c>
      <c r="X143" s="39">
        <f t="shared" si="48"/>
        <v>0.11430252697276092</v>
      </c>
      <c r="Y143" s="39">
        <f t="shared" si="49"/>
        <v>0.11430252697276092</v>
      </c>
      <c r="AA143" s="85">
        <f>'Price Deck'!Q137/'Price Deck'!M137</f>
        <v>47.489057999999993</v>
      </c>
      <c r="AB143" s="72">
        <f t="shared" si="50"/>
        <v>10685.152884542158</v>
      </c>
      <c r="AC143" s="72">
        <f t="shared" si="51"/>
        <v>1221.3399757934542</v>
      </c>
      <c r="AD143" s="85">
        <f t="shared" si="52"/>
        <v>5.4281193329560073</v>
      </c>
    </row>
    <row r="144" spans="1:30">
      <c r="A144" t="str">
        <f>'Price Deck'!A138</f>
        <v>04/2030</v>
      </c>
      <c r="B144" s="51">
        <f>'Liquids Type Curve'!A151</f>
        <v>10.755224132119995</v>
      </c>
      <c r="C144" s="51">
        <f>'Liquids Type Curve'!B151</f>
        <v>129.06268958543995</v>
      </c>
      <c r="D144" s="51">
        <f>'Liquids Type Curve'!C151</f>
        <v>7.3439026618128231</v>
      </c>
      <c r="E144" s="51">
        <f>'Liquids Type Curve'!D151</f>
        <v>223.37703929680671</v>
      </c>
      <c r="F144" s="51">
        <f>'Liquids Type Curve'!E151</f>
        <v>103367.38266147951</v>
      </c>
      <c r="H144" s="51">
        <f t="shared" si="36"/>
        <v>10.755224132119995</v>
      </c>
      <c r="I144" s="51">
        <f t="shared" si="37"/>
        <v>129.06268958543995</v>
      </c>
      <c r="J144" s="51">
        <f t="shared" si="38"/>
        <v>2.4234878783982317</v>
      </c>
      <c r="K144" s="51">
        <f t="shared" si="39"/>
        <v>73.71442296794622</v>
      </c>
      <c r="L144" s="51">
        <f t="shared" si="40"/>
        <v>34111.236278288241</v>
      </c>
      <c r="N144" s="51">
        <f t="shared" si="41"/>
        <v>11.719676773179787</v>
      </c>
      <c r="O144" s="51">
        <f>(('Price Deck'!Q138/'Propane Royalties'!$B$2))/'Price Deck'!M138</f>
        <v>298.69667700839994</v>
      </c>
      <c r="P144" s="39"/>
      <c r="Q144" s="51">
        <f t="shared" si="42"/>
        <v>0.36026583943495594</v>
      </c>
      <c r="R144" s="51">
        <f t="shared" si="43"/>
        <v>0.1</v>
      </c>
      <c r="S144" s="51">
        <f t="shared" si="44"/>
        <v>0.52540528755696791</v>
      </c>
      <c r="T144" s="51">
        <f t="shared" si="45"/>
        <v>0.38386571147932391</v>
      </c>
      <c r="U144" s="51">
        <f t="shared" si="46"/>
        <v>0.36026583943495594</v>
      </c>
      <c r="W144" s="51">
        <f t="shared" si="47"/>
        <v>-0.2460784363562073</v>
      </c>
      <c r="X144" s="39">
        <f t="shared" si="48"/>
        <v>0.11418740307874864</v>
      </c>
      <c r="Y144" s="39">
        <f t="shared" si="49"/>
        <v>0.11418740307874864</v>
      </c>
      <c r="AA144" s="85">
        <f>'Price Deck'!Q138/'Price Deck'!M138</f>
        <v>47.489057999999993</v>
      </c>
      <c r="AB144" s="72">
        <f t="shared" si="50"/>
        <v>10607.965175034331</v>
      </c>
      <c r="AC144" s="72">
        <f t="shared" si="51"/>
        <v>1211.2959952869735</v>
      </c>
      <c r="AD144" s="85">
        <f t="shared" si="52"/>
        <v>5.4226522076760713</v>
      </c>
    </row>
    <row r="145" spans="1:30">
      <c r="A145" t="str">
        <f>'Price Deck'!A139</f>
        <v>05/2030</v>
      </c>
      <c r="B145" s="51">
        <f>'Liquids Type Curve'!A152</f>
        <v>10.838557465453329</v>
      </c>
      <c r="C145" s="51">
        <f>'Liquids Type Curve'!B152</f>
        <v>130.06268958543995</v>
      </c>
      <c r="D145" s="51">
        <f>'Liquids Type Curve'!C152</f>
        <v>7.2912595658173158</v>
      </c>
      <c r="E145" s="51">
        <f>'Liquids Type Curve'!D152</f>
        <v>221.77581179361002</v>
      </c>
      <c r="F145" s="51">
        <f>'Liquids Type Curve'!E152</f>
        <v>103589.15847327311</v>
      </c>
      <c r="H145" s="51">
        <f t="shared" si="36"/>
        <v>10.838557465453329</v>
      </c>
      <c r="I145" s="51">
        <f t="shared" si="37"/>
        <v>130.06268958543995</v>
      </c>
      <c r="J145" s="51">
        <f t="shared" si="38"/>
        <v>2.4061156567197144</v>
      </c>
      <c r="K145" s="51">
        <f t="shared" si="39"/>
        <v>73.186017891891311</v>
      </c>
      <c r="L145" s="51">
        <f t="shared" si="40"/>
        <v>34184.422296180128</v>
      </c>
      <c r="N145" s="51">
        <f t="shared" si="41"/>
        <v>11.635666935656349</v>
      </c>
      <c r="O145" s="51">
        <f>(('Price Deck'!Q139/'Propane Royalties'!$B$2))/'Price Deck'!M139</f>
        <v>298.69667700839994</v>
      </c>
      <c r="P145" s="39"/>
      <c r="Q145" s="51">
        <f t="shared" si="42"/>
        <v>0.36026583943495594</v>
      </c>
      <c r="R145" s="51">
        <f t="shared" si="43"/>
        <v>0.1</v>
      </c>
      <c r="S145" s="51">
        <f t="shared" si="44"/>
        <v>0.52540528755696791</v>
      </c>
      <c r="T145" s="51">
        <f t="shared" si="45"/>
        <v>0.38386571147932391</v>
      </c>
      <c r="U145" s="51">
        <f t="shared" si="46"/>
        <v>0.36026583943495594</v>
      </c>
      <c r="W145" s="51">
        <f t="shared" si="47"/>
        <v>-0.24619184963686394</v>
      </c>
      <c r="X145" s="39">
        <f t="shared" si="48"/>
        <v>0.114073989798092</v>
      </c>
      <c r="Y145" s="39">
        <f t="shared" si="49"/>
        <v>0.114073989798092</v>
      </c>
      <c r="AA145" s="85">
        <f>'Price Deck'!Q139/'Price Deck'!M139</f>
        <v>47.489057999999993</v>
      </c>
      <c r="AB145" s="72">
        <f t="shared" si="50"/>
        <v>10531.924389263828</v>
      </c>
      <c r="AC145" s="72">
        <f t="shared" si="51"/>
        <v>1201.4186353351581</v>
      </c>
      <c r="AD145" s="85">
        <f t="shared" si="52"/>
        <v>5.4172663178129978</v>
      </c>
    </row>
    <row r="146" spans="1:30">
      <c r="A146" t="str">
        <f>'Price Deck'!A140</f>
        <v>06/2030</v>
      </c>
      <c r="B146" s="51">
        <f>'Liquids Type Curve'!A153</f>
        <v>10.921890798786663</v>
      </c>
      <c r="C146" s="51">
        <f>'Liquids Type Curve'!B153</f>
        <v>131.06268958543995</v>
      </c>
      <c r="D146" s="51">
        <f>'Liquids Type Curve'!C153</f>
        <v>7.2393927179979238</v>
      </c>
      <c r="E146" s="51">
        <f>'Liquids Type Curve'!D153</f>
        <v>220.19819517243687</v>
      </c>
      <c r="F146" s="51">
        <f>'Liquids Type Curve'!E153</f>
        <v>103809.35666844554</v>
      </c>
      <c r="H146" s="51">
        <f t="shared" si="36"/>
        <v>10.921890798786663</v>
      </c>
      <c r="I146" s="51">
        <f t="shared" si="37"/>
        <v>131.06268958543995</v>
      </c>
      <c r="J146" s="51">
        <f t="shared" si="38"/>
        <v>2.388999596939315</v>
      </c>
      <c r="K146" s="51">
        <f t="shared" si="39"/>
        <v>72.665404406904173</v>
      </c>
      <c r="L146" s="51">
        <f t="shared" si="40"/>
        <v>34257.087700587028</v>
      </c>
      <c r="N146" s="51">
        <f t="shared" si="41"/>
        <v>11.552895864241179</v>
      </c>
      <c r="O146" s="51">
        <f>(('Price Deck'!Q140/'Propane Royalties'!$B$2))/'Price Deck'!M140</f>
        <v>298.69667700839994</v>
      </c>
      <c r="P146" s="39"/>
      <c r="Q146" s="51">
        <f t="shared" si="42"/>
        <v>0.36026583943495594</v>
      </c>
      <c r="R146" s="51">
        <f t="shared" si="43"/>
        <v>0.1</v>
      </c>
      <c r="S146" s="51">
        <f t="shared" si="44"/>
        <v>0.52540528755696791</v>
      </c>
      <c r="T146" s="51">
        <f t="shared" si="45"/>
        <v>0.38386571147932391</v>
      </c>
      <c r="U146" s="51">
        <f t="shared" si="46"/>
        <v>0.36026583943495594</v>
      </c>
      <c r="W146" s="51">
        <f t="shared" si="47"/>
        <v>-0.24630359058327442</v>
      </c>
      <c r="X146" s="39">
        <f t="shared" si="48"/>
        <v>0.11396224885168152</v>
      </c>
      <c r="Y146" s="39">
        <f t="shared" si="49"/>
        <v>0.11396224885168152</v>
      </c>
      <c r="AA146" s="85">
        <f>'Price Deck'!Q140/'Price Deck'!M140</f>
        <v>47.489057999999993</v>
      </c>
      <c r="AB146" s="72">
        <f t="shared" si="50"/>
        <v>10457.004862039174</v>
      </c>
      <c r="AC146" s="72">
        <f t="shared" si="51"/>
        <v>1191.703790330952</v>
      </c>
      <c r="AD146" s="85">
        <f t="shared" si="52"/>
        <v>5.411959845527937</v>
      </c>
    </row>
    <row r="147" spans="1:30">
      <c r="A147" t="str">
        <f>'Price Deck'!A141</f>
        <v>07/2030</v>
      </c>
      <c r="B147" s="51">
        <f>'Liquids Type Curve'!A154</f>
        <v>11.005224132119997</v>
      </c>
      <c r="C147" s="51">
        <f>'Liquids Type Curve'!B154</f>
        <v>132.06268958543995</v>
      </c>
      <c r="D147" s="51">
        <f>'Liquids Type Curve'!C154</f>
        <v>7.1882848794908654</v>
      </c>
      <c r="E147" s="51">
        <f>'Liquids Type Curve'!D154</f>
        <v>218.64366508451383</v>
      </c>
      <c r="F147" s="51">
        <f>'Liquids Type Curve'!E154</f>
        <v>104028.00033353006</v>
      </c>
      <c r="H147" s="51">
        <f t="shared" si="36"/>
        <v>11.005224132119997</v>
      </c>
      <c r="I147" s="51">
        <f t="shared" si="37"/>
        <v>132.06268958543995</v>
      </c>
      <c r="J147" s="51">
        <f t="shared" si="38"/>
        <v>2.3721340102319859</v>
      </c>
      <c r="K147" s="51">
        <f t="shared" si="39"/>
        <v>72.152409477889563</v>
      </c>
      <c r="L147" s="51">
        <f t="shared" si="40"/>
        <v>34329.240110064922</v>
      </c>
      <c r="N147" s="51">
        <f t="shared" si="41"/>
        <v>11.471336048505448</v>
      </c>
      <c r="O147" s="51">
        <f>(('Price Deck'!Q141/'Propane Royalties'!$B$2))/'Price Deck'!M141</f>
        <v>298.69667700839994</v>
      </c>
      <c r="P147" s="39"/>
      <c r="Q147" s="51">
        <f t="shared" si="42"/>
        <v>0.36026583943495594</v>
      </c>
      <c r="R147" s="51">
        <f t="shared" si="43"/>
        <v>0.1</v>
      </c>
      <c r="S147" s="51">
        <f t="shared" si="44"/>
        <v>0.52540528755696791</v>
      </c>
      <c r="T147" s="51">
        <f t="shared" si="45"/>
        <v>0.38386571147932391</v>
      </c>
      <c r="U147" s="51">
        <f t="shared" si="46"/>
        <v>0.36026583943495594</v>
      </c>
      <c r="W147" s="51">
        <f t="shared" si="47"/>
        <v>-0.24641369633451768</v>
      </c>
      <c r="X147" s="39">
        <f t="shared" si="48"/>
        <v>0.11385214310043826</v>
      </c>
      <c r="Y147" s="39">
        <f t="shared" si="49"/>
        <v>0.11385214310043826</v>
      </c>
      <c r="AA147" s="85">
        <f>'Price Deck'!Q141/'Price Deck'!M141</f>
        <v>47.489057999999993</v>
      </c>
      <c r="AB147" s="72">
        <f t="shared" si="50"/>
        <v>10383.18169253105</v>
      </c>
      <c r="AC147" s="72">
        <f t="shared" si="51"/>
        <v>1182.1474878958959</v>
      </c>
      <c r="AD147" s="85">
        <f t="shared" si="52"/>
        <v>5.4067310271210118</v>
      </c>
    </row>
    <row r="148" spans="1:30">
      <c r="A148" t="str">
        <f>'Price Deck'!A142</f>
        <v>08/2030</v>
      </c>
      <c r="B148" s="51">
        <f>'Liquids Type Curve'!A155</f>
        <v>11.088557465453331</v>
      </c>
      <c r="C148" s="51">
        <f>'Liquids Type Curve'!B155</f>
        <v>133.06268958543995</v>
      </c>
      <c r="D148" s="51">
        <f>'Liquids Type Curve'!C155</f>
        <v>7.1379193209817853</v>
      </c>
      <c r="E148" s="51">
        <f>'Liquids Type Curve'!D155</f>
        <v>217.11171267986265</v>
      </c>
      <c r="F148" s="51">
        <f>'Liquids Type Curve'!E155</f>
        <v>104245.11204620992</v>
      </c>
      <c r="H148" s="51">
        <f t="shared" si="36"/>
        <v>11.088557465453331</v>
      </c>
      <c r="I148" s="51">
        <f t="shared" si="37"/>
        <v>133.06268958543995</v>
      </c>
      <c r="J148" s="51">
        <f t="shared" si="38"/>
        <v>2.3555133759239895</v>
      </c>
      <c r="K148" s="51">
        <f t="shared" si="39"/>
        <v>71.646865184354681</v>
      </c>
      <c r="L148" s="51">
        <f t="shared" si="40"/>
        <v>34400.886975249276</v>
      </c>
      <c r="N148" s="51">
        <f t="shared" si="41"/>
        <v>11.390960791178523</v>
      </c>
      <c r="O148" s="51">
        <f>(('Price Deck'!Q142/'Propane Royalties'!$B$2))/'Price Deck'!M142</f>
        <v>298.69667700839994</v>
      </c>
      <c r="P148" s="39"/>
      <c r="Q148" s="51">
        <f t="shared" si="42"/>
        <v>0.36026583943495594</v>
      </c>
      <c r="R148" s="51">
        <f t="shared" si="43"/>
        <v>0.1</v>
      </c>
      <c r="S148" s="51">
        <f t="shared" si="44"/>
        <v>0.52540528755696791</v>
      </c>
      <c r="T148" s="51">
        <f t="shared" si="45"/>
        <v>0.38386571147932391</v>
      </c>
      <c r="U148" s="51">
        <f t="shared" si="46"/>
        <v>0.36026583943495594</v>
      </c>
      <c r="W148" s="51">
        <f t="shared" si="47"/>
        <v>-0.24652220293190902</v>
      </c>
      <c r="X148" s="39">
        <f t="shared" si="48"/>
        <v>0.11374363650304692</v>
      </c>
      <c r="Y148" s="39">
        <f t="shared" si="49"/>
        <v>0.11374363650304692</v>
      </c>
      <c r="AA148" s="85">
        <f>'Price Deck'!Q142/'Price Deck'!M142</f>
        <v>47.489057999999993</v>
      </c>
      <c r="AB148" s="72">
        <f t="shared" si="50"/>
        <v>10310.430715933331</v>
      </c>
      <c r="AC148" s="72">
        <f t="shared" si="51"/>
        <v>1172.7458835429707</v>
      </c>
      <c r="AD148" s="85">
        <f t="shared" si="52"/>
        <v>5.4015781510241112</v>
      </c>
    </row>
    <row r="149" spans="1:30">
      <c r="A149" t="str">
        <f>'Price Deck'!A143</f>
        <v>09/2030</v>
      </c>
      <c r="B149" s="51">
        <f>'Liquids Type Curve'!A156</f>
        <v>11.171890798786665</v>
      </c>
      <c r="C149" s="51">
        <f>'Liquids Type Curve'!B156</f>
        <v>134.06268958543998</v>
      </c>
      <c r="D149" s="51">
        <f>'Liquids Type Curve'!C156</f>
        <v>7.0882798039549755</v>
      </c>
      <c r="E149" s="51">
        <f>'Liquids Type Curve'!D156</f>
        <v>215.60184403696385</v>
      </c>
      <c r="F149" s="51">
        <f>'Liquids Type Curve'!E156</f>
        <v>104460.71389024689</v>
      </c>
      <c r="H149" s="51">
        <f t="shared" si="36"/>
        <v>11.171890798786665</v>
      </c>
      <c r="I149" s="51">
        <f t="shared" si="37"/>
        <v>134.06268958543998</v>
      </c>
      <c r="J149" s="51">
        <f t="shared" si="38"/>
        <v>2.3391323353051421</v>
      </c>
      <c r="K149" s="51">
        <f t="shared" si="39"/>
        <v>71.148608532198068</v>
      </c>
      <c r="L149" s="51">
        <f t="shared" si="40"/>
        <v>34472.035583781471</v>
      </c>
      <c r="N149" s="51">
        <f t="shared" si="41"/>
        <v>11.311744178224755</v>
      </c>
      <c r="O149" s="51">
        <f>(('Price Deck'!Q143/'Propane Royalties'!$B$2))/'Price Deck'!M143</f>
        <v>298.69667700839994</v>
      </c>
      <c r="P149" s="39"/>
      <c r="Q149" s="51">
        <f t="shared" si="42"/>
        <v>0.36026583943495594</v>
      </c>
      <c r="R149" s="51">
        <f t="shared" si="43"/>
        <v>0.1</v>
      </c>
      <c r="S149" s="51">
        <f t="shared" si="44"/>
        <v>0.52540528755696791</v>
      </c>
      <c r="T149" s="51">
        <f t="shared" si="45"/>
        <v>0.38386571147932391</v>
      </c>
      <c r="U149" s="51">
        <f t="shared" si="46"/>
        <v>0.36026583943495594</v>
      </c>
      <c r="W149" s="51">
        <f t="shared" si="47"/>
        <v>-0.24662914535939659</v>
      </c>
      <c r="X149" s="39">
        <f t="shared" si="48"/>
        <v>0.11363669407555935</v>
      </c>
      <c r="Y149" s="39">
        <f t="shared" si="49"/>
        <v>0.11363669407555935</v>
      </c>
      <c r="AA149" s="85">
        <f>'Price Deck'!Q143/'Price Deck'!M143</f>
        <v>47.489057999999993</v>
      </c>
      <c r="AB149" s="72">
        <f t="shared" si="50"/>
        <v>10238.728476378328</v>
      </c>
      <c r="AC149" s="72">
        <f t="shared" si="51"/>
        <v>1163.4952555929219</v>
      </c>
      <c r="AD149" s="85">
        <f t="shared" si="52"/>
        <v>5.3964995558824924</v>
      </c>
    </row>
    <row r="150" spans="1:30">
      <c r="A150" t="str">
        <f>'Price Deck'!A144</f>
        <v>10/2030</v>
      </c>
      <c r="B150" s="51">
        <f>'Liquids Type Curve'!A157</f>
        <v>11.255224132119999</v>
      </c>
      <c r="C150" s="51">
        <f>'Liquids Type Curve'!B157</f>
        <v>135.06268958543998</v>
      </c>
      <c r="D150" s="51">
        <f>'Liquids Type Curve'!C157</f>
        <v>7.0393505627663586</v>
      </c>
      <c r="E150" s="51">
        <f>'Liquids Type Curve'!D157</f>
        <v>214.11357961747674</v>
      </c>
      <c r="F150" s="51">
        <f>'Liquids Type Curve'!E157</f>
        <v>104674.82746986437</v>
      </c>
      <c r="H150" s="51">
        <f t="shared" si="36"/>
        <v>11.255224132119999</v>
      </c>
      <c r="I150" s="51">
        <f t="shared" si="37"/>
        <v>135.06268958543998</v>
      </c>
      <c r="J150" s="51">
        <f t="shared" si="38"/>
        <v>2.3229856857128985</v>
      </c>
      <c r="K150" s="51">
        <f t="shared" si="39"/>
        <v>70.657481273767331</v>
      </c>
      <c r="L150" s="51">
        <f t="shared" si="40"/>
        <v>34542.693065055246</v>
      </c>
      <c r="N150" s="51">
        <f t="shared" si="41"/>
        <v>11.233661050234877</v>
      </c>
      <c r="O150" s="51">
        <f>(('Price Deck'!Q144/'Propane Royalties'!$B$2))/'Price Deck'!M144</f>
        <v>298.69667700839994</v>
      </c>
      <c r="P150" s="39"/>
      <c r="Q150" s="51">
        <f t="shared" si="42"/>
        <v>0.36026583943495594</v>
      </c>
      <c r="R150" s="51">
        <f t="shared" si="43"/>
        <v>0.1</v>
      </c>
      <c r="S150" s="51">
        <f t="shared" si="44"/>
        <v>0.52540528755696791</v>
      </c>
      <c r="T150" s="51">
        <f t="shared" si="45"/>
        <v>0.38386571147932391</v>
      </c>
      <c r="U150" s="51">
        <f t="shared" si="46"/>
        <v>0.36026583943495594</v>
      </c>
      <c r="W150" s="51">
        <f t="shared" si="47"/>
        <v>-0.24673455758218293</v>
      </c>
      <c r="X150" s="39">
        <f t="shared" si="48"/>
        <v>0.113531281852773</v>
      </c>
      <c r="Y150" s="39">
        <f t="shared" si="49"/>
        <v>0.113531281852773</v>
      </c>
      <c r="AA150" s="85">
        <f>'Price Deck'!Q144/'Price Deck'!M144</f>
        <v>47.489057999999993</v>
      </c>
      <c r="AB150" s="72">
        <f t="shared" si="50"/>
        <v>10168.05220104197</v>
      </c>
      <c r="AC150" s="72">
        <f t="shared" si="51"/>
        <v>1154.3920003302048</v>
      </c>
      <c r="AD150" s="85">
        <f t="shared" si="52"/>
        <v>5.3914936287206841</v>
      </c>
    </row>
    <row r="151" spans="1:30">
      <c r="A151" t="str">
        <f>'Price Deck'!A145</f>
        <v>11/2030</v>
      </c>
      <c r="B151" s="51">
        <f>'Liquids Type Curve'!A158</f>
        <v>11.338557465453333</v>
      </c>
      <c r="C151" s="51">
        <f>'Liquids Type Curve'!B158</f>
        <v>136.06268958543998</v>
      </c>
      <c r="D151" s="51">
        <f>'Liquids Type Curve'!C158</f>
        <v>6.9911162874982287</v>
      </c>
      <c r="E151" s="51">
        <f>'Liquids Type Curve'!D158</f>
        <v>212.64645374473778</v>
      </c>
      <c r="F151" s="51">
        <f>'Liquids Type Curve'!E158</f>
        <v>104887.4739236091</v>
      </c>
      <c r="H151" s="51">
        <f t="shared" si="36"/>
        <v>11.338557465453333</v>
      </c>
      <c r="I151" s="51">
        <f t="shared" si="37"/>
        <v>136.06268958543998</v>
      </c>
      <c r="J151" s="51">
        <f t="shared" si="38"/>
        <v>2.3070683748744156</v>
      </c>
      <c r="K151" s="51">
        <f t="shared" si="39"/>
        <v>70.173329735763474</v>
      </c>
      <c r="L151" s="51">
        <f t="shared" si="40"/>
        <v>34612.866394791003</v>
      </c>
      <c r="N151" s="51">
        <f t="shared" si="41"/>
        <v>11.156686975064943</v>
      </c>
      <c r="O151" s="51">
        <f>(('Price Deck'!Q145/'Propane Royalties'!$B$2))/'Price Deck'!M145</f>
        <v>298.69667700839994</v>
      </c>
      <c r="P151" s="39"/>
      <c r="Q151" s="51">
        <f t="shared" si="42"/>
        <v>0.36026583943495594</v>
      </c>
      <c r="R151" s="51">
        <f t="shared" si="43"/>
        <v>0.1</v>
      </c>
      <c r="S151" s="51">
        <f t="shared" si="44"/>
        <v>0.52540528755696791</v>
      </c>
      <c r="T151" s="51">
        <f t="shared" si="45"/>
        <v>0.38386571147932391</v>
      </c>
      <c r="U151" s="51">
        <f t="shared" si="46"/>
        <v>0.36026583943495594</v>
      </c>
      <c r="W151" s="51">
        <f t="shared" si="47"/>
        <v>-0.24683847258366237</v>
      </c>
      <c r="X151" s="39">
        <f t="shared" si="48"/>
        <v>0.11342736685129357</v>
      </c>
      <c r="Y151" s="39">
        <f t="shared" si="49"/>
        <v>0.11342736685129357</v>
      </c>
      <c r="AA151" s="85">
        <f>'Price Deck'!Q145/'Price Deck'!M145</f>
        <v>47.489057999999993</v>
      </c>
      <c r="AB151" s="72">
        <f t="shared" si="50"/>
        <v>10098.379775378169</v>
      </c>
      <c r="AC151" s="72">
        <f t="shared" si="51"/>
        <v>1145.4326273855031</v>
      </c>
      <c r="AD151" s="85">
        <f t="shared" si="52"/>
        <v>5.3865588031883576</v>
      </c>
    </row>
    <row r="152" spans="1:30">
      <c r="A152" t="str">
        <f>'Price Deck'!A146</f>
        <v>12/2030</v>
      </c>
      <c r="B152" s="51">
        <f>'Liquids Type Curve'!A159</f>
        <v>11.421890798786666</v>
      </c>
      <c r="C152" s="51">
        <f>'Liquids Type Curve'!B159</f>
        <v>137.06268958544001</v>
      </c>
      <c r="D152" s="51">
        <f>'Liquids Type Curve'!C159</f>
        <v>6.9435621075562608</v>
      </c>
      <c r="E152" s="51">
        <f>'Liquids Type Curve'!D159</f>
        <v>211.20001410483627</v>
      </c>
      <c r="F152" s="51">
        <f>'Liquids Type Curve'!E159</f>
        <v>105098.67393771393</v>
      </c>
      <c r="H152" s="51">
        <f t="shared" si="36"/>
        <v>11.421890798786666</v>
      </c>
      <c r="I152" s="51">
        <f t="shared" si="37"/>
        <v>137.06268958544001</v>
      </c>
      <c r="J152" s="51">
        <f t="shared" si="38"/>
        <v>2.2913754954935661</v>
      </c>
      <c r="K152" s="51">
        <f t="shared" si="39"/>
        <v>69.696004654595967</v>
      </c>
      <c r="L152" s="51">
        <f t="shared" si="40"/>
        <v>34682.562399445596</v>
      </c>
      <c r="N152" s="51">
        <f t="shared" si="41"/>
        <v>11.080798221659824</v>
      </c>
      <c r="O152" s="51">
        <f>(('Price Deck'!Q146/'Propane Royalties'!$B$2))/'Price Deck'!M146</f>
        <v>298.69667700839994</v>
      </c>
      <c r="P152" s="39"/>
      <c r="Q152" s="51">
        <f t="shared" si="42"/>
        <v>0.36026583943495594</v>
      </c>
      <c r="R152" s="51">
        <f t="shared" si="43"/>
        <v>0.1</v>
      </c>
      <c r="S152" s="51">
        <f t="shared" si="44"/>
        <v>0.52540528755696791</v>
      </c>
      <c r="T152" s="51">
        <f t="shared" si="45"/>
        <v>0.38386571147932391</v>
      </c>
      <c r="U152" s="51">
        <f t="shared" si="46"/>
        <v>0.36026583943495594</v>
      </c>
      <c r="W152" s="51">
        <f t="shared" si="47"/>
        <v>-0.24694092240075927</v>
      </c>
      <c r="X152" s="39">
        <f t="shared" si="48"/>
        <v>0.11332491703419667</v>
      </c>
      <c r="Y152" s="39">
        <f t="shared" si="49"/>
        <v>0.11332491703419667</v>
      </c>
      <c r="AA152" s="85">
        <f>'Price Deck'!Q146/'Price Deck'!M146</f>
        <v>47.489057999999993</v>
      </c>
      <c r="AB152" s="72">
        <f t="shared" si="50"/>
        <v>10029.689719425387</v>
      </c>
      <c r="AC152" s="72">
        <f t="shared" si="51"/>
        <v>1136.6137553326173</v>
      </c>
      <c r="AD152" s="85">
        <f t="shared" si="52"/>
        <v>5.3816935578821532</v>
      </c>
    </row>
    <row r="153" spans="1:30">
      <c r="A153" t="str">
        <f>'Price Deck'!A147</f>
        <v>01/2031</v>
      </c>
      <c r="B153" s="51">
        <f>'Liquids Type Curve'!A160</f>
        <v>11.50522413212</v>
      </c>
      <c r="C153" s="51">
        <f>'Liquids Type Curve'!B160</f>
        <v>138.06268958544001</v>
      </c>
      <c r="D153" s="51">
        <f>'Liquids Type Curve'!C160</f>
        <v>6.8966735759714357</v>
      </c>
      <c r="E153" s="51">
        <f>'Liquids Type Curve'!D160</f>
        <v>209.77382126913119</v>
      </c>
      <c r="F153" s="51">
        <f>'Liquids Type Curve'!E160</f>
        <v>105308.44775898306</v>
      </c>
      <c r="H153" s="51">
        <f t="shared" si="36"/>
        <v>11.50522413212</v>
      </c>
      <c r="I153" s="51">
        <f t="shared" si="37"/>
        <v>138.06268958544001</v>
      </c>
      <c r="J153" s="51">
        <f t="shared" si="38"/>
        <v>2.2759022800705737</v>
      </c>
      <c r="K153" s="51">
        <f t="shared" si="39"/>
        <v>69.225361018813302</v>
      </c>
      <c r="L153" s="51">
        <f t="shared" si="40"/>
        <v>34751.787760464416</v>
      </c>
      <c r="N153" s="51">
        <f t="shared" si="41"/>
        <v>11.005971735001637</v>
      </c>
      <c r="O153" s="51">
        <f>(('Price Deck'!Q147/'Propane Royalties'!$B$2))/'Price Deck'!M147</f>
        <v>298.69667700839994</v>
      </c>
      <c r="P153" s="39"/>
      <c r="Q153" s="51">
        <f t="shared" si="42"/>
        <v>0.36026583943495594</v>
      </c>
      <c r="R153" s="51">
        <f t="shared" si="43"/>
        <v>0.1</v>
      </c>
      <c r="S153" s="51">
        <f t="shared" si="44"/>
        <v>0.52540528755696791</v>
      </c>
      <c r="T153" s="51">
        <f t="shared" si="45"/>
        <v>0.38386571147932391</v>
      </c>
      <c r="U153" s="51">
        <f t="shared" si="46"/>
        <v>0.36026583943495594</v>
      </c>
      <c r="W153" s="51">
        <f t="shared" si="47"/>
        <v>-0.24704193815774778</v>
      </c>
      <c r="X153" s="39">
        <f t="shared" si="48"/>
        <v>0.11322390127720816</v>
      </c>
      <c r="Y153" s="39">
        <f t="shared" si="49"/>
        <v>0.11322390127720816</v>
      </c>
      <c r="AA153" s="85">
        <f>'Price Deck'!Q147/'Price Deck'!M147</f>
        <v>47.489057999999993</v>
      </c>
      <c r="AB153" s="72">
        <f t="shared" si="50"/>
        <v>9961.9611651314026</v>
      </c>
      <c r="AC153" s="72">
        <f t="shared" si="51"/>
        <v>1127.9321074882196</v>
      </c>
      <c r="AD153" s="85">
        <f t="shared" si="52"/>
        <v>5.3768964147396119</v>
      </c>
    </row>
    <row r="154" spans="1:30">
      <c r="A154" t="str">
        <f>'Price Deck'!A148</f>
        <v>02/2031</v>
      </c>
      <c r="B154" s="51">
        <f>'Liquids Type Curve'!A161</f>
        <v>11.588557465453334</v>
      </c>
      <c r="C154" s="51">
        <f>'Liquids Type Curve'!B161</f>
        <v>139.06268958544001</v>
      </c>
      <c r="D154" s="51">
        <f>'Liquids Type Curve'!C161</f>
        <v>6.8504366543718378</v>
      </c>
      <c r="E154" s="51">
        <f>'Liquids Type Curve'!D161</f>
        <v>208.36744823714341</v>
      </c>
      <c r="F154" s="51">
        <f>'Liquids Type Curve'!E161</f>
        <v>105516.81520722021</v>
      </c>
      <c r="H154" s="51">
        <f t="shared" si="36"/>
        <v>11.588557465453334</v>
      </c>
      <c r="I154" s="51">
        <f t="shared" si="37"/>
        <v>139.06268958544001</v>
      </c>
      <c r="J154" s="51">
        <f t="shared" si="38"/>
        <v>2.2606440959427068</v>
      </c>
      <c r="K154" s="51">
        <f t="shared" si="39"/>
        <v>68.761257918257328</v>
      </c>
      <c r="L154" s="51">
        <f t="shared" si="40"/>
        <v>34820.54901838267</v>
      </c>
      <c r="N154" s="51">
        <f t="shared" si="41"/>
        <v>10.932185112127147</v>
      </c>
      <c r="O154" s="51">
        <f>(('Price Deck'!Q148/'Propane Royalties'!$B$2))/'Price Deck'!M148</f>
        <v>298.69667700839994</v>
      </c>
      <c r="P154" s="39"/>
      <c r="Q154" s="51">
        <f t="shared" si="42"/>
        <v>0.36026583943495594</v>
      </c>
      <c r="R154" s="51">
        <f t="shared" si="43"/>
        <v>0.1</v>
      </c>
      <c r="S154" s="51">
        <f t="shared" si="44"/>
        <v>0.52540528755696791</v>
      </c>
      <c r="T154" s="51">
        <f t="shared" si="45"/>
        <v>0.38386571147932391</v>
      </c>
      <c r="U154" s="51">
        <f t="shared" si="46"/>
        <v>0.36026583943495594</v>
      </c>
      <c r="W154" s="51">
        <f t="shared" si="47"/>
        <v>-0.24714155009862837</v>
      </c>
      <c r="X154" s="39">
        <f t="shared" si="48"/>
        <v>0.11312428933632757</v>
      </c>
      <c r="Y154" s="39">
        <f t="shared" si="49"/>
        <v>0.11312428933632757</v>
      </c>
      <c r="AA154" s="85">
        <f>'Price Deck'!Q148/'Price Deck'!M148</f>
        <v>47.489057999999993</v>
      </c>
      <c r="AB154" s="72">
        <f t="shared" si="50"/>
        <v>9895.1738346456987</v>
      </c>
      <c r="AC154" s="72">
        <f t="shared" si="51"/>
        <v>1119.384507903718</v>
      </c>
      <c r="AD154" s="85">
        <f t="shared" si="52"/>
        <v>5.3721659375016406</v>
      </c>
    </row>
    <row r="155" spans="1:30">
      <c r="A155" t="str">
        <f>'Price Deck'!A149</f>
        <v>03/2031</v>
      </c>
      <c r="B155" s="51">
        <f>'Liquids Type Curve'!A162</f>
        <v>11.671890798786668</v>
      </c>
      <c r="C155" s="51">
        <f>'Liquids Type Curve'!B162</f>
        <v>140.06268958544001</v>
      </c>
      <c r="D155" s="51">
        <f>'Liquids Type Curve'!C162</f>
        <v>6.8048376985909904</v>
      </c>
      <c r="E155" s="51">
        <f>'Liquids Type Curve'!D162</f>
        <v>206.9804799988093</v>
      </c>
      <c r="F155" s="51">
        <f>'Liquids Type Curve'!E162</f>
        <v>105723.79568721901</v>
      </c>
      <c r="H155" s="51">
        <f t="shared" si="36"/>
        <v>11.671890798786668</v>
      </c>
      <c r="I155" s="51">
        <f t="shared" si="37"/>
        <v>140.06268958544001</v>
      </c>
      <c r="J155" s="51">
        <f t="shared" si="38"/>
        <v>2.245596440535027</v>
      </c>
      <c r="K155" s="51">
        <f t="shared" si="39"/>
        <v>68.30355839960707</v>
      </c>
      <c r="L155" s="51">
        <f t="shared" si="40"/>
        <v>34888.852576782272</v>
      </c>
      <c r="N155" s="51">
        <f t="shared" si="41"/>
        <v>10.859416579161033</v>
      </c>
      <c r="O155" s="51">
        <f>(('Price Deck'!Q149/'Propane Royalties'!$B$2))/'Price Deck'!M149</f>
        <v>298.69667700839994</v>
      </c>
      <c r="P155" s="39"/>
      <c r="Q155" s="51">
        <f t="shared" si="42"/>
        <v>0.36026583943495594</v>
      </c>
      <c r="R155" s="51">
        <f t="shared" si="43"/>
        <v>0.1</v>
      </c>
      <c r="S155" s="51">
        <f t="shared" si="44"/>
        <v>0.52540528755696791</v>
      </c>
      <c r="T155" s="51">
        <f t="shared" si="45"/>
        <v>0.38386571147932391</v>
      </c>
      <c r="U155" s="51">
        <f t="shared" si="46"/>
        <v>0.36026583943495594</v>
      </c>
      <c r="W155" s="51">
        <f t="shared" si="47"/>
        <v>-0.24723978761813262</v>
      </c>
      <c r="X155" s="39">
        <f t="shared" si="48"/>
        <v>0.11302605181682332</v>
      </c>
      <c r="Y155" s="39">
        <f t="shared" si="49"/>
        <v>0.11302605181682332</v>
      </c>
      <c r="AA155" s="85">
        <f>'Price Deck'!Q149/'Price Deck'!M149</f>
        <v>47.489057999999993</v>
      </c>
      <c r="AB155" s="72">
        <f t="shared" si="50"/>
        <v>9829.3080195312941</v>
      </c>
      <c r="AC155" s="72">
        <f t="shared" si="51"/>
        <v>1110.967877539061</v>
      </c>
      <c r="AD155" s="85">
        <f t="shared" si="52"/>
        <v>5.3675007302401276</v>
      </c>
    </row>
    <row r="156" spans="1:30">
      <c r="A156" t="str">
        <f>'Price Deck'!A150</f>
        <v>04/2031</v>
      </c>
      <c r="B156" s="51">
        <f>'Liquids Type Curve'!A163</f>
        <v>11.755224132120002</v>
      </c>
      <c r="C156" s="51">
        <f>'Liquids Type Curve'!B163</f>
        <v>141.06268958544001</v>
      </c>
      <c r="D156" s="51">
        <f>'Liquids Type Curve'!C163</f>
        <v>6.7598634448816757</v>
      </c>
      <c r="E156" s="51">
        <f>'Liquids Type Curve'!D163</f>
        <v>205.61251311515099</v>
      </c>
      <c r="F156" s="51">
        <f>'Liquids Type Curve'!E163</f>
        <v>105929.40820033416</v>
      </c>
      <c r="H156" s="51">
        <f t="shared" si="36"/>
        <v>11.755224132120002</v>
      </c>
      <c r="I156" s="51">
        <f t="shared" si="37"/>
        <v>141.06268958544001</v>
      </c>
      <c r="J156" s="51">
        <f t="shared" si="38"/>
        <v>2.2307549368109529</v>
      </c>
      <c r="K156" s="51">
        <f t="shared" si="39"/>
        <v>67.852129327999833</v>
      </c>
      <c r="L156" s="51">
        <f t="shared" si="40"/>
        <v>34956.704706110271</v>
      </c>
      <c r="N156" s="51">
        <f t="shared" si="41"/>
        <v>10.787644969315373</v>
      </c>
      <c r="O156" s="51">
        <f>(('Price Deck'!Q150/'Propane Royalties'!$B$2))/'Price Deck'!M150</f>
        <v>298.69667700839994</v>
      </c>
      <c r="P156" s="39"/>
      <c r="Q156" s="51">
        <f t="shared" si="42"/>
        <v>0.36026583943495594</v>
      </c>
      <c r="R156" s="51">
        <f t="shared" si="43"/>
        <v>0.1</v>
      </c>
      <c r="S156" s="51">
        <f t="shared" si="44"/>
        <v>0.52540528755696791</v>
      </c>
      <c r="T156" s="51">
        <f t="shared" si="45"/>
        <v>0.38386571147932391</v>
      </c>
      <c r="U156" s="51">
        <f t="shared" si="46"/>
        <v>0.36026583943495594</v>
      </c>
      <c r="W156" s="51">
        <f t="shared" si="47"/>
        <v>-0.24733667929142425</v>
      </c>
      <c r="X156" s="39">
        <f t="shared" si="48"/>
        <v>0.11292916014353169</v>
      </c>
      <c r="Y156" s="39">
        <f t="shared" si="49"/>
        <v>0.11292916014353169</v>
      </c>
      <c r="AA156" s="85">
        <f>'Price Deck'!Q150/'Price Deck'!M150</f>
        <v>47.489057999999993</v>
      </c>
      <c r="AB156" s="72">
        <f t="shared" si="50"/>
        <v>9764.3445608511647</v>
      </c>
      <c r="AC156" s="72">
        <f t="shared" si="51"/>
        <v>1102.6792306089837</v>
      </c>
      <c r="AD156" s="85">
        <f t="shared" si="52"/>
        <v>5.3628994359474635</v>
      </c>
    </row>
    <row r="157" spans="1:30">
      <c r="A157" t="str">
        <f>'Price Deck'!A151</f>
        <v>05/2031</v>
      </c>
      <c r="B157" s="51">
        <f>'Liquids Type Curve'!A164</f>
        <v>11.838557465453336</v>
      </c>
      <c r="C157" s="51">
        <f>'Liquids Type Curve'!B164</f>
        <v>142.06268958544004</v>
      </c>
      <c r="D157" s="51">
        <f>'Liquids Type Curve'!C164</f>
        <v>6.7155009967054475</v>
      </c>
      <c r="E157" s="51">
        <f>'Liquids Type Curve'!D164</f>
        <v>204.26315531645736</v>
      </c>
      <c r="F157" s="51">
        <f>'Liquids Type Curve'!E164</f>
        <v>106133.67135565061</v>
      </c>
      <c r="H157" s="51">
        <f t="shared" si="36"/>
        <v>11.838557465453336</v>
      </c>
      <c r="I157" s="51">
        <f t="shared" si="37"/>
        <v>142.06268958544004</v>
      </c>
      <c r="J157" s="51">
        <f t="shared" si="38"/>
        <v>2.2161153289127977</v>
      </c>
      <c r="K157" s="51">
        <f t="shared" si="39"/>
        <v>67.40684125443093</v>
      </c>
      <c r="L157" s="51">
        <f t="shared" si="40"/>
        <v>35024.111547364708</v>
      </c>
      <c r="N157" s="51">
        <f t="shared" si="41"/>
        <v>10.716849701807837</v>
      </c>
      <c r="O157" s="51">
        <f>(('Price Deck'!Q151/'Propane Royalties'!$B$2))/'Price Deck'!M151</f>
        <v>298.69667700839994</v>
      </c>
      <c r="P157" s="39"/>
      <c r="Q157" s="51">
        <f t="shared" si="42"/>
        <v>0.36026583943495594</v>
      </c>
      <c r="R157" s="51">
        <f t="shared" si="43"/>
        <v>0.1</v>
      </c>
      <c r="S157" s="51">
        <f t="shared" si="44"/>
        <v>0.52540528755696791</v>
      </c>
      <c r="T157" s="51">
        <f t="shared" si="45"/>
        <v>0.38386571147932391</v>
      </c>
      <c r="U157" s="51">
        <f t="shared" si="46"/>
        <v>0.36026583943495594</v>
      </c>
      <c r="W157" s="51">
        <f t="shared" si="47"/>
        <v>-0.24743225290255944</v>
      </c>
      <c r="X157" s="39">
        <f t="shared" si="48"/>
        <v>0.1128335865323965</v>
      </c>
      <c r="Y157" s="39">
        <f t="shared" si="49"/>
        <v>0.1128335865323965</v>
      </c>
      <c r="AA157" s="85">
        <f>'Price Deck'!Q151/'Price Deck'!M151</f>
        <v>47.489057999999993</v>
      </c>
      <c r="AB157" s="72">
        <f t="shared" si="50"/>
        <v>9700.2648300862511</v>
      </c>
      <c r="AC157" s="72">
        <f t="shared" si="51"/>
        <v>1094.5156710926994</v>
      </c>
      <c r="AD157" s="85">
        <f t="shared" si="52"/>
        <v>5.3583607351849958</v>
      </c>
    </row>
    <row r="158" spans="1:30">
      <c r="A158" t="str">
        <f>'Price Deck'!A152</f>
        <v>06/2031</v>
      </c>
      <c r="B158" s="51">
        <f>'Liquids Type Curve'!A165</f>
        <v>11.92189079878667</v>
      </c>
      <c r="C158" s="51">
        <f>'Liquids Type Curve'!B165</f>
        <v>143.06268958544004</v>
      </c>
      <c r="D158" s="51">
        <f>'Liquids Type Curve'!C165</f>
        <v>6.6717378120701438</v>
      </c>
      <c r="E158" s="51">
        <f>'Liquids Type Curve'!D165</f>
        <v>202.93202511713355</v>
      </c>
      <c r="F158" s="51">
        <f>'Liquids Type Curve'!E165</f>
        <v>106336.60338076774</v>
      </c>
      <c r="H158" s="51">
        <f t="shared" si="36"/>
        <v>11.92189079878667</v>
      </c>
      <c r="I158" s="51">
        <f t="shared" si="37"/>
        <v>143.06268958544004</v>
      </c>
      <c r="J158" s="51">
        <f t="shared" si="38"/>
        <v>2.2016734779831477</v>
      </c>
      <c r="K158" s="51">
        <f t="shared" si="39"/>
        <v>66.967568288654078</v>
      </c>
      <c r="L158" s="51">
        <f t="shared" si="40"/>
        <v>35091.07911565336</v>
      </c>
      <c r="N158" s="51">
        <f t="shared" si="41"/>
        <v>10.647010761654437</v>
      </c>
      <c r="O158" s="51">
        <f>(('Price Deck'!Q152/'Propane Royalties'!$B$2))/'Price Deck'!M152</f>
        <v>298.69667700839994</v>
      </c>
      <c r="P158" s="39"/>
      <c r="Q158" s="51">
        <f t="shared" si="42"/>
        <v>0.36026583943495594</v>
      </c>
      <c r="R158" s="51">
        <f t="shared" si="43"/>
        <v>0.1</v>
      </c>
      <c r="S158" s="51">
        <f t="shared" si="44"/>
        <v>0.52540528755696791</v>
      </c>
      <c r="T158" s="51">
        <f t="shared" si="45"/>
        <v>0.38386571147932391</v>
      </c>
      <c r="U158" s="51">
        <f t="shared" si="46"/>
        <v>0.36026583943495594</v>
      </c>
      <c r="W158" s="51">
        <f t="shared" si="47"/>
        <v>-0.24752653547176653</v>
      </c>
      <c r="X158" s="39">
        <f t="shared" si="48"/>
        <v>0.1127393039631894</v>
      </c>
      <c r="Y158" s="39">
        <f t="shared" si="49"/>
        <v>0.1127393039631894</v>
      </c>
      <c r="AA158" s="85">
        <f>'Price Deck'!Q152/'Price Deck'!M152</f>
        <v>47.489057999999993</v>
      </c>
      <c r="AB158" s="72">
        <f t="shared" si="50"/>
        <v>9637.0507108450111</v>
      </c>
      <c r="AC158" s="72">
        <f t="shared" si="51"/>
        <v>1086.4743893986263</v>
      </c>
      <c r="AD158" s="85">
        <f t="shared" si="52"/>
        <v>5.3538833447875316</v>
      </c>
    </row>
    <row r="159" spans="1:30">
      <c r="A159" t="str">
        <f>'Price Deck'!A153</f>
        <v>07/2031</v>
      </c>
      <c r="B159" s="51">
        <f>'Liquids Type Curve'!A166</f>
        <v>12.005224132120004</v>
      </c>
      <c r="C159" s="51">
        <f>'Liquids Type Curve'!B166</f>
        <v>144.06268958544004</v>
      </c>
      <c r="D159" s="51">
        <f>'Liquids Type Curve'!C166</f>
        <v>6.6285616913888292</v>
      </c>
      <c r="E159" s="51">
        <f>'Liquids Type Curve'!D166</f>
        <v>201.61875144641024</v>
      </c>
      <c r="F159" s="51">
        <f>'Liquids Type Curve'!E166</f>
        <v>106538.22213221416</v>
      </c>
      <c r="H159" s="51">
        <f t="shared" si="36"/>
        <v>12.005224132120004</v>
      </c>
      <c r="I159" s="51">
        <f t="shared" si="37"/>
        <v>144.06268958544004</v>
      </c>
      <c r="J159" s="51">
        <f t="shared" si="38"/>
        <v>2.1874253581583138</v>
      </c>
      <c r="K159" s="51">
        <f t="shared" si="39"/>
        <v>66.534187977315383</v>
      </c>
      <c r="L159" s="51">
        <f t="shared" si="40"/>
        <v>35157.613303630671</v>
      </c>
      <c r="N159" s="51">
        <f t="shared" si="41"/>
        <v>10.578108680294347</v>
      </c>
      <c r="O159" s="51">
        <f>(('Price Deck'!Q153/'Propane Royalties'!$B$2))/'Price Deck'!M153</f>
        <v>298.69667700839994</v>
      </c>
      <c r="P159" s="39"/>
      <c r="Q159" s="51">
        <f t="shared" si="42"/>
        <v>0.36026583943495594</v>
      </c>
      <c r="R159" s="51">
        <f t="shared" si="43"/>
        <v>0.1</v>
      </c>
      <c r="S159" s="51">
        <f t="shared" si="44"/>
        <v>0.52540528755696791</v>
      </c>
      <c r="T159" s="51">
        <f t="shared" si="45"/>
        <v>0.38386571147932391</v>
      </c>
      <c r="U159" s="51">
        <f t="shared" si="46"/>
        <v>0.36026583943495594</v>
      </c>
      <c r="W159" s="51">
        <f t="shared" si="47"/>
        <v>-0.24761955328160265</v>
      </c>
      <c r="X159" s="39">
        <f t="shared" si="48"/>
        <v>0.11264628615335329</v>
      </c>
      <c r="Y159" s="39">
        <f t="shared" si="49"/>
        <v>0.11264628615335329</v>
      </c>
      <c r="AA159" s="85">
        <f>'Price Deck'!Q153/'Price Deck'!M153</f>
        <v>47.489057999999993</v>
      </c>
      <c r="AB159" s="72">
        <f t="shared" si="50"/>
        <v>9574.6845813261589</v>
      </c>
      <c r="AC159" s="72">
        <f t="shared" si="51"/>
        <v>1078.5526591761661</v>
      </c>
      <c r="AD159" s="85">
        <f t="shared" si="52"/>
        <v>5.3494660166211903</v>
      </c>
    </row>
    <row r="160" spans="1:30">
      <c r="A160" t="str">
        <f>'Price Deck'!A154</f>
        <v>08/2031</v>
      </c>
      <c r="B160" s="51">
        <f>'Liquids Type Curve'!A167</f>
        <v>12.088557465453338</v>
      </c>
      <c r="C160" s="51">
        <f>'Liquids Type Curve'!B167</f>
        <v>145.06268958544007</v>
      </c>
      <c r="D160" s="51">
        <f>'Liquids Type Curve'!C167</f>
        <v>6.5859607658354369</v>
      </c>
      <c r="E160" s="51">
        <f>'Liquids Type Curve'!D167</f>
        <v>200.32297329416122</v>
      </c>
      <c r="F160" s="51">
        <f>'Liquids Type Curve'!E167</f>
        <v>106738.54510550831</v>
      </c>
      <c r="H160" s="51">
        <f t="shared" si="36"/>
        <v>12.088557465453338</v>
      </c>
      <c r="I160" s="51">
        <f t="shared" si="37"/>
        <v>145.06268958544007</v>
      </c>
      <c r="J160" s="51">
        <f t="shared" si="38"/>
        <v>2.1733670527256943</v>
      </c>
      <c r="K160" s="51">
        <f t="shared" si="39"/>
        <v>66.106581187073203</v>
      </c>
      <c r="L160" s="51">
        <f t="shared" si="40"/>
        <v>35223.719884817743</v>
      </c>
      <c r="N160" s="51">
        <f t="shared" si="41"/>
        <v>10.510124517007409</v>
      </c>
      <c r="O160" s="51">
        <f>(('Price Deck'!Q154/'Propane Royalties'!$B$2))/'Price Deck'!M154</f>
        <v>298.69667700839994</v>
      </c>
      <c r="P160" s="39"/>
      <c r="Q160" s="51">
        <f t="shared" si="42"/>
        <v>0.36026583943495594</v>
      </c>
      <c r="R160" s="51">
        <f t="shared" si="43"/>
        <v>0.1</v>
      </c>
      <c r="S160" s="51">
        <f t="shared" si="44"/>
        <v>0.52540528755696791</v>
      </c>
      <c r="T160" s="51">
        <f t="shared" si="45"/>
        <v>0.38386571147932391</v>
      </c>
      <c r="U160" s="51">
        <f t="shared" si="46"/>
        <v>0.36026583943495594</v>
      </c>
      <c r="W160" s="51">
        <f t="shared" si="47"/>
        <v>-0.24771133190204003</v>
      </c>
      <c r="X160" s="39">
        <f t="shared" si="48"/>
        <v>0.1125545075329159</v>
      </c>
      <c r="Y160" s="39">
        <f t="shared" si="49"/>
        <v>0.1125545075329159</v>
      </c>
      <c r="AA160" s="85">
        <f>'Price Deck'!Q154/'Price Deck'!M154</f>
        <v>47.489057999999993</v>
      </c>
      <c r="AB160" s="72">
        <f t="shared" si="50"/>
        <v>9513.1492974988723</v>
      </c>
      <c r="AC160" s="72">
        <f t="shared" si="51"/>
        <v>1070.7478342670904</v>
      </c>
      <c r="AD160" s="85">
        <f t="shared" si="52"/>
        <v>5.3451075363920797</v>
      </c>
    </row>
    <row r="161" spans="1:30">
      <c r="A161" t="str">
        <f>'Price Deck'!A155</f>
        <v>09/2031</v>
      </c>
      <c r="B161" s="51">
        <f>'Liquids Type Curve'!A168</f>
        <v>12.171890798786672</v>
      </c>
      <c r="C161" s="51">
        <f>'Liquids Type Curve'!B168</f>
        <v>146.06268958544007</v>
      </c>
      <c r="D161" s="51">
        <f>'Liquids Type Curve'!C168</f>
        <v>6.5439234861733562</v>
      </c>
      <c r="E161" s="51">
        <f>'Liquids Type Curve'!D168</f>
        <v>199.04433937110625</v>
      </c>
      <c r="F161" s="51">
        <f>'Liquids Type Curve'!E168</f>
        <v>106937.58944487941</v>
      </c>
      <c r="H161" s="51">
        <f t="shared" si="36"/>
        <v>12.171890798786672</v>
      </c>
      <c r="I161" s="51">
        <f t="shared" si="37"/>
        <v>146.06268958544007</v>
      </c>
      <c r="J161" s="51">
        <f t="shared" si="38"/>
        <v>2.1594947504372075</v>
      </c>
      <c r="K161" s="51">
        <f t="shared" si="39"/>
        <v>65.684631992465071</v>
      </c>
      <c r="L161" s="51">
        <f t="shared" si="40"/>
        <v>35289.404516810209</v>
      </c>
      <c r="N161" s="51">
        <f t="shared" si="41"/>
        <v>10.443039841086373</v>
      </c>
      <c r="O161" s="51">
        <f>(('Price Deck'!Q155/'Propane Royalties'!$B$2))/'Price Deck'!M155</f>
        <v>298.69667700839994</v>
      </c>
      <c r="P161" s="39"/>
      <c r="Q161" s="51">
        <f t="shared" si="42"/>
        <v>0.36026583943495594</v>
      </c>
      <c r="R161" s="51">
        <f t="shared" si="43"/>
        <v>0.1</v>
      </c>
      <c r="S161" s="51">
        <f t="shared" si="44"/>
        <v>0.52540528755696791</v>
      </c>
      <c r="T161" s="51">
        <f t="shared" si="45"/>
        <v>0.38386571147932391</v>
      </c>
      <c r="U161" s="51">
        <f t="shared" si="46"/>
        <v>0.36026583943495594</v>
      </c>
      <c r="W161" s="51">
        <f t="shared" si="47"/>
        <v>-0.24780189621453341</v>
      </c>
      <c r="X161" s="39">
        <f t="shared" si="48"/>
        <v>0.11246394322042252</v>
      </c>
      <c r="Y161" s="39">
        <f t="shared" si="49"/>
        <v>0.11246394322042252</v>
      </c>
      <c r="AA161" s="85">
        <f>'Price Deck'!Q155/'Price Deck'!M155</f>
        <v>47.489057999999993</v>
      </c>
      <c r="AB161" s="72">
        <f t="shared" si="50"/>
        <v>9452.4281769661466</v>
      </c>
      <c r="AC161" s="72">
        <f t="shared" si="51"/>
        <v>1063.0573457894427</v>
      </c>
      <c r="AD161" s="85">
        <f t="shared" si="52"/>
        <v>5.3408067225033511</v>
      </c>
    </row>
    <row r="162" spans="1:30">
      <c r="A162" t="str">
        <f>'Price Deck'!A156</f>
        <v>10/2031</v>
      </c>
      <c r="B162" s="51">
        <f>'Liquids Type Curve'!A169</f>
        <v>12.255224132120006</v>
      </c>
      <c r="C162" s="51">
        <f>'Liquids Type Curve'!B169</f>
        <v>147.06268958544007</v>
      </c>
      <c r="D162" s="51">
        <f>'Liquids Type Curve'!C169</f>
        <v>6.5024386120348048</v>
      </c>
      <c r="E162" s="51">
        <f>'Liquids Type Curve'!D169</f>
        <v>197.78250778272533</v>
      </c>
      <c r="F162" s="51">
        <f>'Liquids Type Curve'!E169</f>
        <v>107135.37195266214</v>
      </c>
      <c r="H162" s="51">
        <f t="shared" si="36"/>
        <v>12.255224132120006</v>
      </c>
      <c r="I162" s="51">
        <f t="shared" si="37"/>
        <v>147.06268958544007</v>
      </c>
      <c r="J162" s="51">
        <f t="shared" si="38"/>
        <v>2.1458047419714856</v>
      </c>
      <c r="K162" s="51">
        <f t="shared" si="39"/>
        <v>65.268227568299366</v>
      </c>
      <c r="L162" s="51">
        <f t="shared" si="40"/>
        <v>35354.672744378506</v>
      </c>
      <c r="N162" s="51">
        <f t="shared" si="41"/>
        <v>10.376836714728507</v>
      </c>
      <c r="O162" s="51">
        <f>(('Price Deck'!Q156/'Propane Royalties'!$B$2))/'Price Deck'!M156</f>
        <v>298.69667700839994</v>
      </c>
      <c r="P162" s="39"/>
      <c r="Q162" s="51">
        <f t="shared" si="42"/>
        <v>0.36026583943495594</v>
      </c>
      <c r="R162" s="51">
        <f t="shared" si="43"/>
        <v>0.1</v>
      </c>
      <c r="S162" s="51">
        <f t="shared" si="44"/>
        <v>0.52540528755696791</v>
      </c>
      <c r="T162" s="51">
        <f t="shared" si="45"/>
        <v>0.38386571147932391</v>
      </c>
      <c r="U162" s="51">
        <f t="shared" si="46"/>
        <v>0.36026583943495594</v>
      </c>
      <c r="W162" s="51">
        <f t="shared" si="47"/>
        <v>-0.24789127043511652</v>
      </c>
      <c r="X162" s="39">
        <f t="shared" si="48"/>
        <v>0.11237456899983941</v>
      </c>
      <c r="Y162" s="39">
        <f t="shared" si="49"/>
        <v>0.11237456899983941</v>
      </c>
      <c r="AA162" s="85">
        <f>'Price Deck'!Q156/'Price Deck'!M156</f>
        <v>47.489057999999993</v>
      </c>
      <c r="AB162" s="72">
        <f t="shared" si="50"/>
        <v>9392.5049834792935</v>
      </c>
      <c r="AC162" s="72">
        <f t="shared" si="51"/>
        <v>1055.4786993473294</v>
      </c>
      <c r="AD162" s="85">
        <f t="shared" si="52"/>
        <v>5.336562424958375</v>
      </c>
    </row>
    <row r="163" spans="1:30">
      <c r="A163" t="str">
        <f>'Price Deck'!A157</f>
        <v>11/2031</v>
      </c>
      <c r="B163" s="51">
        <f>'Liquids Type Curve'!A170</f>
        <v>12.33855746545334</v>
      </c>
      <c r="C163" s="51">
        <f>'Liquids Type Curve'!B170</f>
        <v>148.06268958544007</v>
      </c>
      <c r="D163" s="51">
        <f>'Liquids Type Curve'!C170</f>
        <v>6.4614952016297913</v>
      </c>
      <c r="E163" s="51">
        <f>'Liquids Type Curve'!D170</f>
        <v>196.53714571623948</v>
      </c>
      <c r="F163" s="51">
        <f>'Liquids Type Curve'!E170</f>
        <v>107331.90909837838</v>
      </c>
      <c r="H163" s="51">
        <f t="shared" si="36"/>
        <v>12.33855746545334</v>
      </c>
      <c r="I163" s="51">
        <f t="shared" si="37"/>
        <v>148.06268958544007</v>
      </c>
      <c r="J163" s="51">
        <f t="shared" si="38"/>
        <v>2.1322934165378311</v>
      </c>
      <c r="K163" s="51">
        <f t="shared" si="39"/>
        <v>64.857258086359025</v>
      </c>
      <c r="L163" s="51">
        <f t="shared" si="40"/>
        <v>35419.530002464868</v>
      </c>
      <c r="N163" s="51">
        <f t="shared" si="41"/>
        <v>10.311497676612774</v>
      </c>
      <c r="O163" s="51">
        <f>(('Price Deck'!Q157/'Propane Royalties'!$B$2))/'Price Deck'!M157</f>
        <v>298.69667700839994</v>
      </c>
      <c r="P163" s="39"/>
      <c r="Q163" s="51">
        <f t="shared" si="42"/>
        <v>0.36026583943495594</v>
      </c>
      <c r="R163" s="51">
        <f t="shared" si="43"/>
        <v>0.1</v>
      </c>
      <c r="S163" s="51">
        <f t="shared" si="44"/>
        <v>0.52540528755696791</v>
      </c>
      <c r="T163" s="51">
        <f t="shared" si="45"/>
        <v>0.38386571147932391</v>
      </c>
      <c r="U163" s="51">
        <f t="shared" si="46"/>
        <v>0.36026583943495594</v>
      </c>
      <c r="W163" s="51">
        <f t="shared" si="47"/>
        <v>-0.24797947813657278</v>
      </c>
      <c r="X163" s="39">
        <f t="shared" si="48"/>
        <v>0.11228636129838315</v>
      </c>
      <c r="Y163" s="39">
        <f t="shared" si="49"/>
        <v>0.11228636129838315</v>
      </c>
      <c r="AA163" s="85">
        <f>'Price Deck'!Q157/'Price Deck'!M157</f>
        <v>47.489057999999993</v>
      </c>
      <c r="AB163" s="72">
        <f t="shared" si="50"/>
        <v>9333.3639120729476</v>
      </c>
      <c r="AC163" s="72">
        <f t="shared" si="51"/>
        <v>1048.0094723603138</v>
      </c>
      <c r="AD163" s="85">
        <f t="shared" si="52"/>
        <v>5.3323735243078723</v>
      </c>
    </row>
    <row r="164" spans="1:30">
      <c r="A164" t="str">
        <f>'Price Deck'!A158</f>
        <v>12/2031</v>
      </c>
      <c r="B164" s="51">
        <f>'Liquids Type Curve'!A171</f>
        <v>12.421890798786674</v>
      </c>
      <c r="C164" s="51">
        <f>'Liquids Type Curve'!B171</f>
        <v>149.06268958544007</v>
      </c>
      <c r="D164" s="51">
        <f>'Liquids Type Curve'!C171</f>
        <v>6.4210826018647218</v>
      </c>
      <c r="E164" s="51">
        <f>'Liquids Type Curve'!D171</f>
        <v>195.30792914005195</v>
      </c>
      <c r="F164" s="51">
        <f>'Liquids Type Curve'!E171</f>
        <v>107527.21702751843</v>
      </c>
      <c r="H164" s="51">
        <f t="shared" si="36"/>
        <v>12.421890798786674</v>
      </c>
      <c r="I164" s="51">
        <f t="shared" si="37"/>
        <v>149.06268958544007</v>
      </c>
      <c r="J164" s="51">
        <f t="shared" si="38"/>
        <v>2.1189572586153584</v>
      </c>
      <c r="K164" s="51">
        <f t="shared" si="39"/>
        <v>64.451616616217152</v>
      </c>
      <c r="L164" s="51">
        <f t="shared" si="40"/>
        <v>35483.981619081082</v>
      </c>
      <c r="N164" s="51">
        <f t="shared" si="41"/>
        <v>10.247005726130743</v>
      </c>
      <c r="O164" s="51">
        <f>(('Price Deck'!Q158/'Propane Royalties'!$B$2))/'Price Deck'!M158</f>
        <v>298.69667700839994</v>
      </c>
      <c r="P164" s="39"/>
      <c r="Q164" s="51">
        <f t="shared" si="42"/>
        <v>0.36026583943495594</v>
      </c>
      <c r="R164" s="51">
        <f t="shared" si="43"/>
        <v>0.1</v>
      </c>
      <c r="S164" s="51">
        <f t="shared" si="44"/>
        <v>0.52540528755696791</v>
      </c>
      <c r="T164" s="51">
        <f t="shared" si="45"/>
        <v>0.38386571147932391</v>
      </c>
      <c r="U164" s="51">
        <f t="shared" si="46"/>
        <v>0.36026583943495594</v>
      </c>
      <c r="W164" s="51">
        <f t="shared" si="47"/>
        <v>-0.24806654226972352</v>
      </c>
      <c r="X164" s="39">
        <f t="shared" si="48"/>
        <v>0.11219929716523241</v>
      </c>
      <c r="Y164" s="39">
        <f t="shared" si="49"/>
        <v>0.11219929716523241</v>
      </c>
      <c r="AA164" s="85">
        <f>'Price Deck'!Q158/'Price Deck'!M158</f>
        <v>47.489057999999993</v>
      </c>
      <c r="AB164" s="72">
        <f t="shared" si="50"/>
        <v>9274.9895747918163</v>
      </c>
      <c r="AC164" s="72">
        <f t="shared" si="51"/>
        <v>1040.6473115064996</v>
      </c>
      <c r="AD164" s="85">
        <f t="shared" si="52"/>
        <v>5.3282389306389568</v>
      </c>
    </row>
    <row r="165" spans="1:30">
      <c r="A165" t="str">
        <f>'Price Deck'!A159</f>
        <v>01/2032</v>
      </c>
      <c r="B165" s="51">
        <f>'Liquids Type Curve'!A172</f>
        <v>12.505224132120007</v>
      </c>
      <c r="C165" s="51">
        <f>'Liquids Type Curve'!B172</f>
        <v>150.0626895854401</v>
      </c>
      <c r="D165" s="51">
        <f>'Liquids Type Curve'!C172</f>
        <v>6.3811904388517071</v>
      </c>
      <c r="E165" s="51">
        <f>'Liquids Type Curve'!D172</f>
        <v>194.09454251507276</v>
      </c>
      <c r="F165" s="51">
        <f>'Liquids Type Curve'!E172</f>
        <v>107721.3115700335</v>
      </c>
      <c r="H165" s="51">
        <f t="shared" si="36"/>
        <v>12.505224132120007</v>
      </c>
      <c r="I165" s="51">
        <f t="shared" si="37"/>
        <v>150.0626895854401</v>
      </c>
      <c r="J165" s="51">
        <f t="shared" si="38"/>
        <v>2.1057928448210634</v>
      </c>
      <c r="K165" s="51">
        <f t="shared" si="39"/>
        <v>64.051199029974015</v>
      </c>
      <c r="L165" s="51">
        <f t="shared" si="40"/>
        <v>35548.03281811106</v>
      </c>
      <c r="N165" s="51">
        <f t="shared" si="41"/>
        <v>10.183344308240963</v>
      </c>
      <c r="O165" s="51">
        <f>(('Price Deck'!Q159/'Propane Royalties'!$B$2))/'Price Deck'!M159</f>
        <v>298.69667700839994</v>
      </c>
      <c r="P165" s="39"/>
      <c r="Q165" s="51">
        <f t="shared" si="42"/>
        <v>0.36026583943495594</v>
      </c>
      <c r="R165" s="51">
        <f t="shared" si="43"/>
        <v>0.1</v>
      </c>
      <c r="S165" s="51">
        <f t="shared" si="44"/>
        <v>0.52540528755696791</v>
      </c>
      <c r="T165" s="51">
        <f t="shared" si="45"/>
        <v>0.38386571147932391</v>
      </c>
      <c r="U165" s="51">
        <f t="shared" si="46"/>
        <v>0.36026583943495594</v>
      </c>
      <c r="W165" s="51">
        <f t="shared" si="47"/>
        <v>-0.2481524851838747</v>
      </c>
      <c r="X165" s="39">
        <f t="shared" si="48"/>
        <v>0.11211335425108124</v>
      </c>
      <c r="Y165" s="39">
        <f t="shared" si="49"/>
        <v>0.11211335425108124</v>
      </c>
      <c r="AA165" s="85">
        <f>'Price Deck'!Q159/'Price Deck'!M159</f>
        <v>47.489057999999993</v>
      </c>
      <c r="AB165" s="72">
        <f t="shared" si="50"/>
        <v>9217.366986981755</v>
      </c>
      <c r="AC165" s="72">
        <f t="shared" si="51"/>
        <v>1033.3899302737068</v>
      </c>
      <c r="AD165" s="85">
        <f t="shared" si="52"/>
        <v>5.3241575826041432</v>
      </c>
    </row>
    <row r="166" spans="1:30">
      <c r="A166" t="str">
        <f>'Price Deck'!A160</f>
        <v>02/2032</v>
      </c>
      <c r="B166" s="51">
        <f>'Liquids Type Curve'!A173</f>
        <v>12.588557465453341</v>
      </c>
      <c r="C166" s="51">
        <f>'Liquids Type Curve'!B173</f>
        <v>151.0626895854401</v>
      </c>
      <c r="D166" s="51">
        <f>'Liquids Type Curve'!C173</f>
        <v>6.3418086087906271</v>
      </c>
      <c r="E166" s="51">
        <f>'Liquids Type Curve'!D173</f>
        <v>192.89667851738159</v>
      </c>
      <c r="F166" s="51">
        <f>'Liquids Type Curve'!E173</f>
        <v>107914.20824855089</v>
      </c>
      <c r="H166" s="51">
        <f t="shared" si="36"/>
        <v>12.588557465453341</v>
      </c>
      <c r="I166" s="51">
        <f t="shared" si="37"/>
        <v>151.0626895854401</v>
      </c>
      <c r="J166" s="51">
        <f t="shared" si="38"/>
        <v>2.092796840900907</v>
      </c>
      <c r="K166" s="51">
        <f t="shared" si="39"/>
        <v>63.65590391073593</v>
      </c>
      <c r="L166" s="51">
        <f t="shared" si="40"/>
        <v>35611.688722021798</v>
      </c>
      <c r="N166" s="51">
        <f t="shared" si="41"/>
        <v>10.120497298918238</v>
      </c>
      <c r="O166" s="51">
        <f>(('Price Deck'!Q160/'Propane Royalties'!$B$2))/'Price Deck'!M160</f>
        <v>298.69667700839994</v>
      </c>
      <c r="P166" s="39"/>
      <c r="Q166" s="51">
        <f t="shared" si="42"/>
        <v>0.36026583943495594</v>
      </c>
      <c r="R166" s="51">
        <f t="shared" si="43"/>
        <v>0.1</v>
      </c>
      <c r="S166" s="51">
        <f t="shared" si="44"/>
        <v>0.52540528755696791</v>
      </c>
      <c r="T166" s="51">
        <f t="shared" si="45"/>
        <v>0.38386571147932391</v>
      </c>
      <c r="U166" s="51">
        <f t="shared" si="46"/>
        <v>0.36026583943495594</v>
      </c>
      <c r="W166" s="51">
        <f t="shared" si="47"/>
        <v>-0.24823732864646042</v>
      </c>
      <c r="X166" s="39">
        <f t="shared" si="48"/>
        <v>0.11202851078849552</v>
      </c>
      <c r="Y166" s="39">
        <f t="shared" si="49"/>
        <v>0.11202851078849552</v>
      </c>
      <c r="AA166" s="85">
        <f>'Price Deck'!Q160/'Price Deck'!M160</f>
        <v>47.489057999999993</v>
      </c>
      <c r="AB166" s="72">
        <f t="shared" si="50"/>
        <v>9160.4815541192875</v>
      </c>
      <c r="AC166" s="72">
        <f t="shared" si="51"/>
        <v>1026.2351066134668</v>
      </c>
      <c r="AD166" s="85">
        <f t="shared" si="52"/>
        <v>5.3201284464884893</v>
      </c>
    </row>
    <row r="167" spans="1:30">
      <c r="A167" t="str">
        <f>'Price Deck'!A161</f>
        <v>03/2032</v>
      </c>
      <c r="B167" s="51">
        <f>'Liquids Type Curve'!A174</f>
        <v>12.671890798786675</v>
      </c>
      <c r="C167" s="51">
        <f>'Liquids Type Curve'!B174</f>
        <v>152.0626895854401</v>
      </c>
      <c r="D167" s="51">
        <f>'Liquids Type Curve'!C174</f>
        <v>6.3029272692070331</v>
      </c>
      <c r="E167" s="51">
        <f>'Liquids Type Curve'!D174</f>
        <v>191.71403777171392</v>
      </c>
      <c r="F167" s="51">
        <f>'Liquids Type Curve'!E174</f>
        <v>108105.9222863226</v>
      </c>
      <c r="H167" s="51">
        <f t="shared" si="36"/>
        <v>12.671890798786675</v>
      </c>
      <c r="I167" s="51">
        <f t="shared" si="37"/>
        <v>152.0626895854401</v>
      </c>
      <c r="J167" s="51">
        <f t="shared" si="38"/>
        <v>2.079965998838321</v>
      </c>
      <c r="K167" s="51">
        <f t="shared" si="39"/>
        <v>63.265632464665593</v>
      </c>
      <c r="L167" s="51">
        <f t="shared" si="40"/>
        <v>35674.954354486457</v>
      </c>
      <c r="N167" s="51">
        <f t="shared" si="41"/>
        <v>10.058448991170719</v>
      </c>
      <c r="O167" s="51">
        <f>(('Price Deck'!Q161/'Propane Royalties'!$B$2))/'Price Deck'!M161</f>
        <v>298.69667700839994</v>
      </c>
      <c r="P167" s="39"/>
      <c r="Q167" s="51">
        <f t="shared" si="42"/>
        <v>0.36026583943495594</v>
      </c>
      <c r="R167" s="51">
        <f t="shared" si="43"/>
        <v>0.1</v>
      </c>
      <c r="S167" s="51">
        <f t="shared" si="44"/>
        <v>0.52540528755696791</v>
      </c>
      <c r="T167" s="51">
        <f t="shared" si="45"/>
        <v>0.38386571147932391</v>
      </c>
      <c r="U167" s="51">
        <f t="shared" si="46"/>
        <v>0.36026583943495594</v>
      </c>
      <c r="W167" s="51">
        <f t="shared" si="47"/>
        <v>-0.24832109386191956</v>
      </c>
      <c r="X167" s="39">
        <f t="shared" si="48"/>
        <v>0.11194474557303638</v>
      </c>
      <c r="Y167" s="39">
        <f t="shared" si="49"/>
        <v>0.11194474557303638</v>
      </c>
      <c r="AA167" s="85">
        <f>'Price Deck'!Q161/'Price Deck'!M161</f>
        <v>47.489057999999993</v>
      </c>
      <c r="AB167" s="72">
        <f t="shared" si="50"/>
        <v>9104.319059155112</v>
      </c>
      <c r="AC167" s="72">
        <f t="shared" si="51"/>
        <v>1019.1806806928649</v>
      </c>
      <c r="AD167" s="85">
        <f t="shared" si="52"/>
        <v>5.3161505153131667</v>
      </c>
    </row>
    <row r="168" spans="1:30">
      <c r="A168" t="str">
        <f>'Price Deck'!A162</f>
        <v>04/2032</v>
      </c>
      <c r="B168" s="51">
        <f>'Liquids Type Curve'!A175</f>
        <v>12.755224132120009</v>
      </c>
      <c r="C168" s="51">
        <f>'Liquids Type Curve'!B175</f>
        <v>153.06268958544013</v>
      </c>
      <c r="D168" s="51">
        <f>'Liquids Type Curve'!C175</f>
        <v>6.2645368305296456</v>
      </c>
      <c r="E168" s="51">
        <f>'Liquids Type Curve'!D175</f>
        <v>190.54632859527672</v>
      </c>
      <c r="F168" s="51">
        <f>'Liquids Type Curve'!E175</f>
        <v>108296.46861491787</v>
      </c>
      <c r="H168" s="51">
        <f t="shared" si="36"/>
        <v>12.755224132120009</v>
      </c>
      <c r="I168" s="51">
        <f t="shared" si="37"/>
        <v>153.06268958544013</v>
      </c>
      <c r="J168" s="51">
        <f t="shared" si="38"/>
        <v>2.0672971540747831</v>
      </c>
      <c r="K168" s="51">
        <f t="shared" si="39"/>
        <v>62.880288436441319</v>
      </c>
      <c r="L168" s="51">
        <f t="shared" si="40"/>
        <v>35737.834642922899</v>
      </c>
      <c r="N168" s="51">
        <f t="shared" si="41"/>
        <v>9.9971840815989879</v>
      </c>
      <c r="O168" s="51">
        <f>(('Price Deck'!Q162/'Propane Royalties'!$B$2))/'Price Deck'!M162</f>
        <v>298.69667700839994</v>
      </c>
      <c r="P168" s="39"/>
      <c r="Q168" s="51">
        <f t="shared" si="42"/>
        <v>0.36026583943495594</v>
      </c>
      <c r="R168" s="51">
        <f t="shared" si="43"/>
        <v>0.1</v>
      </c>
      <c r="S168" s="51">
        <f t="shared" si="44"/>
        <v>0.52540528755696791</v>
      </c>
      <c r="T168" s="51">
        <f t="shared" si="45"/>
        <v>0.38386571147932391</v>
      </c>
      <c r="U168" s="51">
        <f t="shared" si="46"/>
        <v>0.36026583943495594</v>
      </c>
      <c r="W168" s="51">
        <f t="shared" si="47"/>
        <v>-0.24840380148984137</v>
      </c>
      <c r="X168" s="39">
        <f t="shared" si="48"/>
        <v>0.11186203794511457</v>
      </c>
      <c r="Y168" s="39">
        <f t="shared" si="49"/>
        <v>0.11186203794511457</v>
      </c>
      <c r="AA168" s="85">
        <f>'Price Deck'!Q162/'Price Deck'!M162</f>
        <v>47.489057999999993</v>
      </c>
      <c r="AB168" s="72">
        <f t="shared" si="50"/>
        <v>9048.8656503481525</v>
      </c>
      <c r="AC168" s="72">
        <f t="shared" si="51"/>
        <v>1012.2245527394888</v>
      </c>
      <c r="AD168" s="85">
        <f t="shared" si="52"/>
        <v>5.312222807973745</v>
      </c>
    </row>
    <row r="169" spans="1:30">
      <c r="A169" t="str">
        <f>'Price Deck'!A163</f>
        <v>05/2032</v>
      </c>
      <c r="B169" s="51">
        <f>'Liquids Type Curve'!A176</f>
        <v>12.838557465453343</v>
      </c>
      <c r="C169" s="51">
        <f>'Liquids Type Curve'!B176</f>
        <v>154.06268958544013</v>
      </c>
      <c r="D169" s="51">
        <f>'Liquids Type Curve'!C176</f>
        <v>6.2266279479922417</v>
      </c>
      <c r="E169" s="51">
        <f>'Liquids Type Curve'!D176</f>
        <v>189.3932667514307</v>
      </c>
      <c r="F169" s="51">
        <f>'Liquids Type Curve'!E176</f>
        <v>108485.86188166931</v>
      </c>
      <c r="H169" s="51">
        <f t="shared" si="36"/>
        <v>12.838557465453343</v>
      </c>
      <c r="I169" s="51">
        <f t="shared" si="37"/>
        <v>154.06268958544013</v>
      </c>
      <c r="J169" s="51">
        <f t="shared" si="38"/>
        <v>2.0547872228374398</v>
      </c>
      <c r="K169" s="51">
        <f t="shared" si="39"/>
        <v>62.499778027972134</v>
      </c>
      <c r="L169" s="51">
        <f t="shared" si="40"/>
        <v>35800.334420950872</v>
      </c>
      <c r="N169" s="51">
        <f t="shared" si="41"/>
        <v>9.9366876574727545</v>
      </c>
      <c r="O169" s="51">
        <f>(('Price Deck'!Q163/'Propane Royalties'!$B$2))/'Price Deck'!M163</f>
        <v>298.69667700839994</v>
      </c>
      <c r="P169" s="39"/>
      <c r="Q169" s="51">
        <f t="shared" si="42"/>
        <v>0.36026583943495594</v>
      </c>
      <c r="R169" s="51">
        <f t="shared" si="43"/>
        <v>0.1</v>
      </c>
      <c r="S169" s="51">
        <f t="shared" si="44"/>
        <v>0.52540528755696791</v>
      </c>
      <c r="T169" s="51">
        <f t="shared" si="45"/>
        <v>0.38386571147932391</v>
      </c>
      <c r="U169" s="51">
        <f t="shared" si="46"/>
        <v>0.36026583943495594</v>
      </c>
      <c r="W169" s="51">
        <f t="shared" si="47"/>
        <v>-0.24848547166241178</v>
      </c>
      <c r="X169" s="39">
        <f t="shared" si="48"/>
        <v>0.11178036777254416</v>
      </c>
      <c r="Y169" s="39">
        <f t="shared" si="49"/>
        <v>0.11178036777254416</v>
      </c>
      <c r="AA169" s="85">
        <f>'Price Deck'!Q163/'Price Deck'!M163</f>
        <v>47.489057999999993</v>
      </c>
      <c r="AB169" s="72">
        <f t="shared" si="50"/>
        <v>8994.1078295681637</v>
      </c>
      <c r="AC169" s="72">
        <f t="shared" si="51"/>
        <v>1005.3646809750483</v>
      </c>
      <c r="AD169" s="85">
        <f t="shared" si="52"/>
        <v>5.3083443684116798</v>
      </c>
    </row>
    <row r="170" spans="1:30">
      <c r="A170" t="str">
        <f>'Price Deck'!A164</f>
        <v>06/2032</v>
      </c>
      <c r="B170" s="51">
        <f>'Liquids Type Curve'!A177</f>
        <v>12.921890798786677</v>
      </c>
      <c r="C170" s="51">
        <f>'Liquids Type Curve'!B177</f>
        <v>155.06268958544013</v>
      </c>
      <c r="D170" s="51">
        <f>'Liquids Type Curve'!C177</f>
        <v>6.1891915138454578</v>
      </c>
      <c r="E170" s="51">
        <f>'Liquids Type Curve'!D177</f>
        <v>188.25457521279935</v>
      </c>
      <c r="F170" s="51">
        <f>'Liquids Type Curve'!E177</f>
        <v>108674.11645688211</v>
      </c>
      <c r="H170" s="51">
        <f t="shared" si="36"/>
        <v>12.921890798786677</v>
      </c>
      <c r="I170" s="51">
        <f t="shared" si="37"/>
        <v>155.06268958544013</v>
      </c>
      <c r="J170" s="51">
        <f t="shared" si="38"/>
        <v>2.0424331995690013</v>
      </c>
      <c r="K170" s="51">
        <f t="shared" si="39"/>
        <v>62.12400982022379</v>
      </c>
      <c r="L170" s="51">
        <f t="shared" si="40"/>
        <v>35862.458430771097</v>
      </c>
      <c r="N170" s="51">
        <f t="shared" si="41"/>
        <v>9.8769451843021709</v>
      </c>
      <c r="O170" s="51">
        <f>(('Price Deck'!Q164/'Propane Royalties'!$B$2))/'Price Deck'!M164</f>
        <v>298.69667700839994</v>
      </c>
      <c r="P170" s="39"/>
      <c r="Q170" s="51">
        <f t="shared" si="42"/>
        <v>0.36026583943495594</v>
      </c>
      <c r="R170" s="51">
        <f t="shared" si="43"/>
        <v>0.1</v>
      </c>
      <c r="S170" s="51">
        <f t="shared" si="44"/>
        <v>0.52540528755696791</v>
      </c>
      <c r="T170" s="51">
        <f t="shared" si="45"/>
        <v>0.38386571147932391</v>
      </c>
      <c r="U170" s="51">
        <f t="shared" si="46"/>
        <v>0.36026583943495594</v>
      </c>
      <c r="W170" s="51">
        <f t="shared" si="47"/>
        <v>-0.24856612400119207</v>
      </c>
      <c r="X170" s="39">
        <f t="shared" si="48"/>
        <v>0.11169971543376386</v>
      </c>
      <c r="Y170" s="39">
        <f t="shared" si="49"/>
        <v>0.11169971543376386</v>
      </c>
      <c r="AA170" s="85">
        <f>'Price Deck'!Q164/'Price Deck'!M164</f>
        <v>47.489057999999993</v>
      </c>
      <c r="AB170" s="72">
        <f t="shared" si="50"/>
        <v>8940.0324410459889</v>
      </c>
      <c r="AC170" s="72">
        <f t="shared" si="51"/>
        <v>998.59907963345427</v>
      </c>
      <c r="AD170" s="85">
        <f t="shared" si="52"/>
        <v>5.3045142648175059</v>
      </c>
    </row>
    <row r="171" spans="1:30">
      <c r="A171" t="str">
        <f>'Price Deck'!A165</f>
        <v>07/2032</v>
      </c>
      <c r="B171" s="51">
        <f>'Liquids Type Curve'!A178</f>
        <v>13.005224132120011</v>
      </c>
      <c r="C171" s="51">
        <f>'Liquids Type Curve'!B178</f>
        <v>156.06268958544013</v>
      </c>
      <c r="D171" s="51">
        <f>'Liquids Type Curve'!C178</f>
        <v>6.1522186498646008</v>
      </c>
      <c r="E171" s="51">
        <f>'Liquids Type Curve'!D178</f>
        <v>187.12998393338162</v>
      </c>
      <c r="F171" s="51">
        <f>'Liquids Type Curve'!E178</f>
        <v>108861.24644081549</v>
      </c>
      <c r="H171" s="51">
        <f t="shared" si="36"/>
        <v>13.005224132120011</v>
      </c>
      <c r="I171" s="51">
        <f t="shared" si="37"/>
        <v>156.06268958544013</v>
      </c>
      <c r="J171" s="51">
        <f t="shared" si="38"/>
        <v>2.0302321544553181</v>
      </c>
      <c r="K171" s="51">
        <f t="shared" si="39"/>
        <v>61.752894698015936</v>
      </c>
      <c r="L171" s="51">
        <f t="shared" si="40"/>
        <v>35924.211325469114</v>
      </c>
      <c r="N171" s="51">
        <f t="shared" si="41"/>
        <v>9.8179424938815121</v>
      </c>
      <c r="O171" s="51">
        <f>(('Price Deck'!Q165/'Propane Royalties'!$B$2))/'Price Deck'!M165</f>
        <v>298.69667700839994</v>
      </c>
      <c r="P171" s="39"/>
      <c r="Q171" s="51">
        <f t="shared" si="42"/>
        <v>0.36026583943495594</v>
      </c>
      <c r="R171" s="51">
        <f t="shared" si="43"/>
        <v>0.1</v>
      </c>
      <c r="S171" s="51">
        <f t="shared" si="44"/>
        <v>0.52540528755696791</v>
      </c>
      <c r="T171" s="51">
        <f t="shared" si="45"/>
        <v>0.38386571147932391</v>
      </c>
      <c r="U171" s="51">
        <f t="shared" si="46"/>
        <v>0.36026583943495594</v>
      </c>
      <c r="W171" s="51">
        <f t="shared" si="47"/>
        <v>-0.24864577763325998</v>
      </c>
      <c r="X171" s="39">
        <f t="shared" si="48"/>
        <v>0.11162006180169595</v>
      </c>
      <c r="Y171" s="39">
        <f t="shared" si="49"/>
        <v>0.11162006180169595</v>
      </c>
      <c r="AA171" s="85">
        <f>'Price Deck'!Q165/'Price Deck'!M165</f>
        <v>47.489057999999993</v>
      </c>
      <c r="AB171" s="72">
        <f t="shared" si="50"/>
        <v>8886.6266605514265</v>
      </c>
      <c r="AC171" s="72">
        <f t="shared" si="51"/>
        <v>991.92581705934913</v>
      </c>
      <c r="AD171" s="85">
        <f t="shared" si="52"/>
        <v>5.3007315888643225</v>
      </c>
    </row>
    <row r="172" spans="1:30">
      <c r="A172" t="str">
        <f>'Price Deck'!A166</f>
        <v>08/2032</v>
      </c>
      <c r="B172" s="51">
        <f>'Liquids Type Curve'!A179</f>
        <v>13.088557465453345</v>
      </c>
      <c r="C172" s="51">
        <f>'Liquids Type Curve'!B179</f>
        <v>157.06268958544013</v>
      </c>
      <c r="D172" s="51">
        <f>'Liquids Type Curve'!C179</f>
        <v>6.1157007001406072</v>
      </c>
      <c r="E172" s="51">
        <f>'Liquids Type Curve'!D179</f>
        <v>186.01922962927682</v>
      </c>
      <c r="F172" s="51">
        <f>'Liquids Type Curve'!E179</f>
        <v>109047.26567044477</v>
      </c>
      <c r="H172" s="51">
        <f t="shared" si="36"/>
        <v>13.088557465453345</v>
      </c>
      <c r="I172" s="51">
        <f t="shared" si="37"/>
        <v>157.06268958544013</v>
      </c>
      <c r="J172" s="51">
        <f t="shared" si="38"/>
        <v>2.0181812310464005</v>
      </c>
      <c r="K172" s="51">
        <f t="shared" si="39"/>
        <v>61.386345777661354</v>
      </c>
      <c r="L172" s="51">
        <f t="shared" si="40"/>
        <v>35985.597671246775</v>
      </c>
      <c r="N172" s="51">
        <f t="shared" si="41"/>
        <v>9.7596657727847234</v>
      </c>
      <c r="O172" s="51">
        <f>(('Price Deck'!Q166/'Propane Royalties'!$B$2))/'Price Deck'!M166</f>
        <v>298.69667700839994</v>
      </c>
      <c r="P172" s="39"/>
      <c r="Q172" s="51">
        <f t="shared" si="42"/>
        <v>0.36026583943495594</v>
      </c>
      <c r="R172" s="51">
        <f t="shared" si="43"/>
        <v>0.1</v>
      </c>
      <c r="S172" s="51">
        <f t="shared" si="44"/>
        <v>0.52540528755696791</v>
      </c>
      <c r="T172" s="51">
        <f t="shared" si="45"/>
        <v>0.38386571147932391</v>
      </c>
      <c r="U172" s="51">
        <f t="shared" si="46"/>
        <v>0.36026583943495594</v>
      </c>
      <c r="W172" s="51">
        <f t="shared" si="47"/>
        <v>-0.24872445120674064</v>
      </c>
      <c r="X172" s="39">
        <f t="shared" si="48"/>
        <v>0.1115413882282153</v>
      </c>
      <c r="Y172" s="39">
        <f t="shared" si="49"/>
        <v>0.1115413882282153</v>
      </c>
      <c r="AA172" s="85">
        <f>'Price Deck'!Q166/'Price Deck'!M166</f>
        <v>47.489057999999993</v>
      </c>
      <c r="AB172" s="72">
        <f t="shared" si="50"/>
        <v>8833.8779849800449</v>
      </c>
      <c r="AC172" s="72">
        <f t="shared" si="51"/>
        <v>985.34301388334347</v>
      </c>
      <c r="AD172" s="85">
        <f t="shared" si="52"/>
        <v>5.2969954549702329</v>
      </c>
    </row>
    <row r="173" spans="1:30">
      <c r="A173" t="str">
        <f>'Price Deck'!A167</f>
        <v>09/2032</v>
      </c>
      <c r="B173" s="51">
        <f>'Liquids Type Curve'!A180</f>
        <v>13.171890798786679</v>
      </c>
      <c r="C173" s="51">
        <f>'Liquids Type Curve'!B180</f>
        <v>158.06268958544015</v>
      </c>
      <c r="D173" s="51">
        <f>'Liquids Type Curve'!C180</f>
        <v>6.0796292241415051</v>
      </c>
      <c r="E173" s="51">
        <f>'Liquids Type Curve'!D180</f>
        <v>184.92205556763744</v>
      </c>
      <c r="F173" s="51">
        <f>'Liquids Type Curve'!E180</f>
        <v>109232.18772601242</v>
      </c>
      <c r="H173" s="51">
        <f t="shared" si="36"/>
        <v>13.171890798786679</v>
      </c>
      <c r="I173" s="51">
        <f t="shared" si="37"/>
        <v>158.06268958544015</v>
      </c>
      <c r="J173" s="51">
        <f t="shared" si="38"/>
        <v>2.0062776439666967</v>
      </c>
      <c r="K173" s="51">
        <f t="shared" si="39"/>
        <v>61.024278337320361</v>
      </c>
      <c r="L173" s="51">
        <f t="shared" si="40"/>
        <v>36046.6219495841</v>
      </c>
      <c r="N173" s="51">
        <f t="shared" si="41"/>
        <v>9.7021015512926265</v>
      </c>
      <c r="O173" s="51">
        <f>(('Price Deck'!Q167/'Propane Royalties'!$B$2))/'Price Deck'!M167</f>
        <v>298.69667700839994</v>
      </c>
      <c r="P173" s="39"/>
      <c r="Q173" s="51">
        <f t="shared" si="42"/>
        <v>0.36026583943495594</v>
      </c>
      <c r="R173" s="51">
        <f t="shared" si="43"/>
        <v>0.1</v>
      </c>
      <c r="S173" s="51">
        <f t="shared" si="44"/>
        <v>0.52540528755696791</v>
      </c>
      <c r="T173" s="51">
        <f t="shared" si="45"/>
        <v>0.38386571147932391</v>
      </c>
      <c r="U173" s="51">
        <f t="shared" si="46"/>
        <v>0.36026583943495594</v>
      </c>
      <c r="W173" s="51">
        <f t="shared" si="47"/>
        <v>-0.24880216290575496</v>
      </c>
      <c r="X173" s="39">
        <f t="shared" si="48"/>
        <v>0.11146367652920097</v>
      </c>
      <c r="Y173" s="39">
        <f t="shared" si="49"/>
        <v>0.11146367652920097</v>
      </c>
      <c r="AA173" s="85">
        <f>'Price Deck'!Q167/'Price Deck'!M167</f>
        <v>47.489057999999993</v>
      </c>
      <c r="AB173" s="72">
        <f t="shared" si="50"/>
        <v>8781.7742223307559</v>
      </c>
      <c r="AC173" s="72">
        <f t="shared" si="51"/>
        <v>978.84884127035082</v>
      </c>
      <c r="AD173" s="85">
        <f t="shared" si="52"/>
        <v>5.2933049995884627</v>
      </c>
    </row>
    <row r="174" spans="1:30">
      <c r="A174" t="str">
        <f>'Price Deck'!A168</f>
        <v>10/2032</v>
      </c>
      <c r="B174" s="51">
        <f>'Liquids Type Curve'!A181</f>
        <v>13.255224132120013</v>
      </c>
      <c r="C174" s="51">
        <f>'Liquids Type Curve'!B181</f>
        <v>159.06268958544015</v>
      </c>
      <c r="D174" s="51">
        <f>'Liquids Type Curve'!C181</f>
        <v>6.0439959900327933</v>
      </c>
      <c r="E174" s="51">
        <f>'Liquids Type Curve'!D181</f>
        <v>183.83821136349746</v>
      </c>
      <c r="F174" s="51">
        <f>'Liquids Type Curve'!E181</f>
        <v>109416.02593737592</v>
      </c>
      <c r="H174" s="51">
        <f t="shared" si="36"/>
        <v>13.255224132120013</v>
      </c>
      <c r="I174" s="51">
        <f t="shared" si="37"/>
        <v>159.06268958544015</v>
      </c>
      <c r="J174" s="51">
        <f t="shared" si="38"/>
        <v>1.9945186767108218</v>
      </c>
      <c r="K174" s="51">
        <f t="shared" si="39"/>
        <v>60.666609749954169</v>
      </c>
      <c r="L174" s="51">
        <f t="shared" si="40"/>
        <v>36107.288559334054</v>
      </c>
      <c r="N174" s="51">
        <f t="shared" si="41"/>
        <v>9.6452366927333415</v>
      </c>
      <c r="O174" s="51">
        <f>(('Price Deck'!Q168/'Propane Royalties'!$B$2))/'Price Deck'!M168</f>
        <v>298.69667700839994</v>
      </c>
      <c r="P174" s="39"/>
      <c r="Q174" s="51">
        <f t="shared" si="42"/>
        <v>0.36026583943495594</v>
      </c>
      <c r="R174" s="51">
        <f t="shared" si="43"/>
        <v>0.1</v>
      </c>
      <c r="S174" s="51">
        <f t="shared" si="44"/>
        <v>0.52540528755696791</v>
      </c>
      <c r="T174" s="51">
        <f t="shared" si="45"/>
        <v>0.38386571147932391</v>
      </c>
      <c r="U174" s="51">
        <f t="shared" si="46"/>
        <v>0.36026583943495594</v>
      </c>
      <c r="W174" s="51">
        <f t="shared" si="47"/>
        <v>-0.24887893046481002</v>
      </c>
      <c r="X174" s="39">
        <f t="shared" si="48"/>
        <v>0.11138690897014591</v>
      </c>
      <c r="Y174" s="39">
        <f t="shared" si="49"/>
        <v>0.11138690897014591</v>
      </c>
      <c r="AA174" s="85">
        <f>'Price Deck'!Q168/'Price Deck'!M168</f>
        <v>47.489057999999993</v>
      </c>
      <c r="AB174" s="72">
        <f t="shared" si="50"/>
        <v>8730.3034820573885</v>
      </c>
      <c r="AC174" s="72">
        <f t="shared" si="51"/>
        <v>972.44151923767424</v>
      </c>
      <c r="AD174" s="85">
        <f t="shared" si="52"/>
        <v>5.2896593805239789</v>
      </c>
    </row>
    <row r="175" spans="1:30">
      <c r="A175" t="str">
        <f>'Price Deck'!A169</f>
        <v>11/2032</v>
      </c>
      <c r="B175" s="51">
        <f>'Liquids Type Curve'!A182</f>
        <v>13.338557465453347</v>
      </c>
      <c r="C175" s="51">
        <f>'Liquids Type Curve'!B182</f>
        <v>160.06268958544015</v>
      </c>
      <c r="D175" s="51">
        <f>'Liquids Type Curve'!C182</f>
        <v>6.0087929682453582</v>
      </c>
      <c r="E175" s="51">
        <f>'Liquids Type Curve'!D182</f>
        <v>182.76745278412966</v>
      </c>
      <c r="F175" s="51">
        <f>'Liquids Type Curve'!E182</f>
        <v>109598.79339016005</v>
      </c>
      <c r="H175" s="51">
        <f t="shared" si="36"/>
        <v>13.338557465453347</v>
      </c>
      <c r="I175" s="51">
        <f t="shared" si="37"/>
        <v>160.06268958544015</v>
      </c>
      <c r="J175" s="51">
        <f t="shared" si="38"/>
        <v>1.9829016795209684</v>
      </c>
      <c r="K175" s="51">
        <f t="shared" si="39"/>
        <v>60.31325941876279</v>
      </c>
      <c r="L175" s="51">
        <f t="shared" si="40"/>
        <v>36167.601818752817</v>
      </c>
      <c r="N175" s="51">
        <f t="shared" si="41"/>
        <v>9.5890583832177168</v>
      </c>
      <c r="O175" s="51">
        <f>(('Price Deck'!Q169/'Propane Royalties'!$B$2))/'Price Deck'!M169</f>
        <v>298.69667700839994</v>
      </c>
      <c r="P175" s="39"/>
      <c r="Q175" s="51">
        <f t="shared" si="42"/>
        <v>0.36026583943495594</v>
      </c>
      <c r="R175" s="51">
        <f t="shared" si="43"/>
        <v>0.1</v>
      </c>
      <c r="S175" s="51">
        <f t="shared" si="44"/>
        <v>0.52540528755696791</v>
      </c>
      <c r="T175" s="51">
        <f t="shared" si="45"/>
        <v>0.38386571147932391</v>
      </c>
      <c r="U175" s="51">
        <f t="shared" si="46"/>
        <v>0.36026583943495594</v>
      </c>
      <c r="W175" s="51">
        <f t="shared" si="47"/>
        <v>-0.2489547711826561</v>
      </c>
      <c r="X175" s="39">
        <f t="shared" si="48"/>
        <v>0.11131106825229983</v>
      </c>
      <c r="Y175" s="39">
        <f t="shared" si="49"/>
        <v>0.11131106825229983</v>
      </c>
      <c r="AA175" s="85">
        <f>'Price Deck'!Q169/'Price Deck'!M169</f>
        <v>47.489057999999993</v>
      </c>
      <c r="AB175" s="72">
        <f t="shared" si="50"/>
        <v>8679.4541657777936</v>
      </c>
      <c r="AC175" s="72">
        <f t="shared" si="51"/>
        <v>966.11931503960011</v>
      </c>
      <c r="AD175" s="85">
        <f t="shared" si="52"/>
        <v>5.2860577762754248</v>
      </c>
    </row>
    <row r="176" spans="1:30">
      <c r="A176" t="str">
        <f>'Price Deck'!A170</f>
        <v>01/2032</v>
      </c>
      <c r="B176" s="51">
        <f>'Liquids Type Curve'!A183</f>
        <v>13.421890798786681</v>
      </c>
      <c r="C176" s="51">
        <f>'Liquids Type Curve'!B183</f>
        <v>161.06268958544018</v>
      </c>
      <c r="D176" s="51">
        <f>'Liquids Type Curve'!C183</f>
        <v>5.9740123252803574</v>
      </c>
      <c r="E176" s="51">
        <f>'Liquids Type Curve'!D183</f>
        <v>181.70954156061089</v>
      </c>
      <c r="F176" s="51">
        <f>'Liquids Type Curve'!E183</f>
        <v>109780.50293172066</v>
      </c>
      <c r="H176" s="51">
        <f t="shared" si="36"/>
        <v>13.421890798786681</v>
      </c>
      <c r="I176" s="51">
        <f t="shared" si="37"/>
        <v>161.06268958544018</v>
      </c>
      <c r="J176" s="51">
        <f t="shared" si="38"/>
        <v>1.9714240673425181</v>
      </c>
      <c r="K176" s="51">
        <f t="shared" si="39"/>
        <v>59.964148715001599</v>
      </c>
      <c r="L176" s="51">
        <f t="shared" si="40"/>
        <v>36227.565967467825</v>
      </c>
      <c r="N176" s="51">
        <f t="shared" si="41"/>
        <v>9.5335541217529336</v>
      </c>
      <c r="O176" s="51">
        <f>(('Price Deck'!Q170/'Propane Royalties'!$B$2))/'Price Deck'!M170</f>
        <v>298.69667700839994</v>
      </c>
      <c r="P176" s="39"/>
      <c r="Q176" s="51">
        <f t="shared" si="42"/>
        <v>0.36026583943495594</v>
      </c>
      <c r="R176" s="51">
        <f t="shared" si="43"/>
        <v>0.1</v>
      </c>
      <c r="S176" s="51">
        <f t="shared" si="44"/>
        <v>0.52540528755696791</v>
      </c>
      <c r="T176" s="51">
        <f t="shared" si="45"/>
        <v>0.38386571147932391</v>
      </c>
      <c r="U176" s="51">
        <f t="shared" si="46"/>
        <v>0.36026583943495594</v>
      </c>
      <c r="W176" s="51">
        <f t="shared" si="47"/>
        <v>-0.24902970193563356</v>
      </c>
      <c r="X176" s="39">
        <f t="shared" si="48"/>
        <v>0.11123613749932237</v>
      </c>
      <c r="Y176" s="39">
        <f t="shared" si="49"/>
        <v>0.11123613749932237</v>
      </c>
      <c r="AA176" s="85">
        <f>'Price Deck'!Q170/'Price Deck'!M170</f>
        <v>47.489057999999993</v>
      </c>
      <c r="AB176" s="72">
        <f t="shared" si="50"/>
        <v>8629.2149583252594</v>
      </c>
      <c r="AC176" s="72">
        <f t="shared" si="51"/>
        <v>959.88054161547791</v>
      </c>
      <c r="AD176" s="85">
        <f t="shared" si="52"/>
        <v>5.2824993854012945</v>
      </c>
    </row>
    <row r="177" spans="1:30">
      <c r="A177" t="str">
        <f>'Price Deck'!A171</f>
        <v>02/2032</v>
      </c>
      <c r="B177" s="51">
        <f>'Liquids Type Curve'!A184</f>
        <v>13.505224132120015</v>
      </c>
      <c r="C177" s="51">
        <f>'Liquids Type Curve'!B184</f>
        <v>162.06268958544018</v>
      </c>
      <c r="D177" s="51">
        <f>'Liquids Type Curve'!C184</f>
        <v>5.9396464177409607</v>
      </c>
      <c r="E177" s="51">
        <f>'Liquids Type Curve'!D184</f>
        <v>180.66424520628757</v>
      </c>
      <c r="F177" s="51">
        <f>'Liquids Type Curve'!E184</f>
        <v>109961.16717692695</v>
      </c>
      <c r="H177" s="51">
        <f t="shared" si="36"/>
        <v>13.505224132120015</v>
      </c>
      <c r="I177" s="51">
        <f t="shared" si="37"/>
        <v>162.06268958544018</v>
      </c>
      <c r="J177" s="51">
        <f t="shared" si="38"/>
        <v>1.9600833178545172</v>
      </c>
      <c r="K177" s="51">
        <f t="shared" si="39"/>
        <v>59.619200918074903</v>
      </c>
      <c r="L177" s="51">
        <f t="shared" si="40"/>
        <v>36287.185168385891</v>
      </c>
      <c r="N177" s="51">
        <f t="shared" si="41"/>
        <v>9.478711710718132</v>
      </c>
      <c r="O177" s="51">
        <f>(('Price Deck'!Q171/'Propane Royalties'!$B$2))/'Price Deck'!M171</f>
        <v>303.17712716352588</v>
      </c>
      <c r="P177" s="39"/>
      <c r="Q177" s="51">
        <f t="shared" si="42"/>
        <v>0.36290930502648028</v>
      </c>
      <c r="R177" s="51">
        <f t="shared" si="43"/>
        <v>0.1</v>
      </c>
      <c r="S177" s="51">
        <f t="shared" si="44"/>
        <v>0.5344557968703223</v>
      </c>
      <c r="T177" s="51">
        <f t="shared" si="45"/>
        <v>0.38883901115151376</v>
      </c>
      <c r="U177" s="51">
        <f t="shared" si="46"/>
        <v>0.36290930502648028</v>
      </c>
      <c r="W177" s="51">
        <f t="shared" si="47"/>
        <v>-0.24910373919053053</v>
      </c>
      <c r="X177" s="39">
        <f t="shared" si="48"/>
        <v>0.11380556583594975</v>
      </c>
      <c r="Y177" s="39">
        <f t="shared" si="49"/>
        <v>0.11380556583594975</v>
      </c>
      <c r="AA177" s="85">
        <f>'Price Deck'!Q171/'Price Deck'!M171</f>
        <v>48.201393869999983</v>
      </c>
      <c r="AB177" s="72">
        <f t="shared" si="50"/>
        <v>8708.2684414145242</v>
      </c>
      <c r="AC177" s="72">
        <f t="shared" si="51"/>
        <v>991.0494174265242</v>
      </c>
      <c r="AD177" s="85">
        <f t="shared" si="52"/>
        <v>5.4855869034568281</v>
      </c>
    </row>
    <row r="178" spans="1:30">
      <c r="A178" t="str">
        <f>'Price Deck'!A172</f>
        <v>03/2032</v>
      </c>
      <c r="B178" s="51">
        <f>'Liquids Type Curve'!A185</f>
        <v>13.588557465453349</v>
      </c>
      <c r="C178" s="51">
        <f>'Liquids Type Curve'!B185</f>
        <v>163.06268958544018</v>
      </c>
      <c r="D178" s="51">
        <f>'Liquids Type Curve'!C185</f>
        <v>5.905687786581165</v>
      </c>
      <c r="E178" s="51">
        <f>'Liquids Type Curve'!D185</f>
        <v>179.63133684184376</v>
      </c>
      <c r="F178" s="51">
        <f>'Liquids Type Curve'!E185</f>
        <v>110140.79851376879</v>
      </c>
      <c r="H178" s="51">
        <f t="shared" si="36"/>
        <v>13.588557465453349</v>
      </c>
      <c r="I178" s="51">
        <f t="shared" si="37"/>
        <v>163.06268958544018</v>
      </c>
      <c r="J178" s="51">
        <f t="shared" si="38"/>
        <v>1.9488769695717845</v>
      </c>
      <c r="K178" s="51">
        <f t="shared" si="39"/>
        <v>59.278341157808441</v>
      </c>
      <c r="L178" s="51">
        <f t="shared" si="40"/>
        <v>36346.463509543704</v>
      </c>
      <c r="N178" s="51">
        <f t="shared" si="41"/>
        <v>9.4245192466864509</v>
      </c>
      <c r="O178" s="51">
        <f>(('Price Deck'!Q172/'Propane Royalties'!$B$2))/'Price Deck'!M172</f>
        <v>303.17712716352588</v>
      </c>
      <c r="P178" s="39"/>
      <c r="Q178" s="51">
        <f t="shared" si="42"/>
        <v>0.36290930502648028</v>
      </c>
      <c r="R178" s="51">
        <f t="shared" si="43"/>
        <v>0.1</v>
      </c>
      <c r="S178" s="51">
        <f t="shared" si="44"/>
        <v>0.5344557968703223</v>
      </c>
      <c r="T178" s="51">
        <f t="shared" si="45"/>
        <v>0.38883901115151376</v>
      </c>
      <c r="U178" s="51">
        <f t="shared" si="46"/>
        <v>0.36290930502648028</v>
      </c>
      <c r="W178" s="51">
        <f t="shared" si="47"/>
        <v>-0.24917689901697329</v>
      </c>
      <c r="X178" s="39">
        <f t="shared" si="48"/>
        <v>0.11373240600950699</v>
      </c>
      <c r="Y178" s="39">
        <f t="shared" si="49"/>
        <v>0.11373240600950699</v>
      </c>
      <c r="AA178" s="85">
        <f>'Price Deck'!Q172/'Price Deck'!M172</f>
        <v>48.201393869999983</v>
      </c>
      <c r="AB178" s="72">
        <f t="shared" si="50"/>
        <v>8658.4808185083493</v>
      </c>
      <c r="AC178" s="72">
        <f t="shared" si="51"/>
        <v>984.74985587611991</v>
      </c>
      <c r="AD178" s="85">
        <f t="shared" si="52"/>
        <v>5.4820604978469989</v>
      </c>
    </row>
    <row r="179" spans="1:30">
      <c r="A179" t="str">
        <f>'Price Deck'!A173</f>
        <v>04/2032</v>
      </c>
      <c r="B179" s="51">
        <f>'Liquids Type Curve'!A186</f>
        <v>13.671890798786682</v>
      </c>
      <c r="C179" s="51">
        <f>'Liquids Type Curve'!B186</f>
        <v>164.06268958544018</v>
      </c>
      <c r="D179" s="51">
        <f>'Liquids Type Curve'!C186</f>
        <v>5.8721291515626906</v>
      </c>
      <c r="E179" s="51">
        <f>'Liquids Type Curve'!D186</f>
        <v>178.61059502669852</v>
      </c>
      <c r="F179" s="51">
        <f>'Liquids Type Curve'!E186</f>
        <v>110319.40910879549</v>
      </c>
      <c r="H179" s="51">
        <f t="shared" si="36"/>
        <v>13.671890798786682</v>
      </c>
      <c r="I179" s="51">
        <f t="shared" si="37"/>
        <v>164.06268958544018</v>
      </c>
      <c r="J179" s="51">
        <f t="shared" si="38"/>
        <v>1.9378026200156879</v>
      </c>
      <c r="K179" s="51">
        <f t="shared" si="39"/>
        <v>58.941496358810511</v>
      </c>
      <c r="L179" s="51">
        <f t="shared" si="40"/>
        <v>36405.40500590251</v>
      </c>
      <c r="N179" s="51">
        <f t="shared" si="41"/>
        <v>9.3709651115791459</v>
      </c>
      <c r="O179" s="51">
        <f>(('Price Deck'!Q173/'Propane Royalties'!$B$2))/'Price Deck'!M173</f>
        <v>303.17712716352588</v>
      </c>
      <c r="P179" s="39"/>
      <c r="Q179" s="51">
        <f t="shared" si="42"/>
        <v>0.36290930502648028</v>
      </c>
      <c r="R179" s="51">
        <f t="shared" si="43"/>
        <v>0.1</v>
      </c>
      <c r="S179" s="51">
        <f t="shared" si="44"/>
        <v>0.5344557968703223</v>
      </c>
      <c r="T179" s="51">
        <f t="shared" si="45"/>
        <v>0.38883901115151376</v>
      </c>
      <c r="U179" s="51">
        <f t="shared" si="46"/>
        <v>0.36290930502648028</v>
      </c>
      <c r="W179" s="51">
        <f t="shared" si="47"/>
        <v>-0.24924919709936816</v>
      </c>
      <c r="X179" s="39">
        <f t="shared" si="48"/>
        <v>0.11366010792711212</v>
      </c>
      <c r="Y179" s="39">
        <f t="shared" si="49"/>
        <v>0.11366010792711212</v>
      </c>
      <c r="AA179" s="85">
        <f>'Price Deck'!Q173/'Price Deck'!M173</f>
        <v>48.201393869999983</v>
      </c>
      <c r="AB179" s="72">
        <f t="shared" si="50"/>
        <v>8609.2796402369549</v>
      </c>
      <c r="AC179" s="72">
        <f t="shared" si="51"/>
        <v>978.53165308402129</v>
      </c>
      <c r="AD179" s="85">
        <f t="shared" si="52"/>
        <v>5.4785756295014378</v>
      </c>
    </row>
    <row r="180" spans="1:30">
      <c r="A180" t="str">
        <f>'Price Deck'!A174</f>
        <v>05/2032</v>
      </c>
      <c r="B180" s="51">
        <f>'Liquids Type Curve'!A187</f>
        <v>13.755224132120016</v>
      </c>
      <c r="C180" s="51">
        <f>'Liquids Type Curve'!B187</f>
        <v>165.06268958544018</v>
      </c>
      <c r="D180" s="51">
        <f>'Liquids Type Curve'!C187</f>
        <v>5.8389634059110893</v>
      </c>
      <c r="E180" s="51">
        <f>'Liquids Type Curve'!D187</f>
        <v>177.6018035964623</v>
      </c>
      <c r="F180" s="51">
        <f>'Liquids Type Curve'!E187</f>
        <v>110497.01091239195</v>
      </c>
      <c r="H180" s="51">
        <f t="shared" si="36"/>
        <v>13.755224132120016</v>
      </c>
      <c r="I180" s="51">
        <f t="shared" si="37"/>
        <v>165.06268958544018</v>
      </c>
      <c r="J180" s="51">
        <f t="shared" si="38"/>
        <v>1.9268579239506596</v>
      </c>
      <c r="K180" s="51">
        <f t="shared" si="39"/>
        <v>58.608595186832567</v>
      </c>
      <c r="L180" s="51">
        <f t="shared" si="40"/>
        <v>36464.013601089348</v>
      </c>
      <c r="N180" s="51">
        <f t="shared" si="41"/>
        <v>9.3180379641375826</v>
      </c>
      <c r="O180" s="51">
        <f>(('Price Deck'!Q174/'Propane Royalties'!$B$2))/'Price Deck'!M174</f>
        <v>303.17712716352588</v>
      </c>
      <c r="P180" s="39"/>
      <c r="Q180" s="51">
        <f t="shared" si="42"/>
        <v>0.36290930502648028</v>
      </c>
      <c r="R180" s="51">
        <f t="shared" si="43"/>
        <v>0.1</v>
      </c>
      <c r="S180" s="51">
        <f t="shared" si="44"/>
        <v>0.5344557968703223</v>
      </c>
      <c r="T180" s="51">
        <f t="shared" si="45"/>
        <v>0.38883901115151376</v>
      </c>
      <c r="U180" s="51">
        <f t="shared" si="46"/>
        <v>0.36290930502648028</v>
      </c>
      <c r="W180" s="51">
        <f t="shared" si="47"/>
        <v>-0.24932064874841428</v>
      </c>
      <c r="X180" s="39">
        <f t="shared" si="48"/>
        <v>0.113588656278066</v>
      </c>
      <c r="Y180" s="39">
        <f t="shared" si="49"/>
        <v>0.113588656278066</v>
      </c>
      <c r="AA180" s="85">
        <f>'Price Deck'!Q174/'Price Deck'!M174</f>
        <v>48.201393869999983</v>
      </c>
      <c r="AB180" s="72">
        <f t="shared" si="50"/>
        <v>8560.6544871754595</v>
      </c>
      <c r="AC180" s="72">
        <f t="shared" si="51"/>
        <v>972.39324005905655</v>
      </c>
      <c r="AD180" s="85">
        <f t="shared" si="52"/>
        <v>5.4751315604231054</v>
      </c>
    </row>
    <row r="181" spans="1:30">
      <c r="A181" t="str">
        <f>'Price Deck'!A175</f>
        <v>06/2032</v>
      </c>
      <c r="B181" s="51">
        <f>'Liquids Type Curve'!A188</f>
        <v>13.83855746545335</v>
      </c>
      <c r="C181" s="51">
        <f>'Liquids Type Curve'!B188</f>
        <v>166.06268958544021</v>
      </c>
      <c r="D181" s="51">
        <f>'Liquids Type Curve'!C188</f>
        <v>5.8061836111627709</v>
      </c>
      <c r="E181" s="51">
        <f>'Liquids Type Curve'!D188</f>
        <v>176.60475150620096</v>
      </c>
      <c r="F181" s="51">
        <f>'Liquids Type Curve'!E188</f>
        <v>110673.61566389815</v>
      </c>
      <c r="H181" s="51">
        <f t="shared" si="36"/>
        <v>13.83855746545335</v>
      </c>
      <c r="I181" s="51">
        <f t="shared" si="37"/>
        <v>166.06268958544021</v>
      </c>
      <c r="J181" s="51">
        <f t="shared" si="38"/>
        <v>1.9160405916837144</v>
      </c>
      <c r="K181" s="51">
        <f t="shared" si="39"/>
        <v>58.279567997046321</v>
      </c>
      <c r="L181" s="51">
        <f t="shared" si="40"/>
        <v>36522.293169086392</v>
      </c>
      <c r="N181" s="51">
        <f t="shared" si="41"/>
        <v>9.2657267316999459</v>
      </c>
      <c r="O181" s="51">
        <f>(('Price Deck'!Q175/'Propane Royalties'!$B$2))/'Price Deck'!M175</f>
        <v>303.17712716352588</v>
      </c>
      <c r="P181" s="39"/>
      <c r="Q181" s="51">
        <f t="shared" si="42"/>
        <v>0.36290930502648028</v>
      </c>
      <c r="R181" s="51">
        <f t="shared" si="43"/>
        <v>0.1</v>
      </c>
      <c r="S181" s="51">
        <f t="shared" si="44"/>
        <v>0.5344557968703223</v>
      </c>
      <c r="T181" s="51">
        <f t="shared" si="45"/>
        <v>0.38883901115151376</v>
      </c>
      <c r="U181" s="51">
        <f t="shared" si="46"/>
        <v>0.36290930502648028</v>
      </c>
      <c r="W181" s="51">
        <f t="shared" si="47"/>
        <v>-0.24939126891220509</v>
      </c>
      <c r="X181" s="39">
        <f t="shared" si="48"/>
        <v>0.11351803611427519</v>
      </c>
      <c r="Y181" s="39">
        <f t="shared" si="49"/>
        <v>0.11351803611427519</v>
      </c>
      <c r="AA181" s="85">
        <f>'Price Deck'!Q175/'Price Deck'!M175</f>
        <v>48.201393869999983</v>
      </c>
      <c r="AB181" s="72">
        <f t="shared" si="50"/>
        <v>8512.5951866638643</v>
      </c>
      <c r="AC181" s="72">
        <f t="shared" si="51"/>
        <v>966.33308782591371</v>
      </c>
      <c r="AD181" s="85">
        <f t="shared" si="52"/>
        <v>5.4717275700930603</v>
      </c>
    </row>
    <row r="182" spans="1:30">
      <c r="A182" t="str">
        <f>'Price Deck'!A176</f>
        <v>07/2032</v>
      </c>
      <c r="B182" s="51">
        <f>'Liquids Type Curve'!A189</f>
        <v>13.921890798786684</v>
      </c>
      <c r="C182" s="51">
        <f>'Liquids Type Curve'!B189</f>
        <v>167.06268958544021</v>
      </c>
      <c r="D182" s="51">
        <f>'Liquids Type Curve'!C189</f>
        <v>5.7737829921950734</v>
      </c>
      <c r="E182" s="51">
        <f>'Liquids Type Curve'!D189</f>
        <v>175.61923267926682</v>
      </c>
      <c r="F182" s="51">
        <f>'Liquids Type Curve'!E189</f>
        <v>110849.23489657741</v>
      </c>
      <c r="H182" s="51">
        <f t="shared" si="36"/>
        <v>13.921890798786684</v>
      </c>
      <c r="I182" s="51">
        <f t="shared" si="37"/>
        <v>167.06268958544021</v>
      </c>
      <c r="J182" s="51">
        <f t="shared" si="38"/>
        <v>1.9053483874243744</v>
      </c>
      <c r="K182" s="51">
        <f t="shared" si="39"/>
        <v>57.954346784158055</v>
      </c>
      <c r="L182" s="51">
        <f t="shared" si="40"/>
        <v>36580.247515870549</v>
      </c>
      <c r="N182" s="51">
        <f t="shared" si="41"/>
        <v>9.2140206022700326</v>
      </c>
      <c r="O182" s="51">
        <f>(('Price Deck'!Q176/'Propane Royalties'!$B$2))/'Price Deck'!M176</f>
        <v>303.17712716352588</v>
      </c>
      <c r="P182" s="39"/>
      <c r="Q182" s="51">
        <f t="shared" si="42"/>
        <v>0.36290930502648028</v>
      </c>
      <c r="R182" s="51">
        <f t="shared" si="43"/>
        <v>0.1</v>
      </c>
      <c r="S182" s="51">
        <f t="shared" si="44"/>
        <v>0.5344557968703223</v>
      </c>
      <c r="T182" s="51">
        <f t="shared" si="45"/>
        <v>0.38883901115151376</v>
      </c>
      <c r="U182" s="51">
        <f t="shared" si="46"/>
        <v>0.36290930502648028</v>
      </c>
      <c r="W182" s="51">
        <f t="shared" si="47"/>
        <v>-0.24946107218693547</v>
      </c>
      <c r="X182" s="39">
        <f t="shared" si="48"/>
        <v>0.1134482328395448</v>
      </c>
      <c r="Y182" s="39">
        <f t="shared" si="49"/>
        <v>0.1134482328395448</v>
      </c>
      <c r="AA182" s="85">
        <f>'Price Deck'!Q176/'Price Deck'!M176</f>
        <v>48.201393869999983</v>
      </c>
      <c r="AB182" s="72">
        <f t="shared" si="50"/>
        <v>8465.0918055205129</v>
      </c>
      <c r="AC182" s="72">
        <f t="shared" si="51"/>
        <v>960.34970616081387</v>
      </c>
      <c r="AD182" s="85">
        <f t="shared" si="52"/>
        <v>5.4683629549543662</v>
      </c>
    </row>
    <row r="183" spans="1:30">
      <c r="A183" t="str">
        <f>'Price Deck'!A177</f>
        <v>08/2032</v>
      </c>
      <c r="B183" s="51">
        <f>'Liquids Type Curve'!A190</f>
        <v>14.005224132120018</v>
      </c>
      <c r="C183" s="51">
        <f>'Liquids Type Curve'!B190</f>
        <v>168.06268958544021</v>
      </c>
      <c r="D183" s="51">
        <f>'Liquids Type Curve'!C190</f>
        <v>5.7417549324317809</v>
      </c>
      <c r="E183" s="51">
        <f>'Liquids Type Curve'!D190</f>
        <v>174.64504586146668</v>
      </c>
      <c r="F183" s="51">
        <f>'Liquids Type Curve'!E190</f>
        <v>111023.87994243889</v>
      </c>
      <c r="H183" s="51">
        <f t="shared" si="36"/>
        <v>14.005224132120018</v>
      </c>
      <c r="I183" s="51">
        <f t="shared" si="37"/>
        <v>168.06268958544021</v>
      </c>
      <c r="J183" s="51">
        <f t="shared" si="38"/>
        <v>1.8947791277024877</v>
      </c>
      <c r="K183" s="51">
        <f t="shared" si="39"/>
        <v>57.63286513428401</v>
      </c>
      <c r="L183" s="51">
        <f t="shared" si="40"/>
        <v>36637.880381004834</v>
      </c>
      <c r="N183" s="51">
        <f t="shared" si="41"/>
        <v>9.1629090168660383</v>
      </c>
      <c r="O183" s="51">
        <f>(('Price Deck'!Q177/'Propane Royalties'!$B$2))/'Price Deck'!M177</f>
        <v>303.17712716352588</v>
      </c>
      <c r="P183" s="39"/>
      <c r="Q183" s="51">
        <f t="shared" si="42"/>
        <v>0.36290930502648028</v>
      </c>
      <c r="R183" s="51">
        <f t="shared" si="43"/>
        <v>0.1</v>
      </c>
      <c r="S183" s="51">
        <f t="shared" si="44"/>
        <v>0.5344557968703223</v>
      </c>
      <c r="T183" s="51">
        <f t="shared" si="45"/>
        <v>0.38883901115151376</v>
      </c>
      <c r="U183" s="51">
        <f t="shared" si="46"/>
        <v>0.36290930502648028</v>
      </c>
      <c r="W183" s="51">
        <f t="shared" si="47"/>
        <v>-0.24953007282723089</v>
      </c>
      <c r="X183" s="39">
        <f t="shared" si="48"/>
        <v>0.11337923219924939</v>
      </c>
      <c r="Y183" s="39">
        <f t="shared" si="49"/>
        <v>0.11337923219924939</v>
      </c>
      <c r="AA183" s="85">
        <f>'Price Deck'!Q177/'Price Deck'!M177</f>
        <v>48.201393869999983</v>
      </c>
      <c r="AB183" s="72">
        <f t="shared" si="50"/>
        <v>8418.1346430127669</v>
      </c>
      <c r="AC183" s="72">
        <f t="shared" si="51"/>
        <v>954.44164237468988</v>
      </c>
      <c r="AD183" s="85">
        <f t="shared" si="52"/>
        <v>5.4650370279142049</v>
      </c>
    </row>
    <row r="184" spans="1:30">
      <c r="A184" t="str">
        <f>'Price Deck'!A178</f>
        <v>09/2032</v>
      </c>
      <c r="B184" s="51">
        <f>'Liquids Type Curve'!A191</f>
        <v>14.088557465453352</v>
      </c>
      <c r="C184" s="51">
        <f>'Liquids Type Curve'!B191</f>
        <v>169.06268958544024</v>
      </c>
      <c r="D184" s="51">
        <f>'Liquids Type Curve'!C191</f>
        <v>5.710092969216868</v>
      </c>
      <c r="E184" s="51">
        <f>'Liquids Type Curve'!D191</f>
        <v>173.68199448034642</v>
      </c>
      <c r="F184" s="51">
        <f>'Liquids Type Curve'!E191</f>
        <v>111197.56193691923</v>
      </c>
      <c r="H184" s="51">
        <f t="shared" si="36"/>
        <v>14.088557465453352</v>
      </c>
      <c r="I184" s="51">
        <f t="shared" si="37"/>
        <v>169.06268958544024</v>
      </c>
      <c r="J184" s="51">
        <f t="shared" si="38"/>
        <v>1.8843306798415664</v>
      </c>
      <c r="K184" s="51">
        <f t="shared" si="39"/>
        <v>57.31505817851432</v>
      </c>
      <c r="L184" s="51">
        <f t="shared" si="40"/>
        <v>36695.19543918335</v>
      </c>
      <c r="N184" s="51">
        <f t="shared" si="41"/>
        <v>9.112381662137798</v>
      </c>
      <c r="O184" s="51">
        <f>(('Price Deck'!Q178/'Propane Royalties'!$B$2))/'Price Deck'!M178</f>
        <v>303.17712716352588</v>
      </c>
      <c r="P184" s="39"/>
      <c r="Q184" s="51">
        <f t="shared" si="42"/>
        <v>0.36290930502648028</v>
      </c>
      <c r="R184" s="51">
        <f t="shared" si="43"/>
        <v>0.1</v>
      </c>
      <c r="S184" s="51">
        <f t="shared" si="44"/>
        <v>0.5344557968703223</v>
      </c>
      <c r="T184" s="51">
        <f t="shared" si="45"/>
        <v>0.38883901115151376</v>
      </c>
      <c r="U184" s="51">
        <f t="shared" si="46"/>
        <v>0.36290930502648028</v>
      </c>
      <c r="W184" s="51">
        <f t="shared" si="47"/>
        <v>-0.24959828475611398</v>
      </c>
      <c r="X184" s="39">
        <f t="shared" si="48"/>
        <v>0.1133110202703663</v>
      </c>
      <c r="Y184" s="39">
        <f t="shared" si="49"/>
        <v>0.1133110202703663</v>
      </c>
      <c r="AA184" s="85">
        <f>'Price Deck'!Q178/'Price Deck'!M178</f>
        <v>48.201393869999983</v>
      </c>
      <c r="AB184" s="72">
        <f t="shared" si="50"/>
        <v>8371.7142240743415</v>
      </c>
      <c r="AC184" s="72">
        <f t="shared" si="51"/>
        <v>948.6074801418016</v>
      </c>
      <c r="AD184" s="85">
        <f t="shared" si="52"/>
        <v>5.4617491178634783</v>
      </c>
    </row>
    <row r="185" spans="1:30">
      <c r="A185" t="str">
        <f>'Price Deck'!A179</f>
        <v>10/2032</v>
      </c>
      <c r="B185" s="51">
        <f>'Liquids Type Curve'!A192</f>
        <v>14.171890798786686</v>
      </c>
      <c r="C185" s="51">
        <f>'Liquids Type Curve'!B192</f>
        <v>170.06268958544024</v>
      </c>
      <c r="D185" s="51">
        <f>'Liquids Type Curve'!C192</f>
        <v>5.6787907893497112</v>
      </c>
      <c r="E185" s="51">
        <f>'Liquids Type Curve'!D192</f>
        <v>172.72988650938706</v>
      </c>
      <c r="F185" s="51">
        <f>'Liquids Type Curve'!E192</f>
        <v>111370.29182342862</v>
      </c>
      <c r="H185" s="51">
        <f t="shared" si="36"/>
        <v>14.171890798786686</v>
      </c>
      <c r="I185" s="51">
        <f t="shared" si="37"/>
        <v>170.06268958544024</v>
      </c>
      <c r="J185" s="51">
        <f t="shared" si="38"/>
        <v>1.8740009604854049</v>
      </c>
      <c r="K185" s="51">
        <f t="shared" si="39"/>
        <v>57.000862548097729</v>
      </c>
      <c r="L185" s="51">
        <f t="shared" si="40"/>
        <v>36752.196301731448</v>
      </c>
      <c r="N185" s="51">
        <f t="shared" si="41"/>
        <v>9.062428463241714</v>
      </c>
      <c r="O185" s="51">
        <f>(('Price Deck'!Q179/'Propane Royalties'!$B$2))/'Price Deck'!M179</f>
        <v>303.17712716352588</v>
      </c>
      <c r="P185" s="39"/>
      <c r="Q185" s="51">
        <f t="shared" si="42"/>
        <v>0.36290930502648028</v>
      </c>
      <c r="R185" s="51">
        <f t="shared" si="43"/>
        <v>0.1</v>
      </c>
      <c r="S185" s="51">
        <f t="shared" si="44"/>
        <v>0.5344557968703223</v>
      </c>
      <c r="T185" s="51">
        <f t="shared" si="45"/>
        <v>0.38883901115151376</v>
      </c>
      <c r="U185" s="51">
        <f t="shared" si="46"/>
        <v>0.36290930502648028</v>
      </c>
      <c r="W185" s="51">
        <f t="shared" si="47"/>
        <v>-0.24966572157462372</v>
      </c>
      <c r="X185" s="39">
        <f t="shared" si="48"/>
        <v>0.11324358345185656</v>
      </c>
      <c r="Y185" s="39">
        <f t="shared" si="49"/>
        <v>0.11324358345185656</v>
      </c>
      <c r="AA185" s="85">
        <f>'Price Deck'!Q179/'Price Deck'!M179</f>
        <v>48.201393869999983</v>
      </c>
      <c r="AB185" s="72">
        <f t="shared" si="50"/>
        <v>8325.8212927593613</v>
      </c>
      <c r="AC185" s="72">
        <f t="shared" si="51"/>
        <v>942.84583837183902</v>
      </c>
      <c r="AD185" s="85">
        <f t="shared" si="52"/>
        <v>5.45849856921315</v>
      </c>
    </row>
    <row r="186" spans="1:30">
      <c r="A186" t="str">
        <f>'Price Deck'!A180</f>
        <v>11/2032</v>
      </c>
      <c r="B186" s="51">
        <f>'Liquids Type Curve'!A193</f>
        <v>14.25522413212002</v>
      </c>
      <c r="C186" s="51">
        <f>'Liquids Type Curve'!B193</f>
        <v>171.06268958544024</v>
      </c>
      <c r="D186" s="51">
        <f>'Liquids Type Curve'!C193</f>
        <v>5.6478422247751228</v>
      </c>
      <c r="E186" s="51">
        <f>'Liquids Type Curve'!D193</f>
        <v>171.78853433691</v>
      </c>
      <c r="F186" s="51">
        <f>'Liquids Type Curve'!E193</f>
        <v>111542.08035776553</v>
      </c>
      <c r="H186" s="51">
        <f t="shared" si="36"/>
        <v>14.25522413212002</v>
      </c>
      <c r="I186" s="51">
        <f t="shared" si="37"/>
        <v>171.06268958544024</v>
      </c>
      <c r="J186" s="51">
        <f t="shared" si="38"/>
        <v>1.8637879341757906</v>
      </c>
      <c r="K186" s="51">
        <f t="shared" si="39"/>
        <v>56.690216331180302</v>
      </c>
      <c r="L186" s="51">
        <f t="shared" si="40"/>
        <v>36808.886518062624</v>
      </c>
      <c r="N186" s="51">
        <f t="shared" si="41"/>
        <v>9.0130395769627487</v>
      </c>
      <c r="O186" s="51">
        <f>(('Price Deck'!Q180/'Propane Royalties'!$B$2))/'Price Deck'!M180</f>
        <v>303.17712716352588</v>
      </c>
      <c r="P186" s="39"/>
      <c r="Q186" s="51">
        <f t="shared" si="42"/>
        <v>0.36290930502648028</v>
      </c>
      <c r="R186" s="51">
        <f t="shared" si="43"/>
        <v>0.1</v>
      </c>
      <c r="S186" s="51">
        <f t="shared" si="44"/>
        <v>0.5344557968703223</v>
      </c>
      <c r="T186" s="51">
        <f t="shared" si="45"/>
        <v>0.38883901115151376</v>
      </c>
      <c r="U186" s="51">
        <f t="shared" si="46"/>
        <v>0.36290930502648028</v>
      </c>
      <c r="W186" s="51">
        <f t="shared" si="47"/>
        <v>-0.2497323965711003</v>
      </c>
      <c r="X186" s="39">
        <f t="shared" si="48"/>
        <v>0.11317690845537998</v>
      </c>
      <c r="Y186" s="39">
        <f t="shared" si="49"/>
        <v>0.11317690845537998</v>
      </c>
      <c r="AA186" s="85">
        <f>'Price Deck'!Q180/'Price Deck'!M180</f>
        <v>48.201393869999983</v>
      </c>
      <c r="AB186" s="72">
        <f t="shared" si="50"/>
        <v>8280.446805923415</v>
      </c>
      <c r="AC186" s="72">
        <f t="shared" si="51"/>
        <v>937.15537012363791</v>
      </c>
      <c r="AD186" s="85">
        <f t="shared" si="52"/>
        <v>5.4552847414467012</v>
      </c>
    </row>
    <row r="187" spans="1:30">
      <c r="A187" t="str">
        <f>'Price Deck'!A181</f>
        <v>12/2032</v>
      </c>
      <c r="B187" s="51">
        <f>'Liquids Type Curve'!A194</f>
        <v>14.338557465453354</v>
      </c>
      <c r="C187" s="51">
        <f>'Liquids Type Curve'!B194</f>
        <v>172.06268958544024</v>
      </c>
      <c r="D187" s="51">
        <f>'Liquids Type Curve'!C194</f>
        <v>5.6172412484219976</v>
      </c>
      <c r="E187" s="51">
        <f>'Liquids Type Curve'!D194</f>
        <v>170.85775463950245</v>
      </c>
      <c r="F187" s="51">
        <f>'Liquids Type Curve'!E194</f>
        <v>111712.93811240503</v>
      </c>
      <c r="H187" s="51">
        <f t="shared" si="36"/>
        <v>14.338557465453354</v>
      </c>
      <c r="I187" s="51">
        <f t="shared" si="37"/>
        <v>172.06268958544024</v>
      </c>
      <c r="J187" s="51">
        <f t="shared" si="38"/>
        <v>1.8536896119792592</v>
      </c>
      <c r="K187" s="51">
        <f t="shared" si="39"/>
        <v>56.383059031035806</v>
      </c>
      <c r="L187" s="51">
        <f t="shared" si="40"/>
        <v>36865.269577093663</v>
      </c>
      <c r="N187" s="51">
        <f t="shared" si="41"/>
        <v>8.9642053850735799</v>
      </c>
      <c r="O187" s="51">
        <f>(('Price Deck'!Q181/'Propane Royalties'!$B$2))/'Price Deck'!M181</f>
        <v>303.17712716352588</v>
      </c>
      <c r="P187" s="39"/>
      <c r="Q187" s="51">
        <f t="shared" si="42"/>
        <v>0.36290930502648028</v>
      </c>
      <c r="R187" s="51">
        <f t="shared" si="43"/>
        <v>0.1</v>
      </c>
      <c r="S187" s="51">
        <f t="shared" si="44"/>
        <v>0.5344557968703223</v>
      </c>
      <c r="T187" s="51">
        <f t="shared" si="45"/>
        <v>0.38883901115151376</v>
      </c>
      <c r="U187" s="51">
        <f t="shared" si="46"/>
        <v>0.36290930502648028</v>
      </c>
      <c r="W187" s="51">
        <f t="shared" si="47"/>
        <v>-0.24979832273015071</v>
      </c>
      <c r="X187" s="39">
        <f t="shared" si="48"/>
        <v>0.11311098229632957</v>
      </c>
      <c r="Y187" s="39">
        <f t="shared" si="49"/>
        <v>0.11311098229632957</v>
      </c>
      <c r="AA187" s="85">
        <f>'Price Deck'!Q181/'Price Deck'!M181</f>
        <v>48.201393869999983</v>
      </c>
      <c r="AB187" s="72">
        <f t="shared" si="50"/>
        <v>8235.5819271224736</v>
      </c>
      <c r="AC187" s="72">
        <f t="shared" si="51"/>
        <v>931.53476155872193</v>
      </c>
      <c r="AD187" s="85">
        <f t="shared" si="52"/>
        <v>5.4521070086879764</v>
      </c>
    </row>
    <row r="188" spans="1:30">
      <c r="A188" t="str">
        <f>'Price Deck'!A182</f>
        <v>01/2033</v>
      </c>
      <c r="B188" s="51">
        <f>'Liquids Type Curve'!A195</f>
        <v>14.421890798786688</v>
      </c>
      <c r="C188" s="51">
        <f>'Liquids Type Curve'!B195</f>
        <v>173.06268958544024</v>
      </c>
      <c r="D188" s="51">
        <f>'Liquids Type Curve'!C195</f>
        <v>5.5869819701846577</v>
      </c>
      <c r="E188" s="51">
        <f>'Liquids Type Curve'!D195</f>
        <v>169.93736825978334</v>
      </c>
      <c r="F188" s="51">
        <f>'Liquids Type Curve'!E195</f>
        <v>111882.87548066481</v>
      </c>
      <c r="H188" s="51">
        <f t="shared" si="36"/>
        <v>14.421890798786688</v>
      </c>
      <c r="I188" s="51">
        <f t="shared" si="37"/>
        <v>173.06268958544024</v>
      </c>
      <c r="J188" s="51">
        <f t="shared" si="38"/>
        <v>1.8437040501609372</v>
      </c>
      <c r="K188" s="51">
        <f t="shared" si="39"/>
        <v>56.079331525728506</v>
      </c>
      <c r="L188" s="51">
        <f t="shared" si="40"/>
        <v>36921.348908619388</v>
      </c>
      <c r="N188" s="51">
        <f t="shared" si="41"/>
        <v>8.9159164879214767</v>
      </c>
      <c r="O188" s="51">
        <f>(('Price Deck'!Q182/'Propane Royalties'!$B$2))/'Price Deck'!M182</f>
        <v>303.17712716352588</v>
      </c>
      <c r="P188" s="39"/>
      <c r="Q188" s="51">
        <f t="shared" si="42"/>
        <v>0.36290930502648028</v>
      </c>
      <c r="R188" s="51">
        <f t="shared" si="43"/>
        <v>0.1</v>
      </c>
      <c r="S188" s="51">
        <f t="shared" si="44"/>
        <v>0.5344557968703223</v>
      </c>
      <c r="T188" s="51">
        <f t="shared" si="45"/>
        <v>0.38883901115151376</v>
      </c>
      <c r="U188" s="51">
        <f t="shared" si="46"/>
        <v>0.36290930502648028</v>
      </c>
      <c r="W188" s="51">
        <f t="shared" si="47"/>
        <v>-0.24986351274130603</v>
      </c>
      <c r="X188" s="39">
        <f t="shared" si="48"/>
        <v>0.11304579228517425</v>
      </c>
      <c r="Y188" s="39">
        <f t="shared" si="49"/>
        <v>0.11304579228517425</v>
      </c>
      <c r="AA188" s="85">
        <f>'Price Deck'!Q182/'Price Deck'!M182</f>
        <v>48.201393869999983</v>
      </c>
      <c r="AB188" s="72">
        <f t="shared" si="50"/>
        <v>8191.2180207210504</v>
      </c>
      <c r="AC188" s="72">
        <f t="shared" si="51"/>
        <v>925.98273093300804</v>
      </c>
      <c r="AD188" s="85">
        <f t="shared" si="52"/>
        <v>5.4489647592838892</v>
      </c>
    </row>
    <row r="189" spans="1:30">
      <c r="A189" t="str">
        <f>'Price Deck'!A183</f>
        <v>02/2033</v>
      </c>
      <c r="B189" s="51">
        <f>'Liquids Type Curve'!A196</f>
        <v>14.505224132120022</v>
      </c>
      <c r="C189" s="51">
        <f>'Liquids Type Curve'!B196</f>
        <v>174.06268958544027</v>
      </c>
      <c r="D189" s="51">
        <f>'Liquids Type Curve'!C196</f>
        <v>5.5570586330411542</v>
      </c>
      <c r="E189" s="51">
        <f>'Liquids Type Curve'!D196</f>
        <v>169.02720008833512</v>
      </c>
      <c r="F189" s="51">
        <f>'Liquids Type Curve'!E196</f>
        <v>112051.90268075315</v>
      </c>
      <c r="H189" s="51">
        <f t="shared" si="36"/>
        <v>14.505224132120022</v>
      </c>
      <c r="I189" s="51">
        <f t="shared" si="37"/>
        <v>174.06268958544027</v>
      </c>
      <c r="J189" s="51">
        <f t="shared" si="38"/>
        <v>1.8338293489035811</v>
      </c>
      <c r="K189" s="51">
        <f t="shared" si="39"/>
        <v>55.778976029150591</v>
      </c>
      <c r="L189" s="51">
        <f t="shared" si="40"/>
        <v>36977.127884648544</v>
      </c>
      <c r="N189" s="51">
        <f t="shared" si="41"/>
        <v>8.868163698233742</v>
      </c>
      <c r="O189" s="51">
        <f>(('Price Deck'!Q183/'Propane Royalties'!$B$2))/'Price Deck'!M183</f>
        <v>307.72478407097879</v>
      </c>
      <c r="P189" s="39"/>
      <c r="Q189" s="51">
        <f t="shared" si="42"/>
        <v>0.36559242260187746</v>
      </c>
      <c r="R189" s="51">
        <f t="shared" si="43"/>
        <v>0.1</v>
      </c>
      <c r="S189" s="51">
        <f t="shared" si="44"/>
        <v>0.54364206382337721</v>
      </c>
      <c r="T189" s="51">
        <f t="shared" si="45"/>
        <v>0.39388691031878642</v>
      </c>
      <c r="U189" s="51">
        <f t="shared" si="46"/>
        <v>0.36559242260187746</v>
      </c>
      <c r="W189" s="51">
        <f t="shared" si="47"/>
        <v>-0.24992797900738448</v>
      </c>
      <c r="X189" s="39">
        <f t="shared" si="48"/>
        <v>0.11566444359449299</v>
      </c>
      <c r="Y189" s="39">
        <f t="shared" si="49"/>
        <v>0.11566444359449299</v>
      </c>
      <c r="AA189" s="85">
        <f>'Price Deck'!Q183/'Price Deck'!M183</f>
        <v>48.924414778049979</v>
      </c>
      <c r="AB189" s="72">
        <f t="shared" si="50"/>
        <v>8269.5568458941543</v>
      </c>
      <c r="AC189" s="72">
        <f t="shared" si="51"/>
        <v>956.49369135337781</v>
      </c>
      <c r="AD189" s="85">
        <f t="shared" si="52"/>
        <v>5.6588152134893415</v>
      </c>
    </row>
    <row r="190" spans="1:30">
      <c r="A190" t="str">
        <f>'Price Deck'!A184</f>
        <v>03/2033</v>
      </c>
      <c r="B190" s="51">
        <f>'Liquids Type Curve'!A197</f>
        <v>14.588557465453356</v>
      </c>
      <c r="C190" s="51">
        <f>'Liquids Type Curve'!B197</f>
        <v>175.06268958544027</v>
      </c>
      <c r="D190" s="51">
        <f>'Liquids Type Curve'!C197</f>
        <v>5.5274656093031451</v>
      </c>
      <c r="E190" s="51">
        <f>'Liquids Type Curve'!D197</f>
        <v>168.12707894963734</v>
      </c>
      <c r="F190" s="51">
        <f>'Liquids Type Curve'!E197</f>
        <v>112220.02975970278</v>
      </c>
      <c r="H190" s="51">
        <f t="shared" si="36"/>
        <v>14.588557465453356</v>
      </c>
      <c r="I190" s="51">
        <f t="shared" si="37"/>
        <v>175.06268958544027</v>
      </c>
      <c r="J190" s="51">
        <f t="shared" si="38"/>
        <v>1.8240636510700379</v>
      </c>
      <c r="K190" s="51">
        <f t="shared" si="39"/>
        <v>55.481936053380323</v>
      </c>
      <c r="L190" s="51">
        <f t="shared" si="40"/>
        <v>37032.609820701917</v>
      </c>
      <c r="N190" s="51">
        <f t="shared" si="41"/>
        <v>8.8209380351331248</v>
      </c>
      <c r="O190" s="51">
        <f>(('Price Deck'!Q184/'Propane Royalties'!$B$2))/'Price Deck'!M184</f>
        <v>307.72478407097879</v>
      </c>
      <c r="P190" s="39"/>
      <c r="Q190" s="51">
        <f t="shared" si="42"/>
        <v>0.36559242260187746</v>
      </c>
      <c r="R190" s="51">
        <f t="shared" si="43"/>
        <v>0.1</v>
      </c>
      <c r="S190" s="51">
        <f t="shared" si="44"/>
        <v>0.54364206382337721</v>
      </c>
      <c r="T190" s="51">
        <f t="shared" si="45"/>
        <v>0.39388691031878642</v>
      </c>
      <c r="U190" s="51">
        <f t="shared" si="46"/>
        <v>0.36559242260187746</v>
      </c>
      <c r="W190" s="51">
        <f t="shared" si="47"/>
        <v>-0.24999173365257032</v>
      </c>
      <c r="X190" s="39">
        <f t="shared" si="48"/>
        <v>0.11560068894930714</v>
      </c>
      <c r="Y190" s="39">
        <f t="shared" si="49"/>
        <v>0.11560068894930714</v>
      </c>
      <c r="AA190" s="85">
        <f>'Price Deck'!Q184/'Price Deck'!M184</f>
        <v>48.924414778049979</v>
      </c>
      <c r="AB190" s="72">
        <f t="shared" si="50"/>
        <v>8225.5189459540125</v>
      </c>
      <c r="AC190" s="72">
        <f t="shared" si="51"/>
        <v>950.87565711786249</v>
      </c>
      <c r="AD190" s="85">
        <f t="shared" si="52"/>
        <v>5.655696054784241</v>
      </c>
    </row>
    <row r="191" spans="1:30">
      <c r="A191" t="str">
        <f>'Price Deck'!A185</f>
        <v>04/2033</v>
      </c>
      <c r="B191" s="51">
        <f>'Liquids Type Curve'!A198</f>
        <v>14.67189079878669</v>
      </c>
      <c r="C191" s="51">
        <f>'Liquids Type Curve'!B198</f>
        <v>176.06268958544027</v>
      </c>
      <c r="D191" s="51">
        <f>'Liquids Type Curve'!C198</f>
        <v>5.4981973969921292</v>
      </c>
      <c r="E191" s="51">
        <f>'Liquids Type Curve'!D198</f>
        <v>167.23683749184394</v>
      </c>
      <c r="F191" s="51">
        <f>'Liquids Type Curve'!E198</f>
        <v>112387.26659719463</v>
      </c>
      <c r="H191" s="51">
        <f t="shared" si="36"/>
        <v>14.67189079878669</v>
      </c>
      <c r="I191" s="51">
        <f t="shared" si="37"/>
        <v>176.06268958544027</v>
      </c>
      <c r="J191" s="51">
        <f t="shared" si="38"/>
        <v>1.8144051410074027</v>
      </c>
      <c r="K191" s="51">
        <f t="shared" si="39"/>
        <v>55.188156372308505</v>
      </c>
      <c r="L191" s="51">
        <f t="shared" si="40"/>
        <v>37087.797977074231</v>
      </c>
      <c r="N191" s="51">
        <f t="shared" si="41"/>
        <v>8.7742307183548771</v>
      </c>
      <c r="O191" s="51">
        <f>(('Price Deck'!Q185/'Propane Royalties'!$B$2))/'Price Deck'!M185</f>
        <v>307.72478407097879</v>
      </c>
      <c r="P191" s="39"/>
      <c r="Q191" s="51">
        <f t="shared" si="42"/>
        <v>0.36559242260187746</v>
      </c>
      <c r="R191" s="51">
        <f t="shared" si="43"/>
        <v>0.1</v>
      </c>
      <c r="S191" s="51">
        <f t="shared" si="44"/>
        <v>0.54364206382337721</v>
      </c>
      <c r="T191" s="51">
        <f t="shared" si="45"/>
        <v>0.39388691031878642</v>
      </c>
      <c r="U191" s="51">
        <f t="shared" si="46"/>
        <v>0.36559242260187746</v>
      </c>
      <c r="W191" s="51">
        <f t="shared" si="47"/>
        <v>-0.2500547885302209</v>
      </c>
      <c r="X191" s="39">
        <f t="shared" si="48"/>
        <v>0.11553763407165657</v>
      </c>
      <c r="Y191" s="39">
        <f t="shared" si="49"/>
        <v>0.11553763407165657</v>
      </c>
      <c r="AA191" s="85">
        <f>'Price Deck'!Q185/'Price Deck'!M185</f>
        <v>48.924414778049979</v>
      </c>
      <c r="AB191" s="72">
        <f t="shared" si="50"/>
        <v>8181.9644036203126</v>
      </c>
      <c r="AC191" s="72">
        <f t="shared" si="51"/>
        <v>945.32480925280345</v>
      </c>
      <c r="AD191" s="85">
        <f t="shared" si="52"/>
        <v>5.6526111317962853</v>
      </c>
    </row>
    <row r="192" spans="1:30">
      <c r="A192" t="str">
        <f>'Price Deck'!A186</f>
        <v>05/2033</v>
      </c>
      <c r="B192" s="51">
        <f>'Liquids Type Curve'!A199</f>
        <v>14.755224132120023</v>
      </c>
      <c r="C192" s="51">
        <f>'Liquids Type Curve'!B199</f>
        <v>177.0626895854403</v>
      </c>
      <c r="D192" s="51">
        <f>'Liquids Type Curve'!C199</f>
        <v>5.4692486163371408</v>
      </c>
      <c r="E192" s="51">
        <f>'Liquids Type Curve'!D199</f>
        <v>166.3563120802547</v>
      </c>
      <c r="F192" s="51">
        <f>'Liquids Type Curve'!E199</f>
        <v>112553.62290927488</v>
      </c>
      <c r="H192" s="51">
        <f t="shared" si="36"/>
        <v>14.755224132120023</v>
      </c>
      <c r="I192" s="51">
        <f t="shared" si="37"/>
        <v>177.0626895854403</v>
      </c>
      <c r="J192" s="51">
        <f t="shared" si="38"/>
        <v>1.8048520433912565</v>
      </c>
      <c r="K192" s="51">
        <f t="shared" si="39"/>
        <v>54.897582986484053</v>
      </c>
      <c r="L192" s="51">
        <f t="shared" si="40"/>
        <v>37142.695560060711</v>
      </c>
      <c r="N192" s="51">
        <f t="shared" si="41"/>
        <v>8.7280331626576455</v>
      </c>
      <c r="O192" s="51">
        <f>(('Price Deck'!Q186/'Propane Royalties'!$B$2))/'Price Deck'!M186</f>
        <v>307.72478407097879</v>
      </c>
      <c r="P192" s="39"/>
      <c r="Q192" s="51">
        <f t="shared" si="42"/>
        <v>0.36559242260187746</v>
      </c>
      <c r="R192" s="51">
        <f t="shared" si="43"/>
        <v>0.1</v>
      </c>
      <c r="S192" s="51">
        <f t="shared" si="44"/>
        <v>0.54364206382337721</v>
      </c>
      <c r="T192" s="51">
        <f t="shared" si="45"/>
        <v>0.39388691031878642</v>
      </c>
      <c r="U192" s="51">
        <f t="shared" si="46"/>
        <v>0.36559242260187746</v>
      </c>
      <c r="W192" s="51">
        <f t="shared" si="47"/>
        <v>-0.25011715523041217</v>
      </c>
      <c r="X192" s="39">
        <f t="shared" si="48"/>
        <v>0.1154752673714653</v>
      </c>
      <c r="Y192" s="39">
        <f t="shared" si="49"/>
        <v>0.1154752673714653</v>
      </c>
      <c r="AA192" s="85">
        <f>'Price Deck'!Q186/'Price Deck'!M186</f>
        <v>48.924414778049979</v>
      </c>
      <c r="AB192" s="72">
        <f t="shared" si="50"/>
        <v>8138.8852131611075</v>
      </c>
      <c r="AC192" s="72">
        <f t="shared" si="51"/>
        <v>939.83994609544425</v>
      </c>
      <c r="AD192" s="85">
        <f t="shared" si="52"/>
        <v>5.64955987748779</v>
      </c>
    </row>
    <row r="193" spans="1:30">
      <c r="A193" t="str">
        <f>'Price Deck'!A187</f>
        <v>06/2033</v>
      </c>
      <c r="B193" s="51">
        <f>'Liquids Type Curve'!A200</f>
        <v>14.838557465453357</v>
      </c>
      <c r="C193" s="51">
        <f>'Liquids Type Curve'!B200</f>
        <v>178.0626895854403</v>
      </c>
      <c r="D193" s="51">
        <f>'Liquids Type Curve'!C200</f>
        <v>5.4406140063891186</v>
      </c>
      <c r="E193" s="51">
        <f>'Liquids Type Curve'!D200</f>
        <v>165.48534269433569</v>
      </c>
      <c r="F193" s="51">
        <f>'Liquids Type Curve'!E200</f>
        <v>112719.10825196921</v>
      </c>
      <c r="H193" s="51">
        <f t="shared" si="36"/>
        <v>14.838557465453357</v>
      </c>
      <c r="I193" s="51">
        <f t="shared" si="37"/>
        <v>178.0626895854403</v>
      </c>
      <c r="J193" s="51">
        <f t="shared" si="38"/>
        <v>1.7954026221084092</v>
      </c>
      <c r="K193" s="51">
        <f t="shared" si="39"/>
        <v>54.610163089130779</v>
      </c>
      <c r="L193" s="51">
        <f t="shared" si="40"/>
        <v>37197.305723149839</v>
      </c>
      <c r="N193" s="51">
        <f t="shared" si="41"/>
        <v>8.6823369724205506</v>
      </c>
      <c r="O193" s="51">
        <f>(('Price Deck'!Q187/'Propane Royalties'!$B$2))/'Price Deck'!M187</f>
        <v>307.72478407097879</v>
      </c>
      <c r="P193" s="39"/>
      <c r="Q193" s="51">
        <f t="shared" si="42"/>
        <v>0.36559242260187746</v>
      </c>
      <c r="R193" s="51">
        <f t="shared" si="43"/>
        <v>0.1</v>
      </c>
      <c r="S193" s="51">
        <f t="shared" si="44"/>
        <v>0.54364206382337721</v>
      </c>
      <c r="T193" s="51">
        <f t="shared" si="45"/>
        <v>0.39388691031878642</v>
      </c>
      <c r="U193" s="51">
        <f t="shared" si="46"/>
        <v>0.36559242260187746</v>
      </c>
      <c r="W193" s="51">
        <f t="shared" si="47"/>
        <v>-0.25017884508723226</v>
      </c>
      <c r="X193" s="39">
        <f t="shared" si="48"/>
        <v>0.1154135775146452</v>
      </c>
      <c r="Y193" s="39">
        <f t="shared" si="49"/>
        <v>0.1154135775146452</v>
      </c>
      <c r="AA193" s="85">
        <f>'Price Deck'!Q187/'Price Deck'!M187</f>
        <v>48.924414778049979</v>
      </c>
      <c r="AB193" s="72">
        <f t="shared" si="50"/>
        <v>8096.2735456654218</v>
      </c>
      <c r="AC193" s="72">
        <f t="shared" si="51"/>
        <v>934.41989444242756</v>
      </c>
      <c r="AD193" s="85">
        <f t="shared" si="52"/>
        <v>5.6465417373451245</v>
      </c>
    </row>
    <row r="194" spans="1:30">
      <c r="A194" t="str">
        <f>'Price Deck'!A188</f>
        <v>07/2033</v>
      </c>
      <c r="B194" s="51">
        <f>'Liquids Type Curve'!A201</f>
        <v>14.921890798786691</v>
      </c>
      <c r="C194" s="51">
        <f>'Liquids Type Curve'!B201</f>
        <v>179.0626895854403</v>
      </c>
      <c r="D194" s="51">
        <f>'Liquids Type Curve'!C201</f>
        <v>5.4122884217474665</v>
      </c>
      <c r="E194" s="51">
        <f>'Liquids Type Curve'!D201</f>
        <v>164.62377282815211</v>
      </c>
      <c r="F194" s="51">
        <f>'Liquids Type Curve'!E201</f>
        <v>112883.73202479737</v>
      </c>
      <c r="H194" s="51">
        <f t="shared" si="36"/>
        <v>14.921890798786691</v>
      </c>
      <c r="I194" s="51">
        <f t="shared" si="37"/>
        <v>179.0626895854403</v>
      </c>
      <c r="J194" s="51">
        <f t="shared" si="38"/>
        <v>1.7860551791766641</v>
      </c>
      <c r="K194" s="51">
        <f t="shared" si="39"/>
        <v>54.3258450332902</v>
      </c>
      <c r="L194" s="51">
        <f t="shared" si="40"/>
        <v>37251.631568183133</v>
      </c>
      <c r="N194" s="51">
        <f t="shared" si="41"/>
        <v>8.637133936419314</v>
      </c>
      <c r="O194" s="51">
        <f>(('Price Deck'!Q188/'Propane Royalties'!$B$2))/'Price Deck'!M188</f>
        <v>307.72478407097879</v>
      </c>
      <c r="P194" s="39"/>
      <c r="Q194" s="51">
        <f t="shared" si="42"/>
        <v>0.36559242260187746</v>
      </c>
      <c r="R194" s="51">
        <f t="shared" si="43"/>
        <v>0.1</v>
      </c>
      <c r="S194" s="51">
        <f t="shared" si="44"/>
        <v>0.54364206382337721</v>
      </c>
      <c r="T194" s="51">
        <f t="shared" si="45"/>
        <v>0.39388691031878642</v>
      </c>
      <c r="U194" s="51">
        <f t="shared" si="46"/>
        <v>0.36559242260187746</v>
      </c>
      <c r="W194" s="51">
        <f t="shared" si="47"/>
        <v>-0.25023986918583396</v>
      </c>
      <c r="X194" s="39">
        <f t="shared" si="48"/>
        <v>0.1153525534160435</v>
      </c>
      <c r="Y194" s="39">
        <f t="shared" si="49"/>
        <v>0.1153525534160435</v>
      </c>
      <c r="AA194" s="85">
        <f>'Price Deck'!Q188/'Price Deck'!M188</f>
        <v>48.924414778049979</v>
      </c>
      <c r="AB194" s="72">
        <f t="shared" si="50"/>
        <v>8054.1217441719882</v>
      </c>
      <c r="AC194" s="72">
        <f t="shared" si="51"/>
        <v>929.06350871391669</v>
      </c>
      <c r="AD194" s="85">
        <f t="shared" si="52"/>
        <v>5.643556169033678</v>
      </c>
    </row>
    <row r="195" spans="1:30">
      <c r="A195" t="str">
        <f>'Price Deck'!A189</f>
        <v>08/2033</v>
      </c>
      <c r="B195" s="51">
        <f>'Liquids Type Curve'!A202</f>
        <v>15.005224132120025</v>
      </c>
      <c r="C195" s="51">
        <f>'Liquids Type Curve'!B202</f>
        <v>180.0626895854403</v>
      </c>
      <c r="D195" s="51">
        <f>'Liquids Type Curve'!C202</f>
        <v>5.384266829394468</v>
      </c>
      <c r="E195" s="51">
        <f>'Liquids Type Curve'!D202</f>
        <v>163.77144939408174</v>
      </c>
      <c r="F195" s="51">
        <f>'Liquids Type Curve'!E202</f>
        <v>113047.50347419146</v>
      </c>
      <c r="H195" s="51">
        <f t="shared" si="36"/>
        <v>15.005224132120025</v>
      </c>
      <c r="I195" s="51">
        <f t="shared" si="37"/>
        <v>180.0626895854403</v>
      </c>
      <c r="J195" s="51">
        <f t="shared" si="38"/>
        <v>1.7768080537001745</v>
      </c>
      <c r="K195" s="51">
        <f t="shared" si="39"/>
        <v>54.044578300046979</v>
      </c>
      <c r="L195" s="51">
        <f t="shared" si="40"/>
        <v>37305.67614648318</v>
      </c>
      <c r="N195" s="51">
        <f t="shared" si="41"/>
        <v>8.5924160227744881</v>
      </c>
      <c r="O195" s="51">
        <f>(('Price Deck'!Q189/'Propane Royalties'!$B$2))/'Price Deck'!M189</f>
        <v>307.72478407097879</v>
      </c>
      <c r="P195" s="39"/>
      <c r="Q195" s="51">
        <f t="shared" si="42"/>
        <v>0.36559242260187746</v>
      </c>
      <c r="R195" s="51">
        <f t="shared" si="43"/>
        <v>0.1</v>
      </c>
      <c r="S195" s="51">
        <f t="shared" si="44"/>
        <v>0.54364206382337721</v>
      </c>
      <c r="T195" s="51">
        <f t="shared" si="45"/>
        <v>0.39388691031878642</v>
      </c>
      <c r="U195" s="51">
        <f t="shared" si="46"/>
        <v>0.36559242260187746</v>
      </c>
      <c r="W195" s="51">
        <f t="shared" si="47"/>
        <v>-0.25030023836925441</v>
      </c>
      <c r="X195" s="39">
        <f t="shared" si="48"/>
        <v>0.11529218423262305</v>
      </c>
      <c r="Y195" s="39">
        <f t="shared" si="49"/>
        <v>0.11529218423262305</v>
      </c>
      <c r="AA195" s="85">
        <f>'Price Deck'!Q189/'Price Deck'!M189</f>
        <v>48.924414778049979</v>
      </c>
      <c r="AB195" s="72">
        <f t="shared" si="50"/>
        <v>8012.4223189584773</v>
      </c>
      <c r="AC195" s="72">
        <f t="shared" si="51"/>
        <v>923.76967014694162</v>
      </c>
      <c r="AD195" s="85">
        <f t="shared" si="52"/>
        <v>5.6406026420642048</v>
      </c>
    </row>
    <row r="196" spans="1:30">
      <c r="A196" t="str">
        <f>'Price Deck'!A190</f>
        <v>09/2033</v>
      </c>
      <c r="B196" s="51">
        <f>'Liquids Type Curve'!A203</f>
        <v>15.088557465453359</v>
      </c>
      <c r="C196" s="51">
        <f>'Liquids Type Curve'!B203</f>
        <v>181.0626895854403</v>
      </c>
      <c r="D196" s="51">
        <f>'Liquids Type Curve'!C203</f>
        <v>5.3565443056334558</v>
      </c>
      <c r="E196" s="51">
        <f>'Liquids Type Curve'!D203</f>
        <v>162.92822262968429</v>
      </c>
      <c r="F196" s="51">
        <f>'Liquids Type Curve'!E203</f>
        <v>113210.43169682114</v>
      </c>
      <c r="H196" s="51">
        <f t="shared" si="36"/>
        <v>15.088557465453359</v>
      </c>
      <c r="I196" s="51">
        <f t="shared" si="37"/>
        <v>181.0626895854403</v>
      </c>
      <c r="J196" s="51">
        <f t="shared" si="38"/>
        <v>1.7676596208590405</v>
      </c>
      <c r="K196" s="51">
        <f t="shared" si="39"/>
        <v>53.766313467795818</v>
      </c>
      <c r="L196" s="51">
        <f t="shared" si="40"/>
        <v>37359.442459950973</v>
      </c>
      <c r="N196" s="51">
        <f t="shared" si="41"/>
        <v>8.5481753740652824</v>
      </c>
      <c r="O196" s="51">
        <f>(('Price Deck'!Q190/'Propane Royalties'!$B$2))/'Price Deck'!M190</f>
        <v>307.72478407097879</v>
      </c>
      <c r="P196" s="39"/>
      <c r="Q196" s="51">
        <f t="shared" si="42"/>
        <v>0.36559242260187746</v>
      </c>
      <c r="R196" s="51">
        <f t="shared" si="43"/>
        <v>0.1</v>
      </c>
      <c r="S196" s="51">
        <f t="shared" si="44"/>
        <v>0.54364206382337721</v>
      </c>
      <c r="T196" s="51">
        <f t="shared" si="45"/>
        <v>0.39388691031878642</v>
      </c>
      <c r="U196" s="51">
        <f t="shared" si="46"/>
        <v>0.36559242260187746</v>
      </c>
      <c r="W196" s="51">
        <f t="shared" si="47"/>
        <v>-0.25035996324501186</v>
      </c>
      <c r="X196" s="39">
        <f t="shared" si="48"/>
        <v>0.1152324593568656</v>
      </c>
      <c r="Y196" s="39">
        <f t="shared" si="49"/>
        <v>0.1152324593568656</v>
      </c>
      <c r="AA196" s="85">
        <f>'Price Deck'!Q190/'Price Deck'!M190</f>
        <v>48.924414778049979</v>
      </c>
      <c r="AB196" s="72">
        <f t="shared" si="50"/>
        <v>7971.1679429851429</v>
      </c>
      <c r="AC196" s="72">
        <f t="shared" si="51"/>
        <v>918.53728601678552</v>
      </c>
      <c r="AD196" s="85">
        <f t="shared" si="52"/>
        <v>5.637680637470079</v>
      </c>
    </row>
    <row r="197" spans="1:30">
      <c r="A197" t="str">
        <f>'Price Deck'!A191</f>
        <v>10/2033</v>
      </c>
      <c r="B197" s="51">
        <f>'Liquids Type Curve'!A204</f>
        <v>15.171890798786693</v>
      </c>
      <c r="C197" s="51">
        <f>'Liquids Type Curve'!B204</f>
        <v>182.06268958544032</v>
      </c>
      <c r="D197" s="51">
        <f>'Liquids Type Curve'!C204</f>
        <v>5.3291160331267351</v>
      </c>
      <c r="E197" s="51">
        <f>'Liquids Type Curve'!D204</f>
        <v>162.09394600760487</v>
      </c>
      <c r="F197" s="51">
        <f>'Liquids Type Curve'!E204</f>
        <v>113372.52564282874</v>
      </c>
      <c r="H197" s="51">
        <f t="shared" si="36"/>
        <v>15.171890798786693</v>
      </c>
      <c r="I197" s="51">
        <f t="shared" si="37"/>
        <v>182.06268958544032</v>
      </c>
      <c r="J197" s="51">
        <f t="shared" si="38"/>
        <v>1.7586082909318226</v>
      </c>
      <c r="K197" s="51">
        <f t="shared" si="39"/>
        <v>53.491002182509611</v>
      </c>
      <c r="L197" s="51">
        <f t="shared" si="40"/>
        <v>37412.933462133486</v>
      </c>
      <c r="N197" s="51">
        <f t="shared" si="41"/>
        <v>8.5044043026025644</v>
      </c>
      <c r="O197" s="51">
        <f>(('Price Deck'!Q191/'Propane Royalties'!$B$2))/'Price Deck'!M191</f>
        <v>307.72478407097879</v>
      </c>
      <c r="P197" s="39"/>
      <c r="Q197" s="51">
        <f t="shared" si="42"/>
        <v>0.36559242260187746</v>
      </c>
      <c r="R197" s="51">
        <f t="shared" si="43"/>
        <v>0.1</v>
      </c>
      <c r="S197" s="51">
        <f t="shared" si="44"/>
        <v>0.54364206382337721</v>
      </c>
      <c r="T197" s="51">
        <f t="shared" si="45"/>
        <v>0.39388691031878642</v>
      </c>
      <c r="U197" s="51">
        <f t="shared" si="46"/>
        <v>0.36559242260187746</v>
      </c>
      <c r="W197" s="51">
        <f t="shared" si="47"/>
        <v>-0.25041905419148658</v>
      </c>
      <c r="X197" s="39">
        <f t="shared" si="48"/>
        <v>0.11517336841039089</v>
      </c>
      <c r="Y197" s="39">
        <f t="shared" si="49"/>
        <v>0.11517336841039089</v>
      </c>
      <c r="AA197" s="85">
        <f>'Price Deck'!Q191/'Price Deck'!M191</f>
        <v>48.924414778049979</v>
      </c>
      <c r="AB197" s="72">
        <f t="shared" si="50"/>
        <v>7930.3514474868989</v>
      </c>
      <c r="AC197" s="72">
        <f t="shared" si="51"/>
        <v>913.36528888528528</v>
      </c>
      <c r="AD197" s="85">
        <f t="shared" si="52"/>
        <v>5.6347896474951229</v>
      </c>
    </row>
    <row r="198" spans="1:30">
      <c r="A198" t="str">
        <f>'Price Deck'!A192</f>
        <v>11/2033</v>
      </c>
      <c r="B198" s="51">
        <f>'Liquids Type Curve'!A205</f>
        <v>15.255224132120027</v>
      </c>
      <c r="C198" s="51">
        <f>'Liquids Type Curve'!B205</f>
        <v>183.06268958544032</v>
      </c>
      <c r="D198" s="51">
        <f>'Liquids Type Curve'!C205</f>
        <v>5.3019772980295237</v>
      </c>
      <c r="E198" s="51">
        <f>'Liquids Type Curve'!D205</f>
        <v>161.26847614839801</v>
      </c>
      <c r="F198" s="51">
        <f>'Liquids Type Curve'!E205</f>
        <v>113533.79411897714</v>
      </c>
      <c r="H198" s="51">
        <f t="shared" si="36"/>
        <v>15.255224132120027</v>
      </c>
      <c r="I198" s="51">
        <f t="shared" si="37"/>
        <v>183.06268958544032</v>
      </c>
      <c r="J198" s="51">
        <f t="shared" si="38"/>
        <v>1.749652508349743</v>
      </c>
      <c r="K198" s="51">
        <f t="shared" si="39"/>
        <v>53.218597128971346</v>
      </c>
      <c r="L198" s="51">
        <f t="shared" si="40"/>
        <v>37466.152059262458</v>
      </c>
      <c r="N198" s="51">
        <f t="shared" si="41"/>
        <v>8.461095285855091</v>
      </c>
      <c r="O198" s="51">
        <f>(('Price Deck'!Q192/'Propane Royalties'!$B$2))/'Price Deck'!M192</f>
        <v>307.72478407097879</v>
      </c>
      <c r="P198" s="39"/>
      <c r="Q198" s="51">
        <f t="shared" si="42"/>
        <v>0.36559242260187746</v>
      </c>
      <c r="R198" s="51">
        <f t="shared" si="43"/>
        <v>0.1</v>
      </c>
      <c r="S198" s="51">
        <f t="shared" si="44"/>
        <v>0.54364206382337721</v>
      </c>
      <c r="T198" s="51">
        <f t="shared" si="45"/>
        <v>0.39388691031878642</v>
      </c>
      <c r="U198" s="51">
        <f t="shared" si="46"/>
        <v>0.36559242260187746</v>
      </c>
      <c r="W198" s="51">
        <f t="shared" si="47"/>
        <v>-0.25047752136409562</v>
      </c>
      <c r="X198" s="39">
        <f t="shared" si="48"/>
        <v>0.11511490123778184</v>
      </c>
      <c r="Y198" s="39">
        <f t="shared" si="49"/>
        <v>0.11511490123778184</v>
      </c>
      <c r="AA198" s="85">
        <f>'Price Deck'!Q192/'Price Deck'!M192</f>
        <v>48.924414778049979</v>
      </c>
      <c r="AB198" s="72">
        <f t="shared" si="50"/>
        <v>7889.9658177082838</v>
      </c>
      <c r="AC198" s="72">
        <f t="shared" si="51"/>
        <v>908.25263587496374</v>
      </c>
      <c r="AD198" s="85">
        <f t="shared" si="52"/>
        <v>5.6319291752914973</v>
      </c>
    </row>
    <row r="199" spans="1:30">
      <c r="A199" t="str">
        <f>'Price Deck'!A193</f>
        <v>01/2033</v>
      </c>
      <c r="B199" s="51">
        <f>'Liquids Type Curve'!A206</f>
        <v>15.338557465453361</v>
      </c>
      <c r="C199" s="51">
        <f>'Liquids Type Curve'!B206</f>
        <v>184.06268958544032</v>
      </c>
      <c r="D199" s="51">
        <f>'Liquids Type Curve'!C206</f>
        <v>5.2751234872163</v>
      </c>
      <c r="E199" s="51">
        <f>'Liquids Type Curve'!D206</f>
        <v>160.45167273616246</v>
      </c>
      <c r="F199" s="51">
        <f>'Liquids Type Curve'!E206</f>
        <v>113694.2457917133</v>
      </c>
      <c r="H199" s="51">
        <f t="shared" si="36"/>
        <v>15.338557465453361</v>
      </c>
      <c r="I199" s="51">
        <f t="shared" si="37"/>
        <v>184.06268958544032</v>
      </c>
      <c r="J199" s="51">
        <f t="shared" si="38"/>
        <v>1.7407907507813791</v>
      </c>
      <c r="K199" s="51">
        <f t="shared" si="39"/>
        <v>52.949052002933612</v>
      </c>
      <c r="L199" s="51">
        <f t="shared" si="40"/>
        <v>37519.101111265394</v>
      </c>
      <c r="N199" s="51">
        <f t="shared" si="41"/>
        <v>8.4182409620232139</v>
      </c>
      <c r="O199" s="51">
        <f>(('Price Deck'!Q193/'Propane Royalties'!$B$2))/'Price Deck'!M193</f>
        <v>307.72478407097879</v>
      </c>
      <c r="P199" s="39"/>
      <c r="Q199" s="51">
        <f t="shared" si="42"/>
        <v>0.36559242260187746</v>
      </c>
      <c r="R199" s="51">
        <f t="shared" si="43"/>
        <v>0.1</v>
      </c>
      <c r="S199" s="51">
        <f t="shared" si="44"/>
        <v>0.54364206382337721</v>
      </c>
      <c r="T199" s="51">
        <f t="shared" si="45"/>
        <v>0.39388691031878642</v>
      </c>
      <c r="U199" s="51">
        <f t="shared" si="46"/>
        <v>0.36559242260187746</v>
      </c>
      <c r="W199" s="51">
        <f t="shared" si="47"/>
        <v>-0.25053537470126869</v>
      </c>
      <c r="X199" s="39">
        <f t="shared" si="48"/>
        <v>0.11505704790060878</v>
      </c>
      <c r="Y199" s="39">
        <f t="shared" si="49"/>
        <v>0.11505704790060878</v>
      </c>
      <c r="AA199" s="85">
        <f>'Price Deck'!Q193/'Price Deck'!M193</f>
        <v>48.924414778049979</v>
      </c>
      <c r="AB199" s="72">
        <f t="shared" si="50"/>
        <v>7850.0041887759462</v>
      </c>
      <c r="AC199" s="72">
        <f t="shared" si="51"/>
        <v>903.19830796797362</v>
      </c>
      <c r="AD199" s="85">
        <f t="shared" si="52"/>
        <v>5.6290987346273491</v>
      </c>
    </row>
    <row r="200" spans="1:30">
      <c r="A200" t="str">
        <f>'Price Deck'!A194</f>
        <v>02/2033</v>
      </c>
      <c r="B200" s="51">
        <f>'Liquids Type Curve'!A207</f>
        <v>15.421890798786695</v>
      </c>
      <c r="C200" s="51">
        <f>'Liquids Type Curve'!B207</f>
        <v>185.06268958544035</v>
      </c>
      <c r="D200" s="51">
        <f>'Liquids Type Curve'!C207</f>
        <v>5.2485500855959932</v>
      </c>
      <c r="E200" s="51">
        <f>'Liquids Type Curve'!D207</f>
        <v>159.64339843687813</v>
      </c>
      <c r="F200" s="51">
        <f>'Liquids Type Curve'!E207</f>
        <v>113853.88919015018</v>
      </c>
      <c r="H200" s="51">
        <f t="shared" si="36"/>
        <v>15.421890798786695</v>
      </c>
      <c r="I200" s="51">
        <f t="shared" si="37"/>
        <v>185.06268958544035</v>
      </c>
      <c r="J200" s="51">
        <f t="shared" si="38"/>
        <v>1.7320215282466778</v>
      </c>
      <c r="K200" s="51">
        <f t="shared" si="39"/>
        <v>52.682321484169783</v>
      </c>
      <c r="L200" s="51">
        <f t="shared" si="40"/>
        <v>37571.783432749558</v>
      </c>
      <c r="N200" s="51">
        <f t="shared" si="41"/>
        <v>8.3758341257543609</v>
      </c>
      <c r="O200" s="51">
        <f>(('Price Deck'!Q194/'Propane Royalties'!$B$2))/'Price Deck'!M194</f>
        <v>307.72478407097879</v>
      </c>
      <c r="P200" s="39"/>
      <c r="Q200" s="51">
        <f t="shared" si="42"/>
        <v>0.36559242260187746</v>
      </c>
      <c r="R200" s="51">
        <f t="shared" si="43"/>
        <v>0.1</v>
      </c>
      <c r="S200" s="51">
        <f t="shared" si="44"/>
        <v>0.54364206382337721</v>
      </c>
      <c r="T200" s="51">
        <f t="shared" si="45"/>
        <v>0.39388691031878642</v>
      </c>
      <c r="U200" s="51">
        <f t="shared" si="46"/>
        <v>0.36559242260187746</v>
      </c>
      <c r="W200" s="51">
        <f t="shared" si="47"/>
        <v>-0.25059262393023163</v>
      </c>
      <c r="X200" s="39">
        <f t="shared" si="48"/>
        <v>0.11499979867164584</v>
      </c>
      <c r="Y200" s="39">
        <f t="shared" si="49"/>
        <v>0.11499979867164584</v>
      </c>
      <c r="AA200" s="85">
        <f>'Price Deck'!Q194/'Price Deck'!M194</f>
        <v>48.924414778049979</v>
      </c>
      <c r="AB200" s="72">
        <f t="shared" si="50"/>
        <v>7810.4598417033212</v>
      </c>
      <c r="AC200" s="72">
        <f t="shared" si="51"/>
        <v>898.20130932885672</v>
      </c>
      <c r="AD200" s="85">
        <f t="shared" si="52"/>
        <v>5.6262978496038416</v>
      </c>
    </row>
    <row r="201" spans="1:30">
      <c r="A201" t="str">
        <f>'Price Deck'!A195</f>
        <v>03/2033</v>
      </c>
      <c r="B201" s="51">
        <f>'Liquids Type Curve'!A208</f>
        <v>15.505224132120029</v>
      </c>
      <c r="C201" s="51">
        <f>'Liquids Type Curve'!B208</f>
        <v>186.06268958544035</v>
      </c>
      <c r="D201" s="51">
        <f>'Liquids Type Curve'!C208</f>
        <v>5.2222526735129309</v>
      </c>
      <c r="E201" s="51">
        <f>'Liquids Type Curve'!D208</f>
        <v>158.84351881935166</v>
      </c>
      <c r="F201" s="51">
        <f>'Liquids Type Curve'!E208</f>
        <v>114012.73270896953</v>
      </c>
      <c r="H201" s="51">
        <f t="shared" si="36"/>
        <v>15.505224132120029</v>
      </c>
      <c r="I201" s="51">
        <f t="shared" si="37"/>
        <v>186.06268958544035</v>
      </c>
      <c r="J201" s="51">
        <f t="shared" si="38"/>
        <v>1.7233433822592672</v>
      </c>
      <c r="K201" s="51">
        <f t="shared" si="39"/>
        <v>52.418361210386053</v>
      </c>
      <c r="L201" s="51">
        <f t="shared" si="40"/>
        <v>37624.201793959946</v>
      </c>
      <c r="N201" s="51">
        <f t="shared" si="41"/>
        <v>8.3338677239953665</v>
      </c>
      <c r="O201" s="51">
        <f>(('Price Deck'!Q195/'Propane Royalties'!$B$2))/'Price Deck'!M195</f>
        <v>312.34065583204341</v>
      </c>
      <c r="P201" s="39"/>
      <c r="Q201" s="51">
        <f t="shared" si="42"/>
        <v>0.36831578694090561</v>
      </c>
      <c r="R201" s="51">
        <f t="shared" si="43"/>
        <v>0.1</v>
      </c>
      <c r="S201" s="51">
        <f t="shared" si="44"/>
        <v>0.55296612478072771</v>
      </c>
      <c r="T201" s="51">
        <f t="shared" si="45"/>
        <v>0.39901052797356817</v>
      </c>
      <c r="U201" s="51">
        <f t="shared" si="46"/>
        <v>0.36831578694090561</v>
      </c>
      <c r="W201" s="51">
        <f t="shared" si="47"/>
        <v>-0.25064927857260627</v>
      </c>
      <c r="X201" s="39">
        <f t="shared" si="48"/>
        <v>0.11766650836829934</v>
      </c>
      <c r="Y201" s="39">
        <f t="shared" si="49"/>
        <v>0.11766650836829934</v>
      </c>
      <c r="AA201" s="85">
        <f>'Price Deck'!Q195/'Price Deck'!M195</f>
        <v>49.658280999720724</v>
      </c>
      <c r="AB201" s="72">
        <f t="shared" si="50"/>
        <v>7887.8960925157917</v>
      </c>
      <c r="AC201" s="72">
        <f t="shared" si="51"/>
        <v>928.14119157828509</v>
      </c>
      <c r="AD201" s="85">
        <f t="shared" si="52"/>
        <v>5.8431165368089992</v>
      </c>
    </row>
    <row r="202" spans="1:30">
      <c r="A202" t="str">
        <f>'Price Deck'!A196</f>
        <v>04/2033</v>
      </c>
      <c r="B202" s="51">
        <f>'Liquids Type Curve'!A209</f>
        <v>15.588557465453363</v>
      </c>
      <c r="C202" s="51">
        <f>'Liquids Type Curve'!B209</f>
        <v>187.06268958544035</v>
      </c>
      <c r="D202" s="51">
        <f>'Liquids Type Curve'!C209</f>
        <v>5.1962269242300438</v>
      </c>
      <c r="E202" s="51">
        <f>'Liquids Type Curve'!D209</f>
        <v>158.05190227866385</v>
      </c>
      <c r="F202" s="51">
        <f>'Liquids Type Curve'!E209</f>
        <v>114170.78461124819</v>
      </c>
      <c r="H202" s="51">
        <f t="shared" si="36"/>
        <v>15.588557465453363</v>
      </c>
      <c r="I202" s="51">
        <f t="shared" si="37"/>
        <v>187.06268958544035</v>
      </c>
      <c r="J202" s="51">
        <f t="shared" si="38"/>
        <v>1.7147548849959144</v>
      </c>
      <c r="K202" s="51">
        <f t="shared" si="39"/>
        <v>52.157127751959074</v>
      </c>
      <c r="L202" s="51">
        <f t="shared" si="40"/>
        <v>37676.358921711908</v>
      </c>
      <c r="N202" s="51">
        <f t="shared" si="41"/>
        <v>8.2923348519760687</v>
      </c>
      <c r="O202" s="51">
        <f>(('Price Deck'!Q196/'Propane Royalties'!$B$2))/'Price Deck'!M196</f>
        <v>312.34065583204341</v>
      </c>
      <c r="P202" s="39"/>
      <c r="Q202" s="51">
        <f t="shared" si="42"/>
        <v>0.36831578694090561</v>
      </c>
      <c r="R202" s="51">
        <f t="shared" si="43"/>
        <v>0.1</v>
      </c>
      <c r="S202" s="51">
        <f t="shared" si="44"/>
        <v>0.55296612478072771</v>
      </c>
      <c r="T202" s="51">
        <f t="shared" si="45"/>
        <v>0.39901052797356817</v>
      </c>
      <c r="U202" s="51">
        <f t="shared" si="46"/>
        <v>0.36831578694090561</v>
      </c>
      <c r="W202" s="51">
        <f t="shared" si="47"/>
        <v>-0.25070534794983229</v>
      </c>
      <c r="X202" s="39">
        <f t="shared" si="48"/>
        <v>0.11761043899107332</v>
      </c>
      <c r="Y202" s="39">
        <f t="shared" si="49"/>
        <v>0.11761043899107332</v>
      </c>
      <c r="AA202" s="85">
        <f>'Price Deck'!Q196/'Price Deck'!M196</f>
        <v>49.658280999720724</v>
      </c>
      <c r="AB202" s="72">
        <f t="shared" si="50"/>
        <v>7848.5857758942893</v>
      </c>
      <c r="AC202" s="72">
        <f t="shared" si="51"/>
        <v>923.07561856202119</v>
      </c>
      <c r="AD202" s="85">
        <f t="shared" si="52"/>
        <v>5.8403322279192293</v>
      </c>
    </row>
    <row r="203" spans="1:30">
      <c r="A203" t="str">
        <f>'Price Deck'!A197</f>
        <v>05/2033</v>
      </c>
      <c r="B203" s="51">
        <f>'Liquids Type Curve'!A210</f>
        <v>15.671890798786697</v>
      </c>
      <c r="C203" s="51">
        <f>'Liquids Type Curve'!B210</f>
        <v>188.06268958544035</v>
      </c>
      <c r="D203" s="51">
        <f>'Liquids Type Curve'!C210</f>
        <v>5.1704686014916517</v>
      </c>
      <c r="E203" s="51">
        <f>'Liquids Type Curve'!D210</f>
        <v>157.26841996203774</v>
      </c>
      <c r="F203" s="51">
        <f>'Liquids Type Curve'!E210</f>
        <v>114328.05303121023</v>
      </c>
      <c r="H203" s="51">
        <f t="shared" si="36"/>
        <v>15.671890798786697</v>
      </c>
      <c r="I203" s="51">
        <f t="shared" si="37"/>
        <v>188.06268958544035</v>
      </c>
      <c r="J203" s="51">
        <f t="shared" si="38"/>
        <v>1.7062546384922452</v>
      </c>
      <c r="K203" s="51">
        <f t="shared" si="39"/>
        <v>51.898578587472457</v>
      </c>
      <c r="L203" s="51">
        <f t="shared" si="40"/>
        <v>37728.257500299376</v>
      </c>
      <c r="N203" s="51">
        <f t="shared" si="41"/>
        <v>8.2512287493199246</v>
      </c>
      <c r="O203" s="51">
        <f>(('Price Deck'!Q197/'Propane Royalties'!$B$2))/'Price Deck'!M197</f>
        <v>312.34065583204341</v>
      </c>
      <c r="P203" s="39"/>
      <c r="Q203" s="51">
        <f t="shared" si="42"/>
        <v>0.36831578694090561</v>
      </c>
      <c r="R203" s="51">
        <f t="shared" si="43"/>
        <v>0.1</v>
      </c>
      <c r="S203" s="51">
        <f t="shared" si="44"/>
        <v>0.55296612478072771</v>
      </c>
      <c r="T203" s="51">
        <f t="shared" si="45"/>
        <v>0.39901052797356817</v>
      </c>
      <c r="U203" s="51">
        <f t="shared" si="46"/>
        <v>0.36831578694090561</v>
      </c>
      <c r="W203" s="51">
        <f t="shared" si="47"/>
        <v>-0.25076084118841813</v>
      </c>
      <c r="X203" s="39">
        <f t="shared" si="48"/>
        <v>0.11755494575248748</v>
      </c>
      <c r="Y203" s="39">
        <f t="shared" si="49"/>
        <v>0.11755494575248748</v>
      </c>
      <c r="AA203" s="85">
        <f>'Price Deck'!Q197/'Price Deck'!M197</f>
        <v>49.658280999720724</v>
      </c>
      <c r="AB203" s="72">
        <f t="shared" si="50"/>
        <v>7809.679390856958</v>
      </c>
      <c r="AC203" s="72">
        <f t="shared" si="51"/>
        <v>918.06643713650919</v>
      </c>
      <c r="AD203" s="85">
        <f t="shared" si="52"/>
        <v>5.8375765290839494</v>
      </c>
    </row>
    <row r="204" spans="1:30">
      <c r="A204" t="str">
        <f>'Price Deck'!A198</f>
        <v>06/2033</v>
      </c>
      <c r="B204" s="51">
        <f>'Liquids Type Curve'!A211</f>
        <v>15.755224132120031</v>
      </c>
      <c r="C204" s="51">
        <f>'Liquids Type Curve'!B211</f>
        <v>189.06268958544035</v>
      </c>
      <c r="D204" s="51">
        <f>'Liquids Type Curve'!C211</f>
        <v>5.1449735571625812</v>
      </c>
      <c r="E204" s="51">
        <f>'Liquids Type Curve'!D211</f>
        <v>156.49294569702852</v>
      </c>
      <c r="F204" s="51">
        <f>'Liquids Type Curve'!E211</f>
        <v>114484.54597690726</v>
      </c>
      <c r="H204" s="51">
        <f t="shared" ref="H204:H255" si="53">B204</f>
        <v>15.755224132120031</v>
      </c>
      <c r="I204" s="51">
        <f t="shared" ref="I204:I255" si="54">C204</f>
        <v>189.06268958544035</v>
      </c>
      <c r="J204" s="51">
        <f t="shared" ref="J204:J255" si="55">D204*$C$2</f>
        <v>1.6978412738636519</v>
      </c>
      <c r="K204" s="51">
        <f t="shared" ref="K204:K255" si="56">E204*$C$2</f>
        <v>51.642672080019416</v>
      </c>
      <c r="L204" s="51">
        <f t="shared" ref="L204:L255" si="57">F204*$C$2</f>
        <v>37779.900172379399</v>
      </c>
      <c r="N204" s="51">
        <f t="shared" ref="N204:N255" si="58">K204*$B$2</f>
        <v>8.2105427962764175</v>
      </c>
      <c r="O204" s="51">
        <f>(('Price Deck'!Q198/'Propane Royalties'!$B$2))/'Price Deck'!M198</f>
        <v>312.34065583204341</v>
      </c>
      <c r="P204" s="39"/>
      <c r="Q204" s="51">
        <f t="shared" ref="Q204:Q255" si="59">MIN(IF(O204&gt;$M$3,U204,IF(O204&gt;$L$3,T204,IF(O204&gt;$K$3,S204,R204))),J196)</f>
        <v>0.36831578694090561</v>
      </c>
      <c r="R204" s="51">
        <f t="shared" ref="R204:R255" si="60">$F$3</f>
        <v>0.1</v>
      </c>
      <c r="S204" s="51">
        <f t="shared" ref="S204:S255" si="61">((O204-$K$3)*0.00202+0.1)</f>
        <v>0.55296612478072771</v>
      </c>
      <c r="T204" s="51">
        <f t="shared" ref="T204:T255" si="62">((O204-$L$3)*0.00111+0.21122)</f>
        <v>0.39901052797356817</v>
      </c>
      <c r="U204" s="51">
        <f t="shared" ref="U204:U255" si="63">((O204-$M$3)*0.00059+0.33347)</f>
        <v>0.36831578694090561</v>
      </c>
      <c r="W204" s="51">
        <f t="shared" ref="W204:W255" si="64">IF(N204&gt;$D$2,0,((N204-$D$2)*0.00135))</f>
        <v>-0.25081576722502685</v>
      </c>
      <c r="X204" s="39">
        <f t="shared" ref="X204:X255" si="65">MAX(0.05,W204+Q204)</f>
        <v>0.11750001971587876</v>
      </c>
      <c r="Y204" s="39">
        <f t="shared" ref="Y204:Y255" si="66">IF(C204&gt;$A$5,X204,0.05)</f>
        <v>0.11750001971587876</v>
      </c>
      <c r="AA204" s="85">
        <f>'Price Deck'!Q198/'Price Deck'!M198</f>
        <v>49.658280999720724</v>
      </c>
      <c r="AB204" s="72">
        <f t="shared" ref="AB204:AB255" si="67">AA204*E204</f>
        <v>7771.1706718970781</v>
      </c>
      <c r="AC204" s="72">
        <f t="shared" ref="AC204:AC255" si="68">AB204*Y204</f>
        <v>913.11270716336549</v>
      </c>
      <c r="AD204" s="85">
        <f t="shared" ref="AD204:AD255" si="69">AC204/E204</f>
        <v>5.8348489965238324</v>
      </c>
    </row>
    <row r="205" spans="1:30">
      <c r="A205" t="str">
        <f>'Price Deck'!A199</f>
        <v>07/2033</v>
      </c>
      <c r="B205" s="51">
        <f>'Liquids Type Curve'!A212</f>
        <v>15.838557465453365</v>
      </c>
      <c r="C205" s="51">
        <f>'Liquids Type Curve'!B212</f>
        <v>190.06268958544038</v>
      </c>
      <c r="D205" s="51">
        <f>'Liquids Type Curve'!C212</f>
        <v>5.1197377289410921</v>
      </c>
      <c r="E205" s="51">
        <f>'Liquids Type Curve'!D212</f>
        <v>155.72535592195823</v>
      </c>
      <c r="F205" s="51">
        <f>'Liquids Type Curve'!E212</f>
        <v>114640.27133282922</v>
      </c>
      <c r="H205" s="51">
        <f t="shared" si="53"/>
        <v>15.838557465453365</v>
      </c>
      <c r="I205" s="51">
        <f t="shared" si="54"/>
        <v>190.06268958544038</v>
      </c>
      <c r="J205" s="51">
        <f t="shared" si="55"/>
        <v>1.6895134505505605</v>
      </c>
      <c r="K205" s="51">
        <f t="shared" si="56"/>
        <v>51.389367454246219</v>
      </c>
      <c r="L205" s="51">
        <f t="shared" si="57"/>
        <v>37831.28953983364</v>
      </c>
      <c r="N205" s="51">
        <f t="shared" si="58"/>
        <v>8.170270510071262</v>
      </c>
      <c r="O205" s="51">
        <f>(('Price Deck'!Q199/'Propane Royalties'!$B$2))/'Price Deck'!M199</f>
        <v>312.34065583204341</v>
      </c>
      <c r="P205" s="39"/>
      <c r="Q205" s="51">
        <f t="shared" si="59"/>
        <v>0.36831578694090561</v>
      </c>
      <c r="R205" s="51">
        <f t="shared" si="60"/>
        <v>0.1</v>
      </c>
      <c r="S205" s="51">
        <f t="shared" si="61"/>
        <v>0.55296612478072771</v>
      </c>
      <c r="T205" s="51">
        <f t="shared" si="62"/>
        <v>0.39901052797356817</v>
      </c>
      <c r="U205" s="51">
        <f t="shared" si="63"/>
        <v>0.36831578694090561</v>
      </c>
      <c r="W205" s="51">
        <f t="shared" si="64"/>
        <v>-0.25087013481140386</v>
      </c>
      <c r="X205" s="39">
        <f t="shared" si="65"/>
        <v>0.11744565212950175</v>
      </c>
      <c r="Y205" s="39">
        <f t="shared" si="66"/>
        <v>0.11744565212950175</v>
      </c>
      <c r="AA205" s="85">
        <f>'Price Deck'!Q199/'Price Deck'!M199</f>
        <v>49.658280999720724</v>
      </c>
      <c r="AB205" s="72">
        <f t="shared" si="67"/>
        <v>7733.0534831541254</v>
      </c>
      <c r="AC205" s="72">
        <f t="shared" si="68"/>
        <v>908.21350928135121</v>
      </c>
      <c r="AD205" s="85">
        <f t="shared" si="69"/>
        <v>5.8321491956422467</v>
      </c>
    </row>
    <row r="206" spans="1:30">
      <c r="A206" t="str">
        <f>'Price Deck'!A200</f>
        <v>08/2033</v>
      </c>
      <c r="B206" s="51">
        <f>'Liquids Type Curve'!A213</f>
        <v>15.921890798786698</v>
      </c>
      <c r="C206" s="51">
        <f>'Liquids Type Curve'!B213</f>
        <v>191.06268958544038</v>
      </c>
      <c r="D206" s="51">
        <f>'Liquids Type Curve'!C213</f>
        <v>5.0947571381427599</v>
      </c>
      <c r="E206" s="51">
        <f>'Liquids Type Curve'!D213</f>
        <v>154.96552961850895</v>
      </c>
      <c r="F206" s="51">
        <f>'Liquids Type Curve'!E213</f>
        <v>114795.23686244772</v>
      </c>
      <c r="H206" s="51">
        <f t="shared" si="53"/>
        <v>15.921890798786698</v>
      </c>
      <c r="I206" s="51">
        <f t="shared" si="54"/>
        <v>191.06268958544038</v>
      </c>
      <c r="J206" s="51">
        <f t="shared" si="55"/>
        <v>1.6812698555871108</v>
      </c>
      <c r="K206" s="51">
        <f t="shared" si="56"/>
        <v>51.13862477410796</v>
      </c>
      <c r="L206" s="51">
        <f t="shared" si="57"/>
        <v>37882.428164607751</v>
      </c>
      <c r="N206" s="51">
        <f t="shared" si="58"/>
        <v>8.1304055413698304</v>
      </c>
      <c r="O206" s="51">
        <f>(('Price Deck'!Q200/'Propane Royalties'!$B$2))/'Price Deck'!M200</f>
        <v>312.34065583204341</v>
      </c>
      <c r="P206" s="39"/>
      <c r="Q206" s="51">
        <f t="shared" si="59"/>
        <v>0.36831578694090561</v>
      </c>
      <c r="R206" s="51">
        <f t="shared" si="60"/>
        <v>0.1</v>
      </c>
      <c r="S206" s="51">
        <f t="shared" si="61"/>
        <v>0.55296612478072771</v>
      </c>
      <c r="T206" s="51">
        <f t="shared" si="62"/>
        <v>0.39901052797356817</v>
      </c>
      <c r="U206" s="51">
        <f t="shared" si="63"/>
        <v>0.36831578694090561</v>
      </c>
      <c r="W206" s="51">
        <f t="shared" si="64"/>
        <v>-0.25092395251915073</v>
      </c>
      <c r="X206" s="39">
        <f t="shared" si="65"/>
        <v>0.11739183442175488</v>
      </c>
      <c r="Y206" s="39">
        <f t="shared" si="66"/>
        <v>0.11739183442175488</v>
      </c>
      <c r="AA206" s="85">
        <f>'Price Deck'!Q200/'Price Deck'!M200</f>
        <v>49.658280999720724</v>
      </c>
      <c r="AB206" s="72">
        <f t="shared" si="67"/>
        <v>7695.3218150664625</v>
      </c>
      <c r="AC206" s="72">
        <f t="shared" si="68"/>
        <v>903.36794433640046</v>
      </c>
      <c r="AD206" s="85">
        <f t="shared" si="69"/>
        <v>5.8294767007881925</v>
      </c>
    </row>
    <row r="207" spans="1:30">
      <c r="A207" t="str">
        <f>'Price Deck'!A201</f>
        <v>09/2033</v>
      </c>
      <c r="B207" s="51">
        <f>'Liquids Type Curve'!A214</f>
        <v>16.005224132120031</v>
      </c>
      <c r="C207" s="51">
        <f>'Liquids Type Curve'!B214</f>
        <v>192.06268958544035</v>
      </c>
      <c r="D207" s="51">
        <f>'Liquids Type Curve'!C214</f>
        <v>5.0700278875528531</v>
      </c>
      <c r="E207" s="51">
        <f>'Liquids Type Curve'!D214</f>
        <v>154.21334824639928</v>
      </c>
      <c r="F207" s="51">
        <f>'Liquids Type Curve'!E214</f>
        <v>114949.45021069412</v>
      </c>
      <c r="H207" s="51">
        <f t="shared" si="53"/>
        <v>16.005224132120031</v>
      </c>
      <c r="I207" s="51">
        <f t="shared" si="54"/>
        <v>192.06268958544035</v>
      </c>
      <c r="J207" s="51">
        <f t="shared" si="55"/>
        <v>1.6731092028924417</v>
      </c>
      <c r="K207" s="51">
        <f t="shared" si="56"/>
        <v>50.890404921311763</v>
      </c>
      <c r="L207" s="51">
        <f t="shared" si="57"/>
        <v>37933.318569529059</v>
      </c>
      <c r="N207" s="51">
        <f t="shared" si="58"/>
        <v>8.0909416708499098</v>
      </c>
      <c r="O207" s="51">
        <f>(('Price Deck'!Q201/'Propane Royalties'!$B$2))/'Price Deck'!M201</f>
        <v>312.34065583204341</v>
      </c>
      <c r="P207" s="39"/>
      <c r="Q207" s="51">
        <f t="shared" si="59"/>
        <v>0.36831578694090561</v>
      </c>
      <c r="R207" s="51">
        <f t="shared" si="60"/>
        <v>0.1</v>
      </c>
      <c r="S207" s="51">
        <f t="shared" si="61"/>
        <v>0.55296612478072771</v>
      </c>
      <c r="T207" s="51">
        <f t="shared" si="62"/>
        <v>0.39901052797356817</v>
      </c>
      <c r="U207" s="51">
        <f t="shared" si="63"/>
        <v>0.36831578694090561</v>
      </c>
      <c r="W207" s="51">
        <f t="shared" si="64"/>
        <v>-0.25097722874435263</v>
      </c>
      <c r="X207" s="39">
        <f t="shared" si="65"/>
        <v>0.11733855819655298</v>
      </c>
      <c r="Y207" s="39">
        <f t="shared" si="66"/>
        <v>0.11733855819655298</v>
      </c>
      <c r="AA207" s="85">
        <f>'Price Deck'!Q201/'Price Deck'!M201</f>
        <v>49.658280999720724</v>
      </c>
      <c r="AB207" s="72">
        <f t="shared" si="67"/>
        <v>7657.9697811274846</v>
      </c>
      <c r="AC207" s="72">
        <f t="shared" si="68"/>
        <v>898.5751328302714</v>
      </c>
      <c r="AD207" s="85">
        <f t="shared" si="69"/>
        <v>5.8268310950265114</v>
      </c>
    </row>
    <row r="208" spans="1:30">
      <c r="A208" t="str">
        <f>'Price Deck'!A202</f>
        <v>10/2033</v>
      </c>
      <c r="B208" s="51">
        <f>'Liquids Type Curve'!A215</f>
        <v>16.088557465453363</v>
      </c>
      <c r="C208" s="51">
        <f>'Liquids Type Curve'!B215</f>
        <v>193.06268958544035</v>
      </c>
      <c r="D208" s="51">
        <f>'Liquids Type Curve'!C215</f>
        <v>5.0455461593446884</v>
      </c>
      <c r="E208" s="51">
        <f>'Liquids Type Curve'!D215</f>
        <v>153.46869568006761</v>
      </c>
      <c r="F208" s="51">
        <f>'Liquids Type Curve'!E215</f>
        <v>115102.91890637419</v>
      </c>
      <c r="H208" s="51">
        <f t="shared" si="53"/>
        <v>16.088557465453363</v>
      </c>
      <c r="I208" s="51">
        <f t="shared" si="54"/>
        <v>193.06268958544035</v>
      </c>
      <c r="J208" s="51">
        <f t="shared" si="55"/>
        <v>1.6650302325837472</v>
      </c>
      <c r="K208" s="51">
        <f t="shared" si="56"/>
        <v>50.644669574422316</v>
      </c>
      <c r="L208" s="51">
        <f t="shared" si="57"/>
        <v>37983.963239103483</v>
      </c>
      <c r="N208" s="51">
        <f t="shared" si="58"/>
        <v>8.0518728058797286</v>
      </c>
      <c r="O208" s="51">
        <f>(('Price Deck'!Q202/'Propane Royalties'!$B$2))/'Price Deck'!M202</f>
        <v>312.34065583204341</v>
      </c>
      <c r="P208" s="39"/>
      <c r="Q208" s="51">
        <f t="shared" si="59"/>
        <v>0.36831578694090561</v>
      </c>
      <c r="R208" s="51">
        <f t="shared" si="60"/>
        <v>0.1</v>
      </c>
      <c r="S208" s="51">
        <f t="shared" si="61"/>
        <v>0.55296612478072771</v>
      </c>
      <c r="T208" s="51">
        <f t="shared" si="62"/>
        <v>0.39901052797356817</v>
      </c>
      <c r="U208" s="51">
        <f t="shared" si="63"/>
        <v>0.36831578694090561</v>
      </c>
      <c r="W208" s="51">
        <f t="shared" si="64"/>
        <v>-0.25102997171206237</v>
      </c>
      <c r="X208" s="39">
        <f t="shared" si="65"/>
        <v>0.11728581522884324</v>
      </c>
      <c r="Y208" s="39">
        <f t="shared" si="66"/>
        <v>0.11728581522884324</v>
      </c>
      <c r="AA208" s="85">
        <f>'Price Deck'!Q202/'Price Deck'!M202</f>
        <v>49.658280999720724</v>
      </c>
      <c r="AB208" s="72">
        <f t="shared" si="67"/>
        <v>7620.9916147414233</v>
      </c>
      <c r="AC208" s="72">
        <f t="shared" si="68"/>
        <v>893.83421438712628</v>
      </c>
      <c r="AD208" s="85">
        <f t="shared" si="69"/>
        <v>5.8242119699152219</v>
      </c>
    </row>
    <row r="209" spans="1:30">
      <c r="A209" t="str">
        <f>'Price Deck'!A203</f>
        <v>11/2033</v>
      </c>
      <c r="B209" s="51">
        <f>'Liquids Type Curve'!A216</f>
        <v>16.171890798786695</v>
      </c>
      <c r="C209" s="51">
        <f>'Liquids Type Curve'!B216</f>
        <v>194.06268958544035</v>
      </c>
      <c r="D209" s="51">
        <f>'Liquids Type Curve'!C216</f>
        <v>5.0213082130616256</v>
      </c>
      <c r="E209" s="51">
        <f>'Liquids Type Curve'!D216</f>
        <v>152.73145814729111</v>
      </c>
      <c r="F209" s="51">
        <f>'Liquids Type Curve'!E216</f>
        <v>115255.65036452148</v>
      </c>
      <c r="H209" s="51">
        <f t="shared" si="53"/>
        <v>16.171890798786695</v>
      </c>
      <c r="I209" s="51">
        <f t="shared" si="54"/>
        <v>194.06268958544035</v>
      </c>
      <c r="J209" s="51">
        <f t="shared" si="55"/>
        <v>1.6570317103103365</v>
      </c>
      <c r="K209" s="51">
        <f t="shared" si="56"/>
        <v>50.401381188606067</v>
      </c>
      <c r="L209" s="51">
        <f t="shared" si="57"/>
        <v>38034.364620292094</v>
      </c>
      <c r="N209" s="51">
        <f t="shared" si="58"/>
        <v>8.013192977297539</v>
      </c>
      <c r="O209" s="51">
        <f>(('Price Deck'!Q203/'Propane Royalties'!$B$2))/'Price Deck'!M203</f>
        <v>312.34065583204341</v>
      </c>
      <c r="P209" s="39"/>
      <c r="Q209" s="51">
        <f t="shared" si="59"/>
        <v>0.36831578694090561</v>
      </c>
      <c r="R209" s="51">
        <f t="shared" si="60"/>
        <v>0.1</v>
      </c>
      <c r="S209" s="51">
        <f t="shared" si="61"/>
        <v>0.55296612478072771</v>
      </c>
      <c r="T209" s="51">
        <f t="shared" si="62"/>
        <v>0.39901052797356817</v>
      </c>
      <c r="U209" s="51">
        <f t="shared" si="63"/>
        <v>0.36831578694090561</v>
      </c>
      <c r="W209" s="51">
        <f t="shared" si="64"/>
        <v>-0.25108218948064837</v>
      </c>
      <c r="X209" s="39">
        <f t="shared" si="65"/>
        <v>0.11723359746025724</v>
      </c>
      <c r="Y209" s="39">
        <f t="shared" si="66"/>
        <v>0.11723359746025724</v>
      </c>
      <c r="AA209" s="85">
        <f>'Price Deck'!Q203/'Price Deck'!M203</f>
        <v>49.658280999720724</v>
      </c>
      <c r="AB209" s="72">
        <f t="shared" si="67"/>
        <v>7584.3816661752671</v>
      </c>
      <c r="AC209" s="72">
        <f t="shared" si="68"/>
        <v>889.14434723734644</v>
      </c>
      <c r="AD209" s="85">
        <f t="shared" si="69"/>
        <v>5.8216189252896005</v>
      </c>
    </row>
    <row r="210" spans="1:30">
      <c r="A210" t="str">
        <f>'Price Deck'!A204</f>
        <v>12/2033</v>
      </c>
      <c r="B210" s="51">
        <f>'Liquids Type Curve'!A217</f>
        <v>16.255224132120027</v>
      </c>
      <c r="C210" s="51">
        <f>'Liquids Type Curve'!B217</f>
        <v>195.06268958544032</v>
      </c>
      <c r="D210" s="51">
        <f>'Liquids Type Curve'!C217</f>
        <v>4.9973103836605013</v>
      </c>
      <c r="E210" s="51">
        <f>'Liquids Type Curve'!D217</f>
        <v>152.00152416967359</v>
      </c>
      <c r="F210" s="51">
        <f>'Liquids Type Curve'!E217</f>
        <v>115407.65188869115</v>
      </c>
      <c r="H210" s="51">
        <f t="shared" si="53"/>
        <v>16.255224132120027</v>
      </c>
      <c r="I210" s="51">
        <f t="shared" si="54"/>
        <v>195.06268958544032</v>
      </c>
      <c r="J210" s="51">
        <f t="shared" si="55"/>
        <v>1.6491124266079655</v>
      </c>
      <c r="K210" s="51">
        <f t="shared" si="56"/>
        <v>50.160502975992287</v>
      </c>
      <c r="L210" s="51">
        <f t="shared" si="57"/>
        <v>38084.525123268082</v>
      </c>
      <c r="N210" s="51">
        <f t="shared" si="58"/>
        <v>7.9748963362892757</v>
      </c>
      <c r="O210" s="51">
        <f>(('Price Deck'!Q204/'Propane Royalties'!$B$2))/'Price Deck'!M204</f>
        <v>312.34065583204341</v>
      </c>
      <c r="P210" s="39"/>
      <c r="Q210" s="51">
        <f t="shared" si="59"/>
        <v>0.36831578694090561</v>
      </c>
      <c r="R210" s="51">
        <f t="shared" si="60"/>
        <v>0.1</v>
      </c>
      <c r="S210" s="51">
        <f t="shared" si="61"/>
        <v>0.55296612478072771</v>
      </c>
      <c r="T210" s="51">
        <f t="shared" si="62"/>
        <v>0.39901052797356817</v>
      </c>
      <c r="U210" s="51">
        <f t="shared" si="63"/>
        <v>0.36831578694090561</v>
      </c>
      <c r="W210" s="51">
        <f t="shared" si="64"/>
        <v>-0.25113388994600949</v>
      </c>
      <c r="X210" s="39">
        <f t="shared" si="65"/>
        <v>0.11718189699489612</v>
      </c>
      <c r="Y210" s="39">
        <f t="shared" si="66"/>
        <v>0.11718189699489612</v>
      </c>
      <c r="AA210" s="85">
        <f>'Price Deck'!Q204/'Price Deck'!M204</f>
        <v>49.658280999720724</v>
      </c>
      <c r="AB210" s="72">
        <f t="shared" si="67"/>
        <v>7548.1343996034921</v>
      </c>
      <c r="AC210" s="72">
        <f t="shared" si="68"/>
        <v>884.50470771796847</v>
      </c>
      <c r="AD210" s="85">
        <f t="shared" si="69"/>
        <v>5.8190515690528812</v>
      </c>
    </row>
    <row r="211" spans="1:30">
      <c r="A211" t="str">
        <f>'Price Deck'!A205</f>
        <v>01/2034</v>
      </c>
      <c r="B211" s="51">
        <f>'Liquids Type Curve'!A218</f>
        <v>16.338557465453359</v>
      </c>
      <c r="C211" s="51">
        <f>'Liquids Type Curve'!B218</f>
        <v>196.0626895854403</v>
      </c>
      <c r="D211" s="51">
        <f>'Liquids Type Curve'!C218</f>
        <v>4.9735490796141626</v>
      </c>
      <c r="E211" s="51">
        <f>'Liquids Type Curve'!D218</f>
        <v>151.2787845049308</v>
      </c>
      <c r="F211" s="51">
        <f>'Liquids Type Curve'!E218</f>
        <v>115558.93067319608</v>
      </c>
      <c r="H211" s="51">
        <f t="shared" si="53"/>
        <v>16.338557465453359</v>
      </c>
      <c r="I211" s="51">
        <f t="shared" si="54"/>
        <v>196.0626895854403</v>
      </c>
      <c r="J211" s="51">
        <f t="shared" si="55"/>
        <v>1.6412711962726738</v>
      </c>
      <c r="K211" s="51">
        <f t="shared" si="56"/>
        <v>49.921998886627165</v>
      </c>
      <c r="L211" s="51">
        <f t="shared" si="57"/>
        <v>38134.447122154706</v>
      </c>
      <c r="N211" s="51">
        <f t="shared" si="58"/>
        <v>7.936977151360483</v>
      </c>
      <c r="O211" s="51">
        <f>(('Price Deck'!Q205/'Propane Royalties'!$B$2))/'Price Deck'!M205</f>
        <v>312.34065583204341</v>
      </c>
      <c r="P211" s="39"/>
      <c r="Q211" s="51">
        <f t="shared" si="59"/>
        <v>0.36831578694090561</v>
      </c>
      <c r="R211" s="51">
        <f t="shared" si="60"/>
        <v>0.1</v>
      </c>
      <c r="S211" s="51">
        <f t="shared" si="61"/>
        <v>0.55296612478072771</v>
      </c>
      <c r="T211" s="51">
        <f t="shared" si="62"/>
        <v>0.39901052797356817</v>
      </c>
      <c r="U211" s="51">
        <f t="shared" si="63"/>
        <v>0.36831578694090561</v>
      </c>
      <c r="W211" s="51">
        <f t="shared" si="64"/>
        <v>-0.25118508084566338</v>
      </c>
      <c r="X211" s="39">
        <f t="shared" si="65"/>
        <v>0.11713070609524223</v>
      </c>
      <c r="Y211" s="39">
        <f t="shared" si="66"/>
        <v>0.11713070609524223</v>
      </c>
      <c r="AA211" s="85">
        <f>'Price Deck'!Q205/'Price Deck'!M205</f>
        <v>49.658280999720724</v>
      </c>
      <c r="AB211" s="72">
        <f t="shared" si="67"/>
        <v>7512.2443902420509</v>
      </c>
      <c r="AC211" s="72">
        <f t="shared" si="68"/>
        <v>879.91448978907385</v>
      </c>
      <c r="AD211" s="85">
        <f t="shared" si="69"/>
        <v>5.8165095169732401</v>
      </c>
    </row>
    <row r="212" spans="1:30">
      <c r="A212" t="str">
        <f>'Price Deck'!A206</f>
        <v>02/2034</v>
      </c>
      <c r="B212" s="51">
        <f>'Liquids Type Curve'!A219</f>
        <v>16.421890798786691</v>
      </c>
      <c r="C212" s="51">
        <f>'Liquids Type Curve'!B219</f>
        <v>197.0626895854403</v>
      </c>
      <c r="D212" s="51">
        <f>'Liquids Type Curve'!C219</f>
        <v>4.950020781071248</v>
      </c>
      <c r="E212" s="51">
        <f>'Liquids Type Curve'!D219</f>
        <v>150.56313209091712</v>
      </c>
      <c r="F212" s="51">
        <f>'Liquids Type Curve'!E219</f>
        <v>115709.493805287</v>
      </c>
      <c r="H212" s="51">
        <f t="shared" si="53"/>
        <v>16.421890798786691</v>
      </c>
      <c r="I212" s="51">
        <f t="shared" si="54"/>
        <v>197.0626895854403</v>
      </c>
      <c r="J212" s="51">
        <f t="shared" si="55"/>
        <v>1.6335068577535119</v>
      </c>
      <c r="K212" s="51">
        <f t="shared" si="56"/>
        <v>49.685833590002652</v>
      </c>
      <c r="L212" s="51">
        <f t="shared" si="57"/>
        <v>38184.13295574471</v>
      </c>
      <c r="N212" s="51">
        <f t="shared" si="58"/>
        <v>7.899429805399639</v>
      </c>
      <c r="O212" s="51">
        <f>(('Price Deck'!Q206/'Propane Royalties'!$B$2))/'Price Deck'!M206</f>
        <v>312.34065583204341</v>
      </c>
      <c r="P212" s="39"/>
      <c r="Q212" s="51">
        <f t="shared" si="59"/>
        <v>0.36831578694090561</v>
      </c>
      <c r="R212" s="51">
        <f t="shared" si="60"/>
        <v>0.1</v>
      </c>
      <c r="S212" s="51">
        <f t="shared" si="61"/>
        <v>0.55296612478072771</v>
      </c>
      <c r="T212" s="51">
        <f t="shared" si="62"/>
        <v>0.39901052797356817</v>
      </c>
      <c r="U212" s="51">
        <f t="shared" si="63"/>
        <v>0.36831578694090561</v>
      </c>
      <c r="W212" s="51">
        <f t="shared" si="64"/>
        <v>-0.2512357697627105</v>
      </c>
      <c r="X212" s="39">
        <f t="shared" si="65"/>
        <v>0.11708001717819511</v>
      </c>
      <c r="Y212" s="39">
        <f t="shared" si="66"/>
        <v>0.11708001717819511</v>
      </c>
      <c r="AA212" s="85">
        <f>'Price Deck'!Q206/'Price Deck'!M206</f>
        <v>49.658280999720724</v>
      </c>
      <c r="AB212" s="72">
        <f t="shared" si="67"/>
        <v>7476.7063215688313</v>
      </c>
      <c r="AC212" s="72">
        <f t="shared" si="68"/>
        <v>875.37290456559867</v>
      </c>
      <c r="AD212" s="85">
        <f t="shared" si="69"/>
        <v>5.8139923924869414</v>
      </c>
    </row>
    <row r="213" spans="1:30">
      <c r="A213" t="str">
        <f>'Price Deck'!A207</f>
        <v>03/2034</v>
      </c>
      <c r="B213" s="51">
        <f>'Liquids Type Curve'!A220</f>
        <v>16.505224132120023</v>
      </c>
      <c r="C213" s="51">
        <f>'Liquids Type Curve'!B220</f>
        <v>198.0626895854403</v>
      </c>
      <c r="D213" s="51">
        <f>'Liquids Type Curve'!C220</f>
        <v>4.9267220380709889</v>
      </c>
      <c r="E213" s="51">
        <f>'Liquids Type Curve'!D220</f>
        <v>149.85446199132591</v>
      </c>
      <c r="F213" s="51">
        <f>'Liquids Type Curve'!E220</f>
        <v>115859.34826727833</v>
      </c>
      <c r="H213" s="51">
        <f t="shared" si="53"/>
        <v>16.505224132120023</v>
      </c>
      <c r="I213" s="51">
        <f t="shared" si="54"/>
        <v>198.0626895854403</v>
      </c>
      <c r="J213" s="51">
        <f t="shared" si="55"/>
        <v>1.6258182725634265</v>
      </c>
      <c r="K213" s="51">
        <f t="shared" si="56"/>
        <v>49.451972457137551</v>
      </c>
      <c r="L213" s="51">
        <f t="shared" si="57"/>
        <v>38233.584928201853</v>
      </c>
      <c r="N213" s="51">
        <f t="shared" si="58"/>
        <v>7.8622487928292708</v>
      </c>
      <c r="O213" s="51">
        <f>(('Price Deck'!Q207/'Propane Royalties'!$B$2))/'Price Deck'!M207</f>
        <v>317.02576566952399</v>
      </c>
      <c r="P213" s="39"/>
      <c r="Q213" s="51">
        <f t="shared" si="59"/>
        <v>0.37108000174501915</v>
      </c>
      <c r="R213" s="51">
        <f t="shared" si="60"/>
        <v>0.1</v>
      </c>
      <c r="S213" s="51">
        <f t="shared" si="61"/>
        <v>0.56243004665243845</v>
      </c>
      <c r="T213" s="51">
        <f t="shared" si="62"/>
        <v>0.40421099989317166</v>
      </c>
      <c r="U213" s="51">
        <f t="shared" si="63"/>
        <v>0.37108000174501915</v>
      </c>
      <c r="W213" s="51">
        <f t="shared" si="64"/>
        <v>-0.25128596412968052</v>
      </c>
      <c r="X213" s="39">
        <f t="shared" si="65"/>
        <v>0.11979403761533863</v>
      </c>
      <c r="Y213" s="39">
        <f t="shared" si="66"/>
        <v>0.11979403761533863</v>
      </c>
      <c r="AA213" s="85">
        <f>'Price Deck'!Q207/'Price Deck'!M207</f>
        <v>50.403155214716527</v>
      </c>
      <c r="AB213" s="72">
        <f t="shared" si="67"/>
        <v>7553.1377073666381</v>
      </c>
      <c r="AC213" s="72">
        <f t="shared" si="68"/>
        <v>904.82086263011161</v>
      </c>
      <c r="AD213" s="85">
        <f t="shared" si="69"/>
        <v>6.0379974717235028</v>
      </c>
    </row>
    <row r="214" spans="1:30">
      <c r="A214" t="str">
        <f>'Price Deck'!A208</f>
        <v>04/2034</v>
      </c>
      <c r="B214" s="51">
        <f>'Liquids Type Curve'!A221</f>
        <v>16.588557465453356</v>
      </c>
      <c r="C214" s="51">
        <f>'Liquids Type Curve'!B221</f>
        <v>199.06268958544027</v>
      </c>
      <c r="D214" s="51">
        <f>'Liquids Type Curve'!C221</f>
        <v>4.9036494688113113</v>
      </c>
      <c r="E214" s="51">
        <f>'Liquids Type Curve'!D221</f>
        <v>149.15267134301072</v>
      </c>
      <c r="F214" s="51">
        <f>'Liquids Type Curve'!E221</f>
        <v>116008.50093862134</v>
      </c>
      <c r="H214" s="51">
        <f t="shared" si="53"/>
        <v>16.588557465453356</v>
      </c>
      <c r="I214" s="51">
        <f t="shared" si="54"/>
        <v>199.06268958544027</v>
      </c>
      <c r="J214" s="51">
        <f t="shared" si="55"/>
        <v>1.6182043247077329</v>
      </c>
      <c r="K214" s="51">
        <f t="shared" si="56"/>
        <v>49.22038154319354</v>
      </c>
      <c r="L214" s="51">
        <f t="shared" si="57"/>
        <v>38282.805309745039</v>
      </c>
      <c r="N214" s="51">
        <f t="shared" si="58"/>
        <v>7.8254287168421159</v>
      </c>
      <c r="O214" s="51">
        <f>(('Price Deck'!Q208/'Propane Royalties'!$B$2))/'Price Deck'!M208</f>
        <v>317.02576566952399</v>
      </c>
      <c r="P214" s="39"/>
      <c r="Q214" s="51">
        <f t="shared" si="59"/>
        <v>0.37108000174501915</v>
      </c>
      <c r="R214" s="51">
        <f t="shared" si="60"/>
        <v>0.1</v>
      </c>
      <c r="S214" s="51">
        <f t="shared" si="61"/>
        <v>0.56243004665243845</v>
      </c>
      <c r="T214" s="51">
        <f t="shared" si="62"/>
        <v>0.40421099989317166</v>
      </c>
      <c r="U214" s="51">
        <f t="shared" si="63"/>
        <v>0.37108000174501915</v>
      </c>
      <c r="W214" s="51">
        <f t="shared" si="64"/>
        <v>-0.25133567123226314</v>
      </c>
      <c r="X214" s="39">
        <f t="shared" si="65"/>
        <v>0.11974433051275601</v>
      </c>
      <c r="Y214" s="39">
        <f t="shared" si="66"/>
        <v>0.11974433051275601</v>
      </c>
      <c r="AA214" s="85">
        <f>'Price Deck'!Q208/'Price Deck'!M208</f>
        <v>50.403155214716527</v>
      </c>
      <c r="AB214" s="72">
        <f t="shared" si="67"/>
        <v>7517.7652443913712</v>
      </c>
      <c r="AC214" s="72">
        <f t="shared" si="68"/>
        <v>900.20976614171036</v>
      </c>
      <c r="AD214" s="85">
        <f t="shared" si="69"/>
        <v>6.0354920769167579</v>
      </c>
    </row>
    <row r="215" spans="1:30">
      <c r="A215" t="str">
        <f>'Price Deck'!A209</f>
        <v>05/2034</v>
      </c>
      <c r="B215" s="51">
        <f>'Liquids Type Curve'!A222</f>
        <v>16.671890798786688</v>
      </c>
      <c r="C215" s="51">
        <f>'Liquids Type Curve'!B222</f>
        <v>200.06268958544024</v>
      </c>
      <c r="D215" s="51">
        <f>'Liquids Type Curve'!C222</f>
        <v>4.8807997579682105</v>
      </c>
      <c r="E215" s="51">
        <f>'Liquids Type Curve'!D222</f>
        <v>148.45765930486641</v>
      </c>
      <c r="F215" s="51">
        <f>'Liquids Type Curve'!E222</f>
        <v>116156.9585979262</v>
      </c>
      <c r="H215" s="51">
        <f t="shared" si="53"/>
        <v>16.671890798786688</v>
      </c>
      <c r="I215" s="51">
        <f t="shared" si="54"/>
        <v>200.06268958544024</v>
      </c>
      <c r="J215" s="51">
        <f t="shared" si="55"/>
        <v>1.6106639201295097</v>
      </c>
      <c r="K215" s="51">
        <f t="shared" si="56"/>
        <v>48.991027570605915</v>
      </c>
      <c r="L215" s="51">
        <f t="shared" si="57"/>
        <v>38331.796337315653</v>
      </c>
      <c r="N215" s="51">
        <f t="shared" si="58"/>
        <v>7.7889642867191187</v>
      </c>
      <c r="O215" s="51">
        <f>(('Price Deck'!Q209/'Propane Royalties'!$B$2))/'Price Deck'!M209</f>
        <v>317.02576566952399</v>
      </c>
      <c r="P215" s="39"/>
      <c r="Q215" s="51">
        <f t="shared" si="59"/>
        <v>0.37108000174501915</v>
      </c>
      <c r="R215" s="51">
        <f t="shared" si="60"/>
        <v>0.1</v>
      </c>
      <c r="S215" s="51">
        <f t="shared" si="61"/>
        <v>0.56243004665243845</v>
      </c>
      <c r="T215" s="51">
        <f t="shared" si="62"/>
        <v>0.40421099989317166</v>
      </c>
      <c r="U215" s="51">
        <f t="shared" si="63"/>
        <v>0.37108000174501915</v>
      </c>
      <c r="W215" s="51">
        <f t="shared" si="64"/>
        <v>-0.2513848982129292</v>
      </c>
      <c r="X215" s="39">
        <f t="shared" si="65"/>
        <v>0.11969510353208995</v>
      </c>
      <c r="Y215" s="39">
        <f t="shared" si="66"/>
        <v>0.11969510353208995</v>
      </c>
      <c r="AA215" s="85">
        <f>'Price Deck'!Q209/'Price Deck'!M209</f>
        <v>50.403155214716527</v>
      </c>
      <c r="AB215" s="72">
        <f t="shared" si="67"/>
        <v>7482.7344447566866</v>
      </c>
      <c r="AC215" s="72">
        <f t="shared" si="68"/>
        <v>895.64667406828721</v>
      </c>
      <c r="AD215" s="85">
        <f t="shared" si="69"/>
        <v>6.0330108817694938</v>
      </c>
    </row>
    <row r="216" spans="1:30">
      <c r="A216" t="str">
        <f>'Price Deck'!A210</f>
        <v>06/2034</v>
      </c>
      <c r="B216" s="51">
        <f>'Liquids Type Curve'!A223</f>
        <v>16.75522413212002</v>
      </c>
      <c r="C216" s="51">
        <f>'Liquids Type Curve'!B223</f>
        <v>201.06268958544024</v>
      </c>
      <c r="D216" s="51">
        <f>'Liquids Type Curve'!C223</f>
        <v>4.858169655064815</v>
      </c>
      <c r="E216" s="51">
        <f>'Liquids Type Curve'!D223</f>
        <v>147.76932700822147</v>
      </c>
      <c r="F216" s="51">
        <f>'Liquids Type Curve'!E223</f>
        <v>116304.72792493443</v>
      </c>
      <c r="H216" s="51">
        <f t="shared" si="53"/>
        <v>16.75522413212002</v>
      </c>
      <c r="I216" s="51">
        <f t="shared" si="54"/>
        <v>201.06268958544024</v>
      </c>
      <c r="J216" s="51">
        <f t="shared" si="55"/>
        <v>1.6031959861713889</v>
      </c>
      <c r="K216" s="51">
        <f t="shared" si="56"/>
        <v>48.763877912713085</v>
      </c>
      <c r="L216" s="51">
        <f t="shared" si="57"/>
        <v>38380.560215228361</v>
      </c>
      <c r="N216" s="51">
        <f t="shared" si="58"/>
        <v>7.7528503152267296</v>
      </c>
      <c r="O216" s="51">
        <f>(('Price Deck'!Q210/'Propane Royalties'!$B$2))/'Price Deck'!M210</f>
        <v>317.02576566952399</v>
      </c>
      <c r="P216" s="39"/>
      <c r="Q216" s="51">
        <f t="shared" si="59"/>
        <v>0.37108000174501915</v>
      </c>
      <c r="R216" s="51">
        <f t="shared" si="60"/>
        <v>0.1</v>
      </c>
      <c r="S216" s="51">
        <f t="shared" si="61"/>
        <v>0.56243004665243845</v>
      </c>
      <c r="T216" s="51">
        <f t="shared" si="62"/>
        <v>0.40421099989317166</v>
      </c>
      <c r="U216" s="51">
        <f t="shared" si="63"/>
        <v>0.37108000174501915</v>
      </c>
      <c r="W216" s="51">
        <f t="shared" si="64"/>
        <v>-0.2514336520744439</v>
      </c>
      <c r="X216" s="39">
        <f t="shared" si="65"/>
        <v>0.11964634967057525</v>
      </c>
      <c r="Y216" s="39">
        <f t="shared" si="66"/>
        <v>0.11964634967057525</v>
      </c>
      <c r="AA216" s="85">
        <f>'Price Deck'!Q210/'Price Deck'!M210</f>
        <v>50.403155214716527</v>
      </c>
      <c r="AB216" s="72">
        <f t="shared" si="67"/>
        <v>7448.0403251695898</v>
      </c>
      <c r="AC216" s="72">
        <f t="shared" si="68"/>
        <v>891.13083710578576</v>
      </c>
      <c r="AD216" s="85">
        <f t="shared" si="69"/>
        <v>6.0305535333202522</v>
      </c>
    </row>
    <row r="217" spans="1:30">
      <c r="A217" t="str">
        <f>'Price Deck'!A211</f>
        <v>07/2034</v>
      </c>
      <c r="B217" s="51">
        <f>'Liquids Type Curve'!A224</f>
        <v>16.838557465453352</v>
      </c>
      <c r="C217" s="51">
        <f>'Liquids Type Curve'!B224</f>
        <v>202.06268958544024</v>
      </c>
      <c r="D217" s="51">
        <f>'Liquids Type Curve'!C224</f>
        <v>4.8357559728882196</v>
      </c>
      <c r="E217" s="51">
        <f>'Liquids Type Curve'!D224</f>
        <v>147.08757750868335</v>
      </c>
      <c r="F217" s="51">
        <f>'Liquids Type Curve'!E224</f>
        <v>116451.81550244312</v>
      </c>
      <c r="H217" s="51">
        <f t="shared" si="53"/>
        <v>16.838557465453352</v>
      </c>
      <c r="I217" s="51">
        <f t="shared" si="54"/>
        <v>202.06268958544024</v>
      </c>
      <c r="J217" s="51">
        <f t="shared" si="55"/>
        <v>1.5957994710531125</v>
      </c>
      <c r="K217" s="51">
        <f t="shared" si="56"/>
        <v>48.538900577865512</v>
      </c>
      <c r="L217" s="51">
        <f t="shared" si="57"/>
        <v>38429.099115806232</v>
      </c>
      <c r="N217" s="51">
        <f t="shared" si="58"/>
        <v>7.7170817160904184</v>
      </c>
      <c r="O217" s="51">
        <f>(('Price Deck'!Q211/'Propane Royalties'!$B$2))/'Price Deck'!M211</f>
        <v>317.02576566952399</v>
      </c>
      <c r="P217" s="39"/>
      <c r="Q217" s="51">
        <f t="shared" si="59"/>
        <v>0.37108000174501915</v>
      </c>
      <c r="R217" s="51">
        <f t="shared" si="60"/>
        <v>0.1</v>
      </c>
      <c r="S217" s="51">
        <f t="shared" si="61"/>
        <v>0.56243004665243845</v>
      </c>
      <c r="T217" s="51">
        <f t="shared" si="62"/>
        <v>0.40421099989317166</v>
      </c>
      <c r="U217" s="51">
        <f t="shared" si="63"/>
        <v>0.37108000174501915</v>
      </c>
      <c r="W217" s="51">
        <f t="shared" si="64"/>
        <v>-0.25148193968327798</v>
      </c>
      <c r="X217" s="39">
        <f t="shared" si="65"/>
        <v>0.11959806206174117</v>
      </c>
      <c r="Y217" s="39">
        <f t="shared" si="66"/>
        <v>0.11959806206174117</v>
      </c>
      <c r="AA217" s="85">
        <f>'Price Deck'!Q211/'Price Deck'!M211</f>
        <v>50.403155214716527</v>
      </c>
      <c r="AB217" s="72">
        <f t="shared" si="67"/>
        <v>7413.6779993268146</v>
      </c>
      <c r="AC217" s="72">
        <f t="shared" si="68"/>
        <v>886.66152146925356</v>
      </c>
      <c r="AD217" s="85">
        <f t="shared" si="69"/>
        <v>6.0281196854772405</v>
      </c>
    </row>
    <row r="218" spans="1:30">
      <c r="A218" t="str">
        <f>'Price Deck'!A212</f>
        <v>08/2034</v>
      </c>
      <c r="B218" s="51">
        <f>'Liquids Type Curve'!A225</f>
        <v>16.921890798786684</v>
      </c>
      <c r="C218" s="51">
        <f>'Liquids Type Curve'!B225</f>
        <v>203.06268958544021</v>
      </c>
      <c r="D218" s="51">
        <f>'Liquids Type Curve'!C225</f>
        <v>4.8135555859527122</v>
      </c>
      <c r="E218" s="51">
        <f>'Liquids Type Curve'!D225</f>
        <v>146.41231573939501</v>
      </c>
      <c r="F218" s="51">
        <f>'Liquids Type Curve'!E225</f>
        <v>116598.22781818251</v>
      </c>
      <c r="H218" s="51">
        <f t="shared" si="53"/>
        <v>16.921890798786684</v>
      </c>
      <c r="I218" s="51">
        <f t="shared" si="54"/>
        <v>203.06268958544021</v>
      </c>
      <c r="J218" s="51">
        <f t="shared" si="55"/>
        <v>1.5884733433643952</v>
      </c>
      <c r="K218" s="51">
        <f t="shared" si="56"/>
        <v>48.316064194000354</v>
      </c>
      <c r="L218" s="51">
        <f t="shared" si="57"/>
        <v>38477.415180000229</v>
      </c>
      <c r="N218" s="51">
        <f t="shared" si="58"/>
        <v>7.681653501542236</v>
      </c>
      <c r="O218" s="51">
        <f>(('Price Deck'!Q212/'Propane Royalties'!$B$2))/'Price Deck'!M212</f>
        <v>317.02576566952399</v>
      </c>
      <c r="P218" s="39"/>
      <c r="Q218" s="51">
        <f t="shared" si="59"/>
        <v>0.37108000174501915</v>
      </c>
      <c r="R218" s="51">
        <f t="shared" si="60"/>
        <v>0.1</v>
      </c>
      <c r="S218" s="51">
        <f t="shared" si="61"/>
        <v>0.56243004665243845</v>
      </c>
      <c r="T218" s="51">
        <f t="shared" si="62"/>
        <v>0.40421099989317166</v>
      </c>
      <c r="U218" s="51">
        <f t="shared" si="63"/>
        <v>0.37108000174501915</v>
      </c>
      <c r="W218" s="51">
        <f t="shared" si="64"/>
        <v>-0.25152976777291802</v>
      </c>
      <c r="X218" s="39">
        <f t="shared" si="65"/>
        <v>0.11955023397210113</v>
      </c>
      <c r="Y218" s="39">
        <f t="shared" si="66"/>
        <v>0.11955023397210113</v>
      </c>
      <c r="AA218" s="85">
        <f>'Price Deck'!Q212/'Price Deck'!M212</f>
        <v>50.403155214716527</v>
      </c>
      <c r="AB218" s="72">
        <f t="shared" si="67"/>
        <v>7379.64267555881</v>
      </c>
      <c r="AC218" s="72">
        <f t="shared" si="68"/>
        <v>882.23800849355814</v>
      </c>
      <c r="AD218" s="85">
        <f t="shared" si="69"/>
        <v>6.0257089988514894</v>
      </c>
    </row>
    <row r="219" spans="1:30">
      <c r="A219" t="str">
        <f>'Price Deck'!A213</f>
        <v>09/2034</v>
      </c>
      <c r="B219" s="51">
        <f>'Liquids Type Curve'!A226</f>
        <v>17.005224132120016</v>
      </c>
      <c r="C219" s="51">
        <f>'Liquids Type Curve'!B226</f>
        <v>204.06268958544018</v>
      </c>
      <c r="D219" s="51">
        <f>'Liquids Type Curve'!C226</f>
        <v>4.7915654290075684</v>
      </c>
      <c r="E219" s="51">
        <f>'Liquids Type Curve'!D226</f>
        <v>145.74344846564688</v>
      </c>
      <c r="F219" s="51">
        <f>'Liquids Type Curve'!E226</f>
        <v>116743.97126664815</v>
      </c>
      <c r="H219" s="51">
        <f t="shared" si="53"/>
        <v>17.005224132120016</v>
      </c>
      <c r="I219" s="51">
        <f t="shared" si="54"/>
        <v>204.06268958544018</v>
      </c>
      <c r="J219" s="51">
        <f t="shared" si="55"/>
        <v>1.5812165915724976</v>
      </c>
      <c r="K219" s="51">
        <f t="shared" si="56"/>
        <v>48.09533799366347</v>
      </c>
      <c r="L219" s="51">
        <f t="shared" si="57"/>
        <v>38525.510517993891</v>
      </c>
      <c r="N219" s="51">
        <f t="shared" si="58"/>
        <v>7.6465607799395006</v>
      </c>
      <c r="O219" s="51">
        <f>(('Price Deck'!Q213/'Propane Royalties'!$B$2))/'Price Deck'!M213</f>
        <v>317.02576566952399</v>
      </c>
      <c r="P219" s="39"/>
      <c r="Q219" s="51">
        <f t="shared" si="59"/>
        <v>0.37108000174501915</v>
      </c>
      <c r="R219" s="51">
        <f t="shared" si="60"/>
        <v>0.1</v>
      </c>
      <c r="S219" s="51">
        <f t="shared" si="61"/>
        <v>0.56243004665243845</v>
      </c>
      <c r="T219" s="51">
        <f t="shared" si="62"/>
        <v>0.40421099989317166</v>
      </c>
      <c r="U219" s="51">
        <f t="shared" si="63"/>
        <v>0.37108000174501915</v>
      </c>
      <c r="W219" s="51">
        <f t="shared" si="64"/>
        <v>-0.25157714294708167</v>
      </c>
      <c r="X219" s="39">
        <f t="shared" si="65"/>
        <v>0.11950285879793748</v>
      </c>
      <c r="Y219" s="39">
        <f t="shared" si="66"/>
        <v>0.11950285879793748</v>
      </c>
      <c r="AA219" s="85">
        <f>'Price Deck'!Q213/'Price Deck'!M213</f>
        <v>50.403155214716527</v>
      </c>
      <c r="AB219" s="72">
        <f t="shared" si="67"/>
        <v>7345.9296545420393</v>
      </c>
      <c r="AC219" s="72">
        <f t="shared" si="68"/>
        <v>877.85959424631903</v>
      </c>
      <c r="AD219" s="85">
        <f t="shared" si="69"/>
        <v>6.0233211405947964</v>
      </c>
    </row>
    <row r="220" spans="1:30">
      <c r="A220" t="str">
        <f>'Price Deck'!A214</f>
        <v>10/2034</v>
      </c>
      <c r="B220" s="51">
        <f>'Liquids Type Curve'!A227</f>
        <v>17.088557465453349</v>
      </c>
      <c r="C220" s="51">
        <f>'Liquids Type Curve'!B227</f>
        <v>205.06268958544018</v>
      </c>
      <c r="D220" s="51">
        <f>'Liquids Type Curve'!C227</f>
        <v>4.7697824955880703</v>
      </c>
      <c r="E220" s="51">
        <f>'Liquids Type Curve'!D227</f>
        <v>145.08088424080381</v>
      </c>
      <c r="F220" s="51">
        <f>'Liquids Type Curve'!E227</f>
        <v>116889.05215088895</v>
      </c>
      <c r="H220" s="51">
        <f t="shared" si="53"/>
        <v>17.088557465453349</v>
      </c>
      <c r="I220" s="51">
        <f t="shared" si="54"/>
        <v>205.06268958544018</v>
      </c>
      <c r="J220" s="51">
        <f t="shared" si="55"/>
        <v>1.5740282235440632</v>
      </c>
      <c r="K220" s="51">
        <f t="shared" si="56"/>
        <v>47.876691799465263</v>
      </c>
      <c r="L220" s="51">
        <f t="shared" si="57"/>
        <v>38573.387209793356</v>
      </c>
      <c r="N220" s="51">
        <f t="shared" si="58"/>
        <v>7.6117987534524572</v>
      </c>
      <c r="O220" s="51">
        <f>(('Price Deck'!Q214/'Propane Royalties'!$B$2))/'Price Deck'!M214</f>
        <v>317.02576566952399</v>
      </c>
      <c r="P220" s="39"/>
      <c r="Q220" s="51">
        <f t="shared" si="59"/>
        <v>0.37108000174501915</v>
      </c>
      <c r="R220" s="51">
        <f t="shared" si="60"/>
        <v>0.1</v>
      </c>
      <c r="S220" s="51">
        <f t="shared" si="61"/>
        <v>0.56243004665243845</v>
      </c>
      <c r="T220" s="51">
        <f t="shared" si="62"/>
        <v>0.40421099989317166</v>
      </c>
      <c r="U220" s="51">
        <f t="shared" si="63"/>
        <v>0.37108000174501915</v>
      </c>
      <c r="W220" s="51">
        <f t="shared" si="64"/>
        <v>-0.25162407168283918</v>
      </c>
      <c r="X220" s="39">
        <f t="shared" si="65"/>
        <v>0.11945593006217997</v>
      </c>
      <c r="Y220" s="39">
        <f t="shared" si="66"/>
        <v>0.11945593006217997</v>
      </c>
      <c r="AA220" s="85">
        <f>'Price Deck'!Q214/'Price Deck'!M214</f>
        <v>50.403155214716527</v>
      </c>
      <c r="AB220" s="72">
        <f t="shared" si="67"/>
        <v>7312.5343270775556</v>
      </c>
      <c r="AC220" s="72">
        <f t="shared" si="68"/>
        <v>873.52558915266673</v>
      </c>
      <c r="AD220" s="85">
        <f t="shared" si="69"/>
        <v>6.0209557842423793</v>
      </c>
    </row>
    <row r="221" spans="1:30">
      <c r="A221" t="str">
        <f>'Price Deck'!A215</f>
        <v>11/2034</v>
      </c>
      <c r="B221" s="51">
        <f>'Liquids Type Curve'!A228</f>
        <v>17.171890798786681</v>
      </c>
      <c r="C221" s="51">
        <f>'Liquids Type Curve'!B228</f>
        <v>206.06268958544018</v>
      </c>
      <c r="D221" s="51">
        <f>'Liquids Type Curve'!C228</f>
        <v>4.7482038366082584</v>
      </c>
      <c r="E221" s="51">
        <f>'Liquids Type Curve'!D228</f>
        <v>144.42453336350121</v>
      </c>
      <c r="F221" s="51">
        <f>'Liquids Type Curve'!E228</f>
        <v>117033.47668425246</v>
      </c>
      <c r="H221" s="51">
        <f t="shared" si="53"/>
        <v>17.171890798786681</v>
      </c>
      <c r="I221" s="51">
        <f t="shared" si="54"/>
        <v>206.06268958544018</v>
      </c>
      <c r="J221" s="51">
        <f t="shared" si="55"/>
        <v>1.5669072660807253</v>
      </c>
      <c r="K221" s="51">
        <f t="shared" si="56"/>
        <v>47.660096009955403</v>
      </c>
      <c r="L221" s="51">
        <f t="shared" si="57"/>
        <v>38621.047305803309</v>
      </c>
      <c r="N221" s="51">
        <f t="shared" si="58"/>
        <v>7.5773627158185324</v>
      </c>
      <c r="O221" s="51">
        <f>(('Price Deck'!Q215/'Propane Royalties'!$B$2))/'Price Deck'!M215</f>
        <v>317.02576566952399</v>
      </c>
      <c r="P221" s="39"/>
      <c r="Q221" s="51">
        <f t="shared" si="59"/>
        <v>0.37108000174501915</v>
      </c>
      <c r="R221" s="51">
        <f t="shared" si="60"/>
        <v>0.1</v>
      </c>
      <c r="S221" s="51">
        <f t="shared" si="61"/>
        <v>0.56243004665243845</v>
      </c>
      <c r="T221" s="51">
        <f t="shared" si="62"/>
        <v>0.40421099989317166</v>
      </c>
      <c r="U221" s="51">
        <f t="shared" si="63"/>
        <v>0.37108000174501915</v>
      </c>
      <c r="W221" s="51">
        <f t="shared" si="64"/>
        <v>-0.25167056033364499</v>
      </c>
      <c r="X221" s="39">
        <f t="shared" si="65"/>
        <v>0.11940944141137416</v>
      </c>
      <c r="Y221" s="39">
        <f t="shared" si="66"/>
        <v>0.11940944141137416</v>
      </c>
      <c r="AA221" s="85">
        <f>'Price Deck'!Q215/'Price Deck'!M215</f>
        <v>50.403155214716527</v>
      </c>
      <c r="AB221" s="72">
        <f t="shared" si="67"/>
        <v>7279.4521719335571</v>
      </c>
      <c r="AC221" s="72">
        <f t="shared" si="68"/>
        <v>869.23531763140045</v>
      </c>
      <c r="AD221" s="85">
        <f t="shared" si="69"/>
        <v>6.0186126095600914</v>
      </c>
    </row>
    <row r="222" spans="1:30">
      <c r="A222" t="str">
        <f>'Price Deck'!A216</f>
        <v>01/2034</v>
      </c>
      <c r="B222" s="51">
        <f>'Liquids Type Curve'!A229</f>
        <v>17.255224132120013</v>
      </c>
      <c r="C222" s="51">
        <f>'Liquids Type Curve'!B229</f>
        <v>207.06268958544015</v>
      </c>
      <c r="D222" s="51">
        <f>'Liquids Type Curve'!C229</f>
        <v>4.7268265589939675</v>
      </c>
      <c r="E222" s="51">
        <f>'Liquids Type Curve'!D229</f>
        <v>143.77430783606653</v>
      </c>
      <c r="F222" s="51">
        <f>'Liquids Type Curve'!E229</f>
        <v>117177.25099208852</v>
      </c>
      <c r="H222" s="51">
        <f t="shared" si="53"/>
        <v>17.255224132120013</v>
      </c>
      <c r="I222" s="51">
        <f t="shared" si="54"/>
        <v>207.06268958544015</v>
      </c>
      <c r="J222" s="51">
        <f t="shared" si="55"/>
        <v>1.5598527644680094</v>
      </c>
      <c r="K222" s="51">
        <f t="shared" si="56"/>
        <v>47.445521585901957</v>
      </c>
      <c r="L222" s="51">
        <f t="shared" si="57"/>
        <v>38668.492827389215</v>
      </c>
      <c r="N222" s="51">
        <f t="shared" si="58"/>
        <v>7.543248050160889</v>
      </c>
      <c r="O222" s="51">
        <f>(('Price Deck'!Q216/'Propane Royalties'!$B$2))/'Price Deck'!M216</f>
        <v>317.02576566952399</v>
      </c>
      <c r="P222" s="39"/>
      <c r="Q222" s="51">
        <f t="shared" si="59"/>
        <v>0.37108000174501915</v>
      </c>
      <c r="R222" s="51">
        <f t="shared" si="60"/>
        <v>0.1</v>
      </c>
      <c r="S222" s="51">
        <f t="shared" si="61"/>
        <v>0.56243004665243845</v>
      </c>
      <c r="T222" s="51">
        <f t="shared" si="62"/>
        <v>0.40421099989317166</v>
      </c>
      <c r="U222" s="51">
        <f t="shared" si="63"/>
        <v>0.37108000174501915</v>
      </c>
      <c r="W222" s="51">
        <f t="shared" si="64"/>
        <v>-0.25171661513228283</v>
      </c>
      <c r="X222" s="39">
        <f t="shared" si="65"/>
        <v>0.11936338661273632</v>
      </c>
      <c r="Y222" s="39">
        <f t="shared" si="66"/>
        <v>0.11936338661273632</v>
      </c>
      <c r="AA222" s="85">
        <f>'Price Deck'!Q216/'Price Deck'!M216</f>
        <v>50.403155214716527</v>
      </c>
      <c r="AB222" s="72">
        <f t="shared" si="67"/>
        <v>7246.6787537496957</v>
      </c>
      <c r="AC222" s="72">
        <f t="shared" si="68"/>
        <v>864.9881177421272</v>
      </c>
      <c r="AD222" s="85">
        <f t="shared" si="69"/>
        <v>6.0162913023959659</v>
      </c>
    </row>
    <row r="223" spans="1:30">
      <c r="A223" t="str">
        <f>'Price Deck'!A217</f>
        <v>02/2034</v>
      </c>
      <c r="B223" s="51">
        <f>'Liquids Type Curve'!A230</f>
        <v>17.338557465453345</v>
      </c>
      <c r="C223" s="51">
        <f>'Liquids Type Curve'!B230</f>
        <v>208.06268958544013</v>
      </c>
      <c r="D223" s="51">
        <f>'Liquids Type Curve'!C230</f>
        <v>4.7056478243548634</v>
      </c>
      <c r="E223" s="51">
        <f>'Liquids Type Curve'!D230</f>
        <v>143.13012132412709</v>
      </c>
      <c r="F223" s="51">
        <f>'Liquids Type Curve'!E230</f>
        <v>117320.38111341264</v>
      </c>
      <c r="H223" s="51">
        <f t="shared" si="53"/>
        <v>17.338557465453345</v>
      </c>
      <c r="I223" s="51">
        <f t="shared" si="54"/>
        <v>208.06268958544013</v>
      </c>
      <c r="J223" s="51">
        <f t="shared" si="55"/>
        <v>1.552863782037105</v>
      </c>
      <c r="K223" s="51">
        <f t="shared" si="56"/>
        <v>47.232940036961942</v>
      </c>
      <c r="L223" s="51">
        <f t="shared" si="57"/>
        <v>38715.725767426171</v>
      </c>
      <c r="N223" s="51">
        <f t="shared" si="58"/>
        <v>7.5094502268692072</v>
      </c>
      <c r="O223" s="51">
        <f>(('Price Deck'!Q217/'Propane Royalties'!$B$2))/'Price Deck'!M217</f>
        <v>317.02576566952399</v>
      </c>
      <c r="P223" s="39"/>
      <c r="Q223" s="51">
        <f t="shared" si="59"/>
        <v>0.37108000174501915</v>
      </c>
      <c r="R223" s="51">
        <f t="shared" si="60"/>
        <v>0.1</v>
      </c>
      <c r="S223" s="51">
        <f t="shared" si="61"/>
        <v>0.56243004665243845</v>
      </c>
      <c r="T223" s="51">
        <f t="shared" si="62"/>
        <v>0.40421099989317166</v>
      </c>
      <c r="U223" s="51">
        <f t="shared" si="63"/>
        <v>0.37108000174501915</v>
      </c>
      <c r="W223" s="51">
        <f t="shared" si="64"/>
        <v>-0.25176224219372656</v>
      </c>
      <c r="X223" s="39">
        <f t="shared" si="65"/>
        <v>0.11931775955129259</v>
      </c>
      <c r="Y223" s="39">
        <f t="shared" si="66"/>
        <v>0.11931775955129259</v>
      </c>
      <c r="AA223" s="85">
        <f>'Price Deck'!Q217/'Price Deck'!M217</f>
        <v>50.403155214716527</v>
      </c>
      <c r="AB223" s="72">
        <f t="shared" si="67"/>
        <v>7214.2097210011852</v>
      </c>
      <c r="AC223" s="72">
        <f t="shared" si="68"/>
        <v>860.78334084301707</v>
      </c>
      <c r="AD223" s="85">
        <f t="shared" si="69"/>
        <v>6.0139915545360259</v>
      </c>
    </row>
    <row r="224" spans="1:30">
      <c r="A224" t="str">
        <f>'Price Deck'!A218</f>
        <v>03/2034</v>
      </c>
      <c r="B224" s="51">
        <f>'Liquids Type Curve'!A231</f>
        <v>17.421890798786677</v>
      </c>
      <c r="C224" s="51">
        <f>'Liquids Type Curve'!B231</f>
        <v>209.06268958544013</v>
      </c>
      <c r="D224" s="51">
        <f>'Liquids Type Curve'!C231</f>
        <v>4.6846648476941732</v>
      </c>
      <c r="E224" s="51">
        <f>'Liquids Type Curve'!D231</f>
        <v>142.49188911736445</v>
      </c>
      <c r="F224" s="51">
        <f>'Liquids Type Curve'!E231</f>
        <v>117462.87300253</v>
      </c>
      <c r="H224" s="51">
        <f t="shared" si="53"/>
        <v>17.421890798786677</v>
      </c>
      <c r="I224" s="51">
        <f t="shared" si="54"/>
        <v>209.06268958544013</v>
      </c>
      <c r="J224" s="51">
        <f t="shared" si="55"/>
        <v>1.5459393997390773</v>
      </c>
      <c r="K224" s="51">
        <f t="shared" si="56"/>
        <v>47.022323408730273</v>
      </c>
      <c r="L224" s="51">
        <f t="shared" si="57"/>
        <v>38762.748090834903</v>
      </c>
      <c r="N224" s="51">
        <f t="shared" si="58"/>
        <v>7.4759648015406333</v>
      </c>
      <c r="O224" s="51">
        <f>(('Price Deck'!Q218/'Propane Royalties'!$B$2))/'Price Deck'!M218</f>
        <v>321.78115215456677</v>
      </c>
      <c r="P224" s="39"/>
      <c r="Q224" s="51">
        <f t="shared" si="59"/>
        <v>0.37388567977119436</v>
      </c>
      <c r="R224" s="51">
        <f t="shared" si="60"/>
        <v>0.1</v>
      </c>
      <c r="S224" s="51">
        <f t="shared" si="61"/>
        <v>0.57203592735222486</v>
      </c>
      <c r="T224" s="51">
        <f t="shared" si="62"/>
        <v>0.40948947889156911</v>
      </c>
      <c r="U224" s="51">
        <f t="shared" si="63"/>
        <v>0.37388567977119436</v>
      </c>
      <c r="W224" s="51">
        <f t="shared" si="64"/>
        <v>-0.25180744751792017</v>
      </c>
      <c r="X224" s="39">
        <f t="shared" si="65"/>
        <v>0.12207823225327419</v>
      </c>
      <c r="Y224" s="39">
        <f t="shared" si="66"/>
        <v>0.12207823225327419</v>
      </c>
      <c r="AA224" s="85">
        <f>'Price Deck'!Q218/'Price Deck'!M218</f>
        <v>51.159202542937265</v>
      </c>
      <c r="AB224" s="72">
        <f t="shared" si="67"/>
        <v>7289.7714160810065</v>
      </c>
      <c r="AC224" s="72">
        <f t="shared" si="68"/>
        <v>889.9224080056166</v>
      </c>
      <c r="AD224" s="85">
        <f t="shared" si="69"/>
        <v>6.245425009928991</v>
      </c>
    </row>
    <row r="225" spans="1:30">
      <c r="A225" t="str">
        <f>'Price Deck'!A219</f>
        <v>04/2034</v>
      </c>
      <c r="B225" s="51">
        <f>'Liquids Type Curve'!A232</f>
        <v>17.505224132120009</v>
      </c>
      <c r="C225" s="51">
        <f>'Liquids Type Curve'!B232</f>
        <v>210.06268958544013</v>
      </c>
      <c r="D225" s="51">
        <f>'Liquids Type Curve'!C232</f>
        <v>4.6638748961548409</v>
      </c>
      <c r="E225" s="51">
        <f>'Liquids Type Curve'!D232</f>
        <v>141.8595280913764</v>
      </c>
      <c r="F225" s="51">
        <f>'Liquids Type Curve'!E232</f>
        <v>117604.73253062138</v>
      </c>
      <c r="H225" s="51">
        <f t="shared" si="53"/>
        <v>17.505224132120009</v>
      </c>
      <c r="I225" s="51">
        <f t="shared" si="54"/>
        <v>210.06268958544013</v>
      </c>
      <c r="J225" s="51">
        <f t="shared" si="55"/>
        <v>1.5390787157310974</v>
      </c>
      <c r="K225" s="51">
        <f t="shared" si="56"/>
        <v>46.813644270154214</v>
      </c>
      <c r="L225" s="51">
        <f t="shared" si="57"/>
        <v>38809.561735105053</v>
      </c>
      <c r="N225" s="51">
        <f t="shared" si="58"/>
        <v>7.4427874129788254</v>
      </c>
      <c r="O225" s="51">
        <f>(('Price Deck'!Q219/'Propane Royalties'!$B$2))/'Price Deck'!M219</f>
        <v>321.78115215456677</v>
      </c>
      <c r="P225" s="39"/>
      <c r="Q225" s="51">
        <f t="shared" si="59"/>
        <v>0.37388567977119436</v>
      </c>
      <c r="R225" s="51">
        <f t="shared" si="60"/>
        <v>0.1</v>
      </c>
      <c r="S225" s="51">
        <f t="shared" si="61"/>
        <v>0.57203592735222486</v>
      </c>
      <c r="T225" s="51">
        <f t="shared" si="62"/>
        <v>0.40948947889156911</v>
      </c>
      <c r="U225" s="51">
        <f t="shared" si="63"/>
        <v>0.37388567977119436</v>
      </c>
      <c r="W225" s="51">
        <f t="shared" si="64"/>
        <v>-0.25185223699247861</v>
      </c>
      <c r="X225" s="39">
        <f t="shared" si="65"/>
        <v>0.12203344277871575</v>
      </c>
      <c r="Y225" s="39">
        <f t="shared" si="66"/>
        <v>0.12203344277871575</v>
      </c>
      <c r="AA225" s="85">
        <f>'Price Deck'!Q219/'Price Deck'!M219</f>
        <v>51.159202542937265</v>
      </c>
      <c r="AB225" s="72">
        <f t="shared" si="67"/>
        <v>7257.4203302722244</v>
      </c>
      <c r="AC225" s="72">
        <f t="shared" si="68"/>
        <v>885.64798859536381</v>
      </c>
      <c r="AD225" s="85">
        <f t="shared" si="69"/>
        <v>6.2431336161282642</v>
      </c>
    </row>
    <row r="226" spans="1:30">
      <c r="A226" t="str">
        <f>'Price Deck'!A220</f>
        <v>05/2034</v>
      </c>
      <c r="B226" s="51">
        <f>'Liquids Type Curve'!A233</f>
        <v>17.588557465453341</v>
      </c>
      <c r="C226" s="51">
        <f>'Liquids Type Curve'!B233</f>
        <v>211.0626895854401</v>
      </c>
      <c r="D226" s="51">
        <f>'Liquids Type Curve'!C233</f>
        <v>4.6432752878009476</v>
      </c>
      <c r="E226" s="51">
        <f>'Liquids Type Curve'!D233</f>
        <v>141.23295667061217</v>
      </c>
      <c r="F226" s="51">
        <f>'Liquids Type Curve'!E233</f>
        <v>117745.96548729199</v>
      </c>
      <c r="H226" s="51">
        <f t="shared" si="53"/>
        <v>17.588557465453341</v>
      </c>
      <c r="I226" s="51">
        <f t="shared" si="54"/>
        <v>211.0626895854401</v>
      </c>
      <c r="J226" s="51">
        <f t="shared" si="55"/>
        <v>1.5322808449743128</v>
      </c>
      <c r="K226" s="51">
        <f t="shared" si="56"/>
        <v>46.606875701302016</v>
      </c>
      <c r="L226" s="51">
        <f t="shared" si="57"/>
        <v>38856.168610806359</v>
      </c>
      <c r="N226" s="51">
        <f t="shared" si="58"/>
        <v>7.409913781249327</v>
      </c>
      <c r="O226" s="51">
        <f>(('Price Deck'!Q220/'Propane Royalties'!$B$2))/'Price Deck'!M220</f>
        <v>321.78115215456677</v>
      </c>
      <c r="P226" s="39"/>
      <c r="Q226" s="51">
        <f t="shared" si="59"/>
        <v>0.37388567977119436</v>
      </c>
      <c r="R226" s="51">
        <f t="shared" si="60"/>
        <v>0.1</v>
      </c>
      <c r="S226" s="51">
        <f t="shared" si="61"/>
        <v>0.57203592735222486</v>
      </c>
      <c r="T226" s="51">
        <f t="shared" si="62"/>
        <v>0.40948947889156911</v>
      </c>
      <c r="U226" s="51">
        <f t="shared" si="63"/>
        <v>0.37388567977119436</v>
      </c>
      <c r="W226" s="51">
        <f t="shared" si="64"/>
        <v>-0.25189661639531341</v>
      </c>
      <c r="X226" s="39">
        <f t="shared" si="65"/>
        <v>0.12198906337588095</v>
      </c>
      <c r="Y226" s="39">
        <f t="shared" si="66"/>
        <v>0.12198906337588095</v>
      </c>
      <c r="AA226" s="85">
        <f>'Price Deck'!Q220/'Price Deck'!M220</f>
        <v>51.159202542937265</v>
      </c>
      <c r="AB226" s="72">
        <f t="shared" si="67"/>
        <v>7225.3654360497303</v>
      </c>
      <c r="AC226" s="72">
        <f t="shared" si="68"/>
        <v>881.41556209217026</v>
      </c>
      <c r="AD226" s="85">
        <f t="shared" si="69"/>
        <v>6.2408632012699039</v>
      </c>
    </row>
    <row r="227" spans="1:30">
      <c r="A227" t="str">
        <f>'Price Deck'!A221</f>
        <v>06/2034</v>
      </c>
      <c r="B227" s="51">
        <f>'Liquids Type Curve'!A234</f>
        <v>17.671890798786674</v>
      </c>
      <c r="C227" s="51">
        <f>'Liquids Type Curve'!B234</f>
        <v>212.06268958544007</v>
      </c>
      <c r="D227" s="51">
        <f>'Liquids Type Curve'!C234</f>
        <v>4.6228633904331966</v>
      </c>
      <c r="E227" s="51">
        <f>'Liquids Type Curve'!D234</f>
        <v>140.61209479234307</v>
      </c>
      <c r="F227" s="51">
        <f>'Liquids Type Curve'!E234</f>
        <v>117886.57758208434</v>
      </c>
      <c r="H227" s="51">
        <f t="shared" si="53"/>
        <v>17.671890798786674</v>
      </c>
      <c r="I227" s="51">
        <f t="shared" si="54"/>
        <v>212.06268958544007</v>
      </c>
      <c r="J227" s="51">
        <f t="shared" si="55"/>
        <v>1.5255449188429548</v>
      </c>
      <c r="K227" s="51">
        <f t="shared" si="56"/>
        <v>46.401991281473215</v>
      </c>
      <c r="L227" s="51">
        <f t="shared" si="57"/>
        <v>38902.570602087835</v>
      </c>
      <c r="N227" s="51">
        <f t="shared" si="58"/>
        <v>7.3773397057892485</v>
      </c>
      <c r="O227" s="51">
        <f>(('Price Deck'!Q221/'Propane Royalties'!$B$2))/'Price Deck'!M221</f>
        <v>321.78115215456677</v>
      </c>
      <c r="P227" s="39"/>
      <c r="Q227" s="51">
        <f t="shared" si="59"/>
        <v>0.37388567977119436</v>
      </c>
      <c r="R227" s="51">
        <f t="shared" si="60"/>
        <v>0.1</v>
      </c>
      <c r="S227" s="51">
        <f t="shared" si="61"/>
        <v>0.57203592735222486</v>
      </c>
      <c r="T227" s="51">
        <f t="shared" si="62"/>
        <v>0.40948947889156911</v>
      </c>
      <c r="U227" s="51">
        <f t="shared" si="63"/>
        <v>0.37388567977119436</v>
      </c>
      <c r="W227" s="51">
        <f t="shared" si="64"/>
        <v>-0.25194059139718455</v>
      </c>
      <c r="X227" s="39">
        <f t="shared" si="65"/>
        <v>0.1219450883740098</v>
      </c>
      <c r="Y227" s="39">
        <f t="shared" si="66"/>
        <v>0.1219450883740098</v>
      </c>
      <c r="AA227" s="85">
        <f>'Price Deck'!Q221/'Price Deck'!M221</f>
        <v>51.159202542937265</v>
      </c>
      <c r="AB227" s="72">
        <f t="shared" si="67"/>
        <v>7193.6026374681733</v>
      </c>
      <c r="AC227" s="72">
        <f t="shared" si="68"/>
        <v>877.22450935356642</v>
      </c>
      <c r="AD227" s="85">
        <f t="shared" si="69"/>
        <v>6.2386134752423521</v>
      </c>
    </row>
    <row r="228" spans="1:30">
      <c r="A228" t="str">
        <f>'Price Deck'!A222</f>
        <v>07/2034</v>
      </c>
      <c r="B228" s="51">
        <f>'Liquids Type Curve'!A235</f>
        <v>17.755224132120006</v>
      </c>
      <c r="C228" s="51">
        <f>'Liquids Type Curve'!B235</f>
        <v>213.06268958544007</v>
      </c>
      <c r="D228" s="51">
        <f>'Liquids Type Curve'!C235</f>
        <v>4.6026366204374183</v>
      </c>
      <c r="E228" s="51">
        <f>'Liquids Type Curve'!D235</f>
        <v>139.99686387163814</v>
      </c>
      <c r="F228" s="51">
        <f>'Liquids Type Curve'!E235</f>
        <v>118026.57444595598</v>
      </c>
      <c r="H228" s="51">
        <f t="shared" si="53"/>
        <v>17.755224132120006</v>
      </c>
      <c r="I228" s="51">
        <f t="shared" si="54"/>
        <v>213.06268958544007</v>
      </c>
      <c r="J228" s="51">
        <f t="shared" si="55"/>
        <v>1.5188700847443481</v>
      </c>
      <c r="K228" s="51">
        <f t="shared" si="56"/>
        <v>46.198965077640587</v>
      </c>
      <c r="L228" s="51">
        <f t="shared" si="57"/>
        <v>38948.769567165473</v>
      </c>
      <c r="N228" s="51">
        <f t="shared" si="58"/>
        <v>7.3450610635696822</v>
      </c>
      <c r="O228" s="51">
        <f>(('Price Deck'!Q222/'Propane Royalties'!$B$2))/'Price Deck'!M222</f>
        <v>321.78115215456677</v>
      </c>
      <c r="P228" s="39"/>
      <c r="Q228" s="51">
        <f t="shared" si="59"/>
        <v>0.37388567977119436</v>
      </c>
      <c r="R228" s="51">
        <f t="shared" si="60"/>
        <v>0.1</v>
      </c>
      <c r="S228" s="51">
        <f t="shared" si="61"/>
        <v>0.57203592735222486</v>
      </c>
      <c r="T228" s="51">
        <f t="shared" si="62"/>
        <v>0.40948947889156911</v>
      </c>
      <c r="U228" s="51">
        <f t="shared" si="63"/>
        <v>0.37388567977119436</v>
      </c>
      <c r="W228" s="51">
        <f t="shared" si="64"/>
        <v>-0.25198416756418096</v>
      </c>
      <c r="X228" s="39">
        <f t="shared" si="65"/>
        <v>0.1219015122070134</v>
      </c>
      <c r="Y228" s="39">
        <f t="shared" si="66"/>
        <v>0.1219015122070134</v>
      </c>
      <c r="AA228" s="85">
        <f>'Price Deck'!Q222/'Price Deck'!M222</f>
        <v>51.159202542937265</v>
      </c>
      <c r="AB228" s="72">
        <f t="shared" si="67"/>
        <v>7162.1279141851519</v>
      </c>
      <c r="AC228" s="72">
        <f t="shared" si="68"/>
        <v>873.07422335923263</v>
      </c>
      <c r="AD228" s="85">
        <f t="shared" si="69"/>
        <v>6.2363841532889372</v>
      </c>
    </row>
    <row r="229" spans="1:30">
      <c r="A229" t="str">
        <f>'Price Deck'!A223</f>
        <v>08/2034</v>
      </c>
      <c r="B229" s="51">
        <f>'Liquids Type Curve'!A236</f>
        <v>17.838557465453338</v>
      </c>
      <c r="C229" s="51">
        <f>'Liquids Type Curve'!B236</f>
        <v>214.06268958544007</v>
      </c>
      <c r="D229" s="51">
        <f>'Liquids Type Curve'!C236</f>
        <v>4.5825924416649766</v>
      </c>
      <c r="E229" s="51">
        <f>'Liquids Type Curve'!D236</f>
        <v>139.38718676730971</v>
      </c>
      <c r="F229" s="51">
        <f>'Liquids Type Curve'!E236</f>
        <v>118165.96163272329</v>
      </c>
      <c r="H229" s="51">
        <f t="shared" si="53"/>
        <v>17.838557465453338</v>
      </c>
      <c r="I229" s="51">
        <f t="shared" si="54"/>
        <v>214.06268958544007</v>
      </c>
      <c r="J229" s="51">
        <f t="shared" si="55"/>
        <v>1.5122555057494425</v>
      </c>
      <c r="K229" s="51">
        <f t="shared" si="56"/>
        <v>45.99777163321221</v>
      </c>
      <c r="L229" s="51">
        <f t="shared" si="57"/>
        <v>38994.767338798687</v>
      </c>
      <c r="N229" s="51">
        <f t="shared" si="58"/>
        <v>7.31307380730901</v>
      </c>
      <c r="O229" s="51">
        <f>(('Price Deck'!Q223/'Propane Royalties'!$B$2))/'Price Deck'!M223</f>
        <v>321.78115215456677</v>
      </c>
      <c r="P229" s="39"/>
      <c r="Q229" s="51">
        <f t="shared" si="59"/>
        <v>0.37388567977119436</v>
      </c>
      <c r="R229" s="51">
        <f t="shared" si="60"/>
        <v>0.1</v>
      </c>
      <c r="S229" s="51">
        <f t="shared" si="61"/>
        <v>0.57203592735222486</v>
      </c>
      <c r="T229" s="51">
        <f t="shared" si="62"/>
        <v>0.40948947889156911</v>
      </c>
      <c r="U229" s="51">
        <f t="shared" si="63"/>
        <v>0.37388567977119436</v>
      </c>
      <c r="W229" s="51">
        <f t="shared" si="64"/>
        <v>-0.25202735036013285</v>
      </c>
      <c r="X229" s="39">
        <f t="shared" si="65"/>
        <v>0.12185832941106151</v>
      </c>
      <c r="Y229" s="39">
        <f t="shared" si="66"/>
        <v>0.12185832941106151</v>
      </c>
      <c r="AA229" s="85">
        <f>'Price Deck'!Q223/'Price Deck'!M223</f>
        <v>51.159202542937265</v>
      </c>
      <c r="AB229" s="72">
        <f t="shared" si="67"/>
        <v>7130.9373197190225</v>
      </c>
      <c r="AC229" s="72">
        <f t="shared" si="68"/>
        <v>868.96410891595269</v>
      </c>
      <c r="AD229" s="85">
        <f t="shared" si="69"/>
        <v>6.2341749558844644</v>
      </c>
    </row>
    <row r="230" spans="1:30">
      <c r="A230" t="str">
        <f>'Price Deck'!A224</f>
        <v>09/2034</v>
      </c>
      <c r="B230" s="51">
        <f>'Liquids Type Curve'!A237</f>
        <v>17.92189079878667</v>
      </c>
      <c r="C230" s="51">
        <f>'Liquids Type Curve'!B237</f>
        <v>215.06268958544004</v>
      </c>
      <c r="D230" s="51">
        <f>'Liquids Type Curve'!C237</f>
        <v>4.5627283643440322</v>
      </c>
      <c r="E230" s="51">
        <f>'Liquids Type Curve'!D237</f>
        <v>138.78298774879764</v>
      </c>
      <c r="F230" s="51">
        <f>'Liquids Type Curve'!E237</f>
        <v>118304.74462047209</v>
      </c>
      <c r="H230" s="51">
        <f t="shared" si="53"/>
        <v>17.92189079878667</v>
      </c>
      <c r="I230" s="51">
        <f t="shared" si="54"/>
        <v>215.06268958544004</v>
      </c>
      <c r="J230" s="51">
        <f t="shared" si="55"/>
        <v>1.5057003602335306</v>
      </c>
      <c r="K230" s="51">
        <f t="shared" si="56"/>
        <v>45.798385957103221</v>
      </c>
      <c r="L230" s="51">
        <f t="shared" si="57"/>
        <v>39040.56572475579</v>
      </c>
      <c r="N230" s="51">
        <f t="shared" si="58"/>
        <v>7.2813739637354482</v>
      </c>
      <c r="O230" s="51">
        <f>(('Price Deck'!Q224/'Propane Royalties'!$B$2))/'Price Deck'!M224</f>
        <v>321.78115215456677</v>
      </c>
      <c r="P230" s="39"/>
      <c r="Q230" s="51">
        <f t="shared" si="59"/>
        <v>0.37388567977119436</v>
      </c>
      <c r="R230" s="51">
        <f t="shared" si="60"/>
        <v>0.1</v>
      </c>
      <c r="S230" s="51">
        <f t="shared" si="61"/>
        <v>0.57203592735222486</v>
      </c>
      <c r="T230" s="51">
        <f t="shared" si="62"/>
        <v>0.40948947889156911</v>
      </c>
      <c r="U230" s="51">
        <f t="shared" si="63"/>
        <v>0.37388567977119436</v>
      </c>
      <c r="W230" s="51">
        <f t="shared" si="64"/>
        <v>-0.25207014514895715</v>
      </c>
      <c r="X230" s="39">
        <f t="shared" si="65"/>
        <v>0.12181553462223721</v>
      </c>
      <c r="Y230" s="39">
        <f t="shared" si="66"/>
        <v>0.12181553462223721</v>
      </c>
      <c r="AA230" s="85">
        <f>'Price Deck'!Q224/'Price Deck'!M224</f>
        <v>51.159202542937265</v>
      </c>
      <c r="AB230" s="72">
        <f t="shared" si="67"/>
        <v>7100.0269797547198</v>
      </c>
      <c r="AC230" s="72">
        <f t="shared" si="68"/>
        <v>864.89358237112936</v>
      </c>
      <c r="AD230" s="85">
        <f t="shared" si="69"/>
        <v>6.2319856086152203</v>
      </c>
    </row>
    <row r="231" spans="1:30">
      <c r="A231" t="str">
        <f>'Price Deck'!A225</f>
        <v>10/2034</v>
      </c>
      <c r="B231" s="51">
        <f>'Liquids Type Curve'!A238</f>
        <v>18.005224132120002</v>
      </c>
      <c r="C231" s="51">
        <f>'Liquids Type Curve'!B238</f>
        <v>216.06268958544001</v>
      </c>
      <c r="D231" s="51">
        <f>'Liquids Type Curve'!C238</f>
        <v>4.5430419440207581</v>
      </c>
      <c r="E231" s="51">
        <f>'Liquids Type Curve'!D238</f>
        <v>138.18419246396473</v>
      </c>
      <c r="F231" s="51">
        <f>'Liquids Type Curve'!E238</f>
        <v>118442.92881293605</v>
      </c>
      <c r="H231" s="51">
        <f t="shared" si="53"/>
        <v>18.005224132120002</v>
      </c>
      <c r="I231" s="51">
        <f t="shared" si="54"/>
        <v>216.06268958544001</v>
      </c>
      <c r="J231" s="51">
        <f t="shared" si="55"/>
        <v>1.4992038415268503</v>
      </c>
      <c r="K231" s="51">
        <f t="shared" si="56"/>
        <v>45.600783513108368</v>
      </c>
      <c r="L231" s="51">
        <f t="shared" si="57"/>
        <v>39086.1665082689</v>
      </c>
      <c r="N231" s="51">
        <f t="shared" si="58"/>
        <v>7.2499576318974164</v>
      </c>
      <c r="O231" s="51">
        <f>(('Price Deck'!Q225/'Propane Royalties'!$B$2))/'Price Deck'!M225</f>
        <v>321.78115215456677</v>
      </c>
      <c r="P231" s="39"/>
      <c r="Q231" s="51">
        <f t="shared" si="59"/>
        <v>0.37388567977119436</v>
      </c>
      <c r="R231" s="51">
        <f t="shared" si="60"/>
        <v>0.1</v>
      </c>
      <c r="S231" s="51">
        <f t="shared" si="61"/>
        <v>0.57203592735222486</v>
      </c>
      <c r="T231" s="51">
        <f t="shared" si="62"/>
        <v>0.40948947889156911</v>
      </c>
      <c r="U231" s="51">
        <f t="shared" si="63"/>
        <v>0.37388567977119436</v>
      </c>
      <c r="W231" s="51">
        <f t="shared" si="64"/>
        <v>-0.25211255719693848</v>
      </c>
      <c r="X231" s="39">
        <f t="shared" si="65"/>
        <v>0.12177312257425588</v>
      </c>
      <c r="Y231" s="39">
        <f t="shared" si="66"/>
        <v>0.12177312257425588</v>
      </c>
      <c r="AA231" s="85">
        <f>'Price Deck'!Q225/'Price Deck'!M225</f>
        <v>51.159202542937265</v>
      </c>
      <c r="AB231" s="72">
        <f t="shared" si="67"/>
        <v>7069.3930904961971</v>
      </c>
      <c r="AC231" s="72">
        <f t="shared" si="68"/>
        <v>860.86207133459095</v>
      </c>
      <c r="AD231" s="85">
        <f t="shared" si="69"/>
        <v>6.2298158420622824</v>
      </c>
    </row>
    <row r="232" spans="1:30">
      <c r="A232" t="str">
        <f>'Price Deck'!A226</f>
        <v>11/2034</v>
      </c>
      <c r="B232" s="51">
        <f>'Liquids Type Curve'!A239</f>
        <v>18.088557465453334</v>
      </c>
      <c r="C232" s="51">
        <f>'Liquids Type Curve'!B239</f>
        <v>217.06268958544001</v>
      </c>
      <c r="D232" s="51">
        <f>'Liquids Type Curve'!C239</f>
        <v>4.5235307805294429</v>
      </c>
      <c r="E232" s="51">
        <f>'Liquids Type Curve'!D239</f>
        <v>137.59072790777057</v>
      </c>
      <c r="F232" s="51">
        <f>'Liquids Type Curve'!E239</f>
        <v>118580.51954084382</v>
      </c>
      <c r="H232" s="51">
        <f t="shared" si="53"/>
        <v>18.088557465453334</v>
      </c>
      <c r="I232" s="51">
        <f t="shared" si="54"/>
        <v>217.06268958544001</v>
      </c>
      <c r="J232" s="51">
        <f t="shared" si="55"/>
        <v>1.4927651575747163</v>
      </c>
      <c r="K232" s="51">
        <f t="shared" si="56"/>
        <v>45.404940209564288</v>
      </c>
      <c r="L232" s="51">
        <f t="shared" si="57"/>
        <v>39131.571448478462</v>
      </c>
      <c r="N232" s="51">
        <f t="shared" si="58"/>
        <v>7.2188209815199667</v>
      </c>
      <c r="O232" s="51">
        <f>(('Price Deck'!Q226/'Propane Royalties'!$B$2))/'Price Deck'!M226</f>
        <v>321.78115215456677</v>
      </c>
      <c r="P232" s="39"/>
      <c r="Q232" s="51">
        <f t="shared" si="59"/>
        <v>0.37388567977119436</v>
      </c>
      <c r="R232" s="51">
        <f t="shared" si="60"/>
        <v>0.1</v>
      </c>
      <c r="S232" s="51">
        <f t="shared" si="61"/>
        <v>0.57203592735222486</v>
      </c>
      <c r="T232" s="51">
        <f t="shared" si="62"/>
        <v>0.40948947889156911</v>
      </c>
      <c r="U232" s="51">
        <f t="shared" si="63"/>
        <v>0.37388567977119436</v>
      </c>
      <c r="W232" s="51">
        <f t="shared" si="64"/>
        <v>-0.25215459167494808</v>
      </c>
      <c r="X232" s="39">
        <f t="shared" si="65"/>
        <v>0.12173108809624628</v>
      </c>
      <c r="Y232" s="39">
        <f t="shared" si="66"/>
        <v>0.12173108809624628</v>
      </c>
      <c r="AA232" s="85">
        <f>'Price Deck'!Q226/'Price Deck'!M226</f>
        <v>51.159202542937265</v>
      </c>
      <c r="AB232" s="72">
        <f t="shared" si="67"/>
        <v>7039.0319170638058</v>
      </c>
      <c r="AC232" s="72">
        <f t="shared" si="68"/>
        <v>856.86901440838346</v>
      </c>
      <c r="AD232" s="85">
        <f t="shared" si="69"/>
        <v>6.2276653916880029</v>
      </c>
    </row>
    <row r="233" spans="1:30">
      <c r="A233" t="str">
        <f>'Price Deck'!A227</f>
        <v>12/2034</v>
      </c>
      <c r="B233" s="51">
        <f>'Liquids Type Curve'!A240</f>
        <v>18.171890798786666</v>
      </c>
      <c r="C233" s="51">
        <f>'Liquids Type Curve'!B240</f>
        <v>218.06268958544001</v>
      </c>
      <c r="D233" s="51">
        <f>'Liquids Type Curve'!C240</f>
        <v>4.5041925169906545</v>
      </c>
      <c r="E233" s="51">
        <f>'Liquids Type Curve'!D240</f>
        <v>137.00252239179909</v>
      </c>
      <c r="F233" s="51">
        <f>'Liquids Type Curve'!E240</f>
        <v>118717.52206323562</v>
      </c>
      <c r="H233" s="51">
        <f t="shared" si="53"/>
        <v>18.171890798786666</v>
      </c>
      <c r="I233" s="51">
        <f t="shared" si="54"/>
        <v>218.06268958544001</v>
      </c>
      <c r="J233" s="51">
        <f t="shared" si="55"/>
        <v>1.486383530606916</v>
      </c>
      <c r="K233" s="51">
        <f t="shared" si="56"/>
        <v>45.210832389293699</v>
      </c>
      <c r="L233" s="51">
        <f t="shared" si="57"/>
        <v>39176.782280867759</v>
      </c>
      <c r="N233" s="51">
        <f t="shared" si="58"/>
        <v>7.1879602514060386</v>
      </c>
      <c r="O233" s="51">
        <f>(('Price Deck'!Q227/'Propane Royalties'!$B$2))/'Price Deck'!M227</f>
        <v>321.78115215456677</v>
      </c>
      <c r="P233" s="39"/>
      <c r="Q233" s="51">
        <f t="shared" si="59"/>
        <v>0.37388567977119436</v>
      </c>
      <c r="R233" s="51">
        <f t="shared" si="60"/>
        <v>0.1</v>
      </c>
      <c r="S233" s="51">
        <f t="shared" si="61"/>
        <v>0.57203592735222486</v>
      </c>
      <c r="T233" s="51">
        <f t="shared" si="62"/>
        <v>0.40948947889156911</v>
      </c>
      <c r="U233" s="51">
        <f t="shared" si="63"/>
        <v>0.37388567977119436</v>
      </c>
      <c r="W233" s="51">
        <f t="shared" si="64"/>
        <v>-0.25219625366060189</v>
      </c>
      <c r="X233" s="39">
        <f t="shared" si="65"/>
        <v>0.12168942611059247</v>
      </c>
      <c r="Y233" s="39">
        <f t="shared" si="66"/>
        <v>0.12168942611059247</v>
      </c>
      <c r="AA233" s="85">
        <f>'Price Deck'!Q227/'Price Deck'!M227</f>
        <v>51.159202542937265</v>
      </c>
      <c r="AB233" s="72">
        <f t="shared" si="67"/>
        <v>7008.9397919353478</v>
      </c>
      <c r="AC233" s="72">
        <f t="shared" si="68"/>
        <v>852.91386092430787</v>
      </c>
      <c r="AD233" s="85">
        <f t="shared" si="69"/>
        <v>6.2255339977255986</v>
      </c>
    </row>
    <row r="234" spans="1:30">
      <c r="A234" t="str">
        <f>'Price Deck'!A228</f>
        <v>01/2035</v>
      </c>
      <c r="B234" s="51">
        <f>'Liquids Type Curve'!A241</f>
        <v>18.255224132119999</v>
      </c>
      <c r="C234" s="51">
        <f>'Liquids Type Curve'!B241</f>
        <v>219.06268958543998</v>
      </c>
      <c r="D234" s="51">
        <f>'Liquids Type Curve'!C241</f>
        <v>4.4850248388365159</v>
      </c>
      <c r="E234" s="51">
        <f>'Liquids Type Curve'!D241</f>
        <v>136.41950551461071</v>
      </c>
      <c r="F234" s="51">
        <f>'Liquids Type Curve'!E241</f>
        <v>118853.94156875023</v>
      </c>
      <c r="H234" s="51">
        <f t="shared" si="53"/>
        <v>18.255224132119999</v>
      </c>
      <c r="I234" s="51">
        <f t="shared" si="54"/>
        <v>219.06268958543998</v>
      </c>
      <c r="J234" s="51">
        <f t="shared" si="55"/>
        <v>1.4800581968160502</v>
      </c>
      <c r="K234" s="51">
        <f t="shared" si="56"/>
        <v>45.018436819821538</v>
      </c>
      <c r="L234" s="51">
        <f t="shared" si="57"/>
        <v>39221.800717687576</v>
      </c>
      <c r="N234" s="51">
        <f t="shared" si="58"/>
        <v>7.1573717478809407</v>
      </c>
      <c r="O234" s="51">
        <f>(('Price Deck'!Q228/'Propane Royalties'!$B$2))/'Price Deck'!M228</f>
        <v>321.78115215456677</v>
      </c>
      <c r="P234" s="39"/>
      <c r="Q234" s="51">
        <f t="shared" si="59"/>
        <v>0.37388567977119436</v>
      </c>
      <c r="R234" s="51">
        <f t="shared" si="60"/>
        <v>0.1</v>
      </c>
      <c r="S234" s="51">
        <f t="shared" si="61"/>
        <v>0.57203592735222486</v>
      </c>
      <c r="T234" s="51">
        <f t="shared" si="62"/>
        <v>0.40948947889156911</v>
      </c>
      <c r="U234" s="51">
        <f t="shared" si="63"/>
        <v>0.37388567977119436</v>
      </c>
      <c r="W234" s="51">
        <f t="shared" si="64"/>
        <v>-0.25223754814036076</v>
      </c>
      <c r="X234" s="39">
        <f t="shared" si="65"/>
        <v>0.1216481316308336</v>
      </c>
      <c r="Y234" s="39">
        <f t="shared" si="66"/>
        <v>0.1216481316308336</v>
      </c>
      <c r="AA234" s="85">
        <f>'Price Deck'!Q228/'Price Deck'!M228</f>
        <v>51.159202542937265</v>
      </c>
      <c r="AB234" s="72">
        <f t="shared" si="67"/>
        <v>6979.1131134293164</v>
      </c>
      <c r="AC234" s="72">
        <f t="shared" si="68"/>
        <v>848.99607068892635</v>
      </c>
      <c r="AD234" s="85">
        <f t="shared" si="69"/>
        <v>6.2234214050717096</v>
      </c>
    </row>
    <row r="235" spans="1:30">
      <c r="A235" t="str">
        <f>'Price Deck'!A229</f>
        <v>02/2035</v>
      </c>
      <c r="B235" s="51">
        <f>'Liquids Type Curve'!A242</f>
        <v>18.338557465453331</v>
      </c>
      <c r="C235" s="51">
        <f>'Liquids Type Curve'!B242</f>
        <v>220.06268958543995</v>
      </c>
      <c r="D235" s="51">
        <f>'Liquids Type Curve'!C242</f>
        <v>4.4660254728622615</v>
      </c>
      <c r="E235" s="51">
        <f>'Liquids Type Curve'!D242</f>
        <v>135.84160813289378</v>
      </c>
      <c r="F235" s="51">
        <f>'Liquids Type Curve'!E242</f>
        <v>118989.78317688312</v>
      </c>
      <c r="H235" s="51">
        <f t="shared" si="53"/>
        <v>18.338557465453331</v>
      </c>
      <c r="I235" s="51">
        <f t="shared" si="54"/>
        <v>220.06268958543995</v>
      </c>
      <c r="J235" s="51">
        <f t="shared" si="55"/>
        <v>1.4737884060445463</v>
      </c>
      <c r="K235" s="51">
        <f t="shared" si="56"/>
        <v>44.827730683854952</v>
      </c>
      <c r="L235" s="51">
        <f t="shared" si="57"/>
        <v>39266.628448371433</v>
      </c>
      <c r="N235" s="51">
        <f t="shared" si="58"/>
        <v>7.1270518432787933</v>
      </c>
      <c r="O235" s="51">
        <f>(('Price Deck'!Q229/'Propane Royalties'!$B$2))/'Price Deck'!M229</f>
        <v>326.60786943688527</v>
      </c>
      <c r="P235" s="39"/>
      <c r="Q235" s="51">
        <f t="shared" si="59"/>
        <v>0.37673344296776229</v>
      </c>
      <c r="R235" s="51">
        <f t="shared" si="60"/>
        <v>0.1</v>
      </c>
      <c r="S235" s="51">
        <f t="shared" si="61"/>
        <v>0.58178589626250832</v>
      </c>
      <c r="T235" s="51">
        <f t="shared" si="62"/>
        <v>0.41484713507494264</v>
      </c>
      <c r="U235" s="51">
        <f t="shared" si="63"/>
        <v>0.37673344296776229</v>
      </c>
      <c r="W235" s="51">
        <f t="shared" si="64"/>
        <v>-0.25227848001157366</v>
      </c>
      <c r="X235" s="39">
        <f t="shared" si="65"/>
        <v>0.12445496295618863</v>
      </c>
      <c r="Y235" s="39">
        <f t="shared" si="66"/>
        <v>0.12445496295618863</v>
      </c>
      <c r="AA235" s="85">
        <f>'Price Deck'!Q229/'Price Deck'!M229</f>
        <v>51.926590581081314</v>
      </c>
      <c r="AB235" s="72">
        <f t="shared" si="67"/>
        <v>7053.7915693924615</v>
      </c>
      <c r="AC235" s="72">
        <f t="shared" si="68"/>
        <v>877.87936846941443</v>
      </c>
      <c r="AD235" s="85">
        <f t="shared" si="69"/>
        <v>6.4625219072096485</v>
      </c>
    </row>
    <row r="236" spans="1:30">
      <c r="A236" t="str">
        <f>'Price Deck'!A230</f>
        <v>03/2035</v>
      </c>
      <c r="B236" s="51">
        <f>'Liquids Type Curve'!A243</f>
        <v>18.421890798786663</v>
      </c>
      <c r="C236" s="51">
        <f>'Liquids Type Curve'!B243</f>
        <v>221.06268958543995</v>
      </c>
      <c r="D236" s="51">
        <f>'Liquids Type Curve'!C243</f>
        <v>4.4471921863032486</v>
      </c>
      <c r="E236" s="51">
        <f>'Liquids Type Curve'!D243</f>
        <v>135.2687623333905</v>
      </c>
      <c r="F236" s="51">
        <f>'Liquids Type Curve'!E243</f>
        <v>119125.05193921652</v>
      </c>
      <c r="H236" s="51">
        <f t="shared" si="53"/>
        <v>18.421890798786663</v>
      </c>
      <c r="I236" s="51">
        <f t="shared" si="54"/>
        <v>221.06268958543995</v>
      </c>
      <c r="J236" s="51">
        <f t="shared" si="55"/>
        <v>1.4675734214800722</v>
      </c>
      <c r="K236" s="51">
        <f t="shared" si="56"/>
        <v>44.638691570018864</v>
      </c>
      <c r="L236" s="51">
        <f t="shared" si="57"/>
        <v>39311.267139941454</v>
      </c>
      <c r="N236" s="51">
        <f t="shared" si="58"/>
        <v>7.0969969744695955</v>
      </c>
      <c r="O236" s="51">
        <f>(('Price Deck'!Q230/'Propane Royalties'!$B$2))/'Price Deck'!M230</f>
        <v>326.60786943688527</v>
      </c>
      <c r="P236" s="39"/>
      <c r="Q236" s="51">
        <f t="shared" si="59"/>
        <v>0.37673344296776229</v>
      </c>
      <c r="R236" s="51">
        <f t="shared" si="60"/>
        <v>0.1</v>
      </c>
      <c r="S236" s="51">
        <f t="shared" si="61"/>
        <v>0.58178589626250832</v>
      </c>
      <c r="T236" s="51">
        <f t="shared" si="62"/>
        <v>0.41484713507494264</v>
      </c>
      <c r="U236" s="51">
        <f t="shared" si="63"/>
        <v>0.37673344296776229</v>
      </c>
      <c r="W236" s="51">
        <f t="shared" si="64"/>
        <v>-0.25231905408446609</v>
      </c>
      <c r="X236" s="39">
        <f t="shared" si="65"/>
        <v>0.1244143888832962</v>
      </c>
      <c r="Y236" s="39">
        <f t="shared" si="66"/>
        <v>0.1244143888832962</v>
      </c>
      <c r="AA236" s="85">
        <f>'Price Deck'!Q230/'Price Deck'!M230</f>
        <v>51.926590581081314</v>
      </c>
      <c r="AB236" s="72">
        <f t="shared" si="67"/>
        <v>7024.0456400955618</v>
      </c>
      <c r="AC236" s="72">
        <f t="shared" si="68"/>
        <v>873.89234580087043</v>
      </c>
      <c r="AD236" s="85">
        <f t="shared" si="69"/>
        <v>6.4604150339383564</v>
      </c>
    </row>
    <row r="237" spans="1:30">
      <c r="A237" t="str">
        <f>'Price Deck'!A231</f>
        <v>04/2035</v>
      </c>
      <c r="B237" s="51">
        <f>'Liquids Type Curve'!A244</f>
        <v>18.505224132119995</v>
      </c>
      <c r="C237" s="51">
        <f>'Liquids Type Curve'!B244</f>
        <v>222.06268958543995</v>
      </c>
      <c r="D237" s="51">
        <f>'Liquids Type Curve'!C244</f>
        <v>4.4285227859366376</v>
      </c>
      <c r="E237" s="51">
        <f>'Liquids Type Curve'!D244</f>
        <v>134.70090140557272</v>
      </c>
      <c r="F237" s="51">
        <f>'Liquids Type Curve'!E244</f>
        <v>119259.75284062208</v>
      </c>
      <c r="H237" s="51">
        <f t="shared" si="53"/>
        <v>18.505224132119995</v>
      </c>
      <c r="I237" s="51">
        <f t="shared" si="54"/>
        <v>222.06268958543995</v>
      </c>
      <c r="J237" s="51">
        <f t="shared" si="55"/>
        <v>1.4614125193590906</v>
      </c>
      <c r="K237" s="51">
        <f t="shared" si="56"/>
        <v>44.451297463838998</v>
      </c>
      <c r="L237" s="51">
        <f t="shared" si="57"/>
        <v>39355.718437405289</v>
      </c>
      <c r="N237" s="51">
        <f t="shared" si="58"/>
        <v>7.0672036414256407</v>
      </c>
      <c r="O237" s="51">
        <f>(('Price Deck'!Q231/'Propane Royalties'!$B$2))/'Price Deck'!M231</f>
        <v>326.60786943688527</v>
      </c>
      <c r="P237" s="39"/>
      <c r="Q237" s="51">
        <f t="shared" si="59"/>
        <v>0.37673344296776229</v>
      </c>
      <c r="R237" s="51">
        <f t="shared" si="60"/>
        <v>0.1</v>
      </c>
      <c r="S237" s="51">
        <f t="shared" si="61"/>
        <v>0.58178589626250832</v>
      </c>
      <c r="T237" s="51">
        <f t="shared" si="62"/>
        <v>0.41484713507494264</v>
      </c>
      <c r="U237" s="51">
        <f t="shared" si="63"/>
        <v>0.37673344296776229</v>
      </c>
      <c r="W237" s="51">
        <f t="shared" si="64"/>
        <v>-0.25235927508407541</v>
      </c>
      <c r="X237" s="39">
        <f t="shared" si="65"/>
        <v>0.12437416788368688</v>
      </c>
      <c r="Y237" s="39">
        <f t="shared" si="66"/>
        <v>0.12437416788368688</v>
      </c>
      <c r="AA237" s="85">
        <f>'Price Deck'!Q231/'Price Deck'!M231</f>
        <v>51.926590581081314</v>
      </c>
      <c r="AB237" s="72">
        <f t="shared" si="67"/>
        <v>6994.5585581897749</v>
      </c>
      <c r="AC237" s="72">
        <f t="shared" si="68"/>
        <v>869.9424003885739</v>
      </c>
      <c r="AD237" s="85">
        <f t="shared" si="69"/>
        <v>6.4583264945588805</v>
      </c>
    </row>
    <row r="238" spans="1:30">
      <c r="A238" t="str">
        <f>'Price Deck'!A232</f>
        <v>05/2035</v>
      </c>
      <c r="B238" s="51">
        <f>'Liquids Type Curve'!A245</f>
        <v>18.588557465453327</v>
      </c>
      <c r="C238" s="51">
        <f>'Liquids Type Curve'!B245</f>
        <v>223.06268958543993</v>
      </c>
      <c r="D238" s="51">
        <f>'Liquids Type Curve'!C245</f>
        <v>4.4100151172069522</v>
      </c>
      <c r="E238" s="51">
        <f>'Liquids Type Curve'!D245</f>
        <v>134.13795981504481</v>
      </c>
      <c r="F238" s="51">
        <f>'Liquids Type Curve'!E245</f>
        <v>119393.89080043712</v>
      </c>
      <c r="H238" s="51">
        <f t="shared" si="53"/>
        <v>18.588557465453327</v>
      </c>
      <c r="I238" s="51">
        <f t="shared" si="54"/>
        <v>223.06268958543993</v>
      </c>
      <c r="J238" s="51">
        <f t="shared" si="55"/>
        <v>1.4553049886782943</v>
      </c>
      <c r="K238" s="51">
        <f t="shared" si="56"/>
        <v>44.265526738964788</v>
      </c>
      <c r="L238" s="51">
        <f t="shared" si="57"/>
        <v>39399.983964144252</v>
      </c>
      <c r="N238" s="51">
        <f t="shared" si="58"/>
        <v>7.0376684058260652</v>
      </c>
      <c r="O238" s="51">
        <f>(('Price Deck'!Q232/'Propane Royalties'!$B$2))/'Price Deck'!M232</f>
        <v>326.60786943688527</v>
      </c>
      <c r="P238" s="39"/>
      <c r="Q238" s="51">
        <f t="shared" si="59"/>
        <v>0.37673344296776229</v>
      </c>
      <c r="R238" s="51">
        <f t="shared" si="60"/>
        <v>0.1</v>
      </c>
      <c r="S238" s="51">
        <f t="shared" si="61"/>
        <v>0.58178589626250832</v>
      </c>
      <c r="T238" s="51">
        <f t="shared" si="62"/>
        <v>0.41484713507494264</v>
      </c>
      <c r="U238" s="51">
        <f t="shared" si="63"/>
        <v>0.37673344296776229</v>
      </c>
      <c r="W238" s="51">
        <f t="shared" si="64"/>
        <v>-0.25239914765213484</v>
      </c>
      <c r="X238" s="39">
        <f t="shared" si="65"/>
        <v>0.12433429531562745</v>
      </c>
      <c r="Y238" s="39">
        <f t="shared" si="66"/>
        <v>0.12433429531562745</v>
      </c>
      <c r="AA238" s="85">
        <f>'Price Deck'!Q232/'Price Deck'!M232</f>
        <v>51.926590581081314</v>
      </c>
      <c r="AB238" s="72">
        <f t="shared" si="67"/>
        <v>6965.3269206973691</v>
      </c>
      <c r="AC238" s="72">
        <f t="shared" si="68"/>
        <v>866.02901432787667</v>
      </c>
      <c r="AD238" s="85">
        <f t="shared" si="69"/>
        <v>6.4562560480418423</v>
      </c>
    </row>
    <row r="239" spans="1:30">
      <c r="A239" t="str">
        <f>'Price Deck'!A233</f>
        <v>06/2035</v>
      </c>
      <c r="B239" s="51">
        <f>'Liquids Type Curve'!A246</f>
        <v>18.671890798786659</v>
      </c>
      <c r="C239" s="51">
        <f>'Liquids Type Curve'!B246</f>
        <v>224.0626895854399</v>
      </c>
      <c r="D239" s="51">
        <f>'Liquids Type Curve'!C246</f>
        <v>4.3916670633748236</v>
      </c>
      <c r="E239" s="51">
        <f>'Liquids Type Curve'!D246</f>
        <v>133.57987317765088</v>
      </c>
      <c r="F239" s="51">
        <f>'Liquids Type Curve'!E246</f>
        <v>119527.47067361476</v>
      </c>
      <c r="H239" s="51">
        <f t="shared" si="53"/>
        <v>18.671890798786659</v>
      </c>
      <c r="I239" s="51">
        <f t="shared" si="54"/>
        <v>224.0626895854399</v>
      </c>
      <c r="J239" s="51">
        <f t="shared" si="55"/>
        <v>1.4492501309136918</v>
      </c>
      <c r="K239" s="51">
        <f t="shared" si="56"/>
        <v>44.081358148624794</v>
      </c>
      <c r="L239" s="51">
        <f t="shared" si="57"/>
        <v>39444.065322292874</v>
      </c>
      <c r="N239" s="51">
        <f t="shared" si="58"/>
        <v>7.0083878896983682</v>
      </c>
      <c r="O239" s="51">
        <f>(('Price Deck'!Q233/'Propane Royalties'!$B$2))/'Price Deck'!M233</f>
        <v>326.60786943688527</v>
      </c>
      <c r="P239" s="39"/>
      <c r="Q239" s="51">
        <f t="shared" si="59"/>
        <v>0.37673344296776229</v>
      </c>
      <c r="R239" s="51">
        <f t="shared" si="60"/>
        <v>0.1</v>
      </c>
      <c r="S239" s="51">
        <f t="shared" si="61"/>
        <v>0.58178589626250832</v>
      </c>
      <c r="T239" s="51">
        <f t="shared" si="62"/>
        <v>0.41484713507494264</v>
      </c>
      <c r="U239" s="51">
        <f t="shared" si="63"/>
        <v>0.37673344296776229</v>
      </c>
      <c r="W239" s="51">
        <f t="shared" si="64"/>
        <v>-0.25243867634890721</v>
      </c>
      <c r="X239" s="39">
        <f t="shared" si="65"/>
        <v>0.12429476661885508</v>
      </c>
      <c r="Y239" s="39">
        <f t="shared" si="66"/>
        <v>0.12429476661885508</v>
      </c>
      <c r="AA239" s="85">
        <f>'Price Deck'!Q233/'Price Deck'!M233</f>
        <v>51.926590581081314</v>
      </c>
      <c r="AB239" s="72">
        <f t="shared" si="67"/>
        <v>6936.3473843686425</v>
      </c>
      <c r="AC239" s="72">
        <f t="shared" si="68"/>
        <v>862.15167932740633</v>
      </c>
      <c r="AD239" s="85">
        <f t="shared" si="69"/>
        <v>6.4542034575883402</v>
      </c>
    </row>
    <row r="240" spans="1:30">
      <c r="A240" t="str">
        <f>'Price Deck'!A234</f>
        <v>07/2035</v>
      </c>
      <c r="B240" s="51">
        <f>'Liquids Type Curve'!A247</f>
        <v>18.755224132119992</v>
      </c>
      <c r="C240" s="51">
        <f>'Liquids Type Curve'!B247</f>
        <v>225.0626895854399</v>
      </c>
      <c r="D240" s="51">
        <f>'Liquids Type Curve'!C247</f>
        <v>4.3734765446881179</v>
      </c>
      <c r="E240" s="51">
        <f>'Liquids Type Curve'!D247</f>
        <v>133.02657823426358</v>
      </c>
      <c r="F240" s="51">
        <f>'Liquids Type Curve'!E247</f>
        <v>119660.49725184902</v>
      </c>
      <c r="H240" s="51">
        <f t="shared" si="53"/>
        <v>18.755224132119992</v>
      </c>
      <c r="I240" s="51">
        <f t="shared" si="54"/>
        <v>225.0626895854399</v>
      </c>
      <c r="J240" s="51">
        <f t="shared" si="55"/>
        <v>1.4432472597470789</v>
      </c>
      <c r="K240" s="51">
        <f t="shared" si="56"/>
        <v>43.898770817306982</v>
      </c>
      <c r="L240" s="51">
        <f t="shared" si="57"/>
        <v>39487.964093110182</v>
      </c>
      <c r="N240" s="51">
        <f t="shared" si="58"/>
        <v>6.979358774095676</v>
      </c>
      <c r="O240" s="51">
        <f>(('Price Deck'!Q234/'Propane Royalties'!$B$2))/'Price Deck'!M234</f>
        <v>326.60786943688527</v>
      </c>
      <c r="P240" s="39"/>
      <c r="Q240" s="51">
        <f t="shared" si="59"/>
        <v>0.37673344296776229</v>
      </c>
      <c r="R240" s="51">
        <f t="shared" si="60"/>
        <v>0.1</v>
      </c>
      <c r="S240" s="51">
        <f t="shared" si="61"/>
        <v>0.58178589626250832</v>
      </c>
      <c r="T240" s="51">
        <f t="shared" si="62"/>
        <v>0.41484713507494264</v>
      </c>
      <c r="U240" s="51">
        <f t="shared" si="63"/>
        <v>0.37673344296776229</v>
      </c>
      <c r="W240" s="51">
        <f t="shared" si="64"/>
        <v>-0.25247786565497082</v>
      </c>
      <c r="X240" s="39">
        <f t="shared" si="65"/>
        <v>0.12425557731279147</v>
      </c>
      <c r="Y240" s="39">
        <f t="shared" si="66"/>
        <v>0.12425557731279147</v>
      </c>
      <c r="AA240" s="85">
        <f>'Price Deck'!Q234/'Price Deck'!M234</f>
        <v>51.926590581081314</v>
      </c>
      <c r="AB240" s="72">
        <f t="shared" si="67"/>
        <v>6907.6166643727875</v>
      </c>
      <c r="AC240" s="72">
        <f t="shared" si="68"/>
        <v>858.30989648709954</v>
      </c>
      <c r="AD240" s="85">
        <f t="shared" si="69"/>
        <v>6.4521684905372174</v>
      </c>
    </row>
    <row r="241" spans="1:30">
      <c r="A241" t="str">
        <f>'Price Deck'!A235</f>
        <v>08/2035</v>
      </c>
      <c r="B241" s="51">
        <f>'Liquids Type Curve'!A248</f>
        <v>18.838557465453324</v>
      </c>
      <c r="C241" s="51">
        <f>'Liquids Type Curve'!B248</f>
        <v>226.0626895854399</v>
      </c>
      <c r="D241" s="51">
        <f>'Liquids Type Curve'!C248</f>
        <v>4.3554415175748922</v>
      </c>
      <c r="E241" s="51">
        <f>'Liquids Type Curve'!D248</f>
        <v>132.4780128262363</v>
      </c>
      <c r="F241" s="51">
        <f>'Liquids Type Curve'!E248</f>
        <v>119792.97526467526</v>
      </c>
      <c r="H241" s="51">
        <f t="shared" si="53"/>
        <v>18.838557465453324</v>
      </c>
      <c r="I241" s="51">
        <f t="shared" si="54"/>
        <v>226.0626895854399</v>
      </c>
      <c r="J241" s="51">
        <f t="shared" si="55"/>
        <v>1.4372957007997145</v>
      </c>
      <c r="K241" s="51">
        <f t="shared" si="56"/>
        <v>43.717744232657978</v>
      </c>
      <c r="L241" s="51">
        <f t="shared" si="57"/>
        <v>39531.68183734284</v>
      </c>
      <c r="N241" s="51">
        <f t="shared" si="58"/>
        <v>6.9505777978088297</v>
      </c>
      <c r="O241" s="51">
        <f>(('Price Deck'!Q235/'Propane Royalties'!$B$2))/'Price Deck'!M235</f>
        <v>326.60786943688527</v>
      </c>
      <c r="P241" s="39"/>
      <c r="Q241" s="51">
        <f t="shared" si="59"/>
        <v>0.37673344296776229</v>
      </c>
      <c r="R241" s="51">
        <f t="shared" si="60"/>
        <v>0.1</v>
      </c>
      <c r="S241" s="51">
        <f t="shared" si="61"/>
        <v>0.58178589626250832</v>
      </c>
      <c r="T241" s="51">
        <f t="shared" si="62"/>
        <v>0.41484713507494264</v>
      </c>
      <c r="U241" s="51">
        <f t="shared" si="63"/>
        <v>0.37673344296776229</v>
      </c>
      <c r="W241" s="51">
        <f t="shared" si="64"/>
        <v>-0.2525167199729581</v>
      </c>
      <c r="X241" s="39">
        <f t="shared" si="65"/>
        <v>0.12421672299480419</v>
      </c>
      <c r="Y241" s="39">
        <f t="shared" si="66"/>
        <v>0.12421672299480419</v>
      </c>
      <c r="AA241" s="85">
        <f>'Price Deck'!Q235/'Price Deck'!M235</f>
        <v>51.926590581081314</v>
      </c>
      <c r="AB241" s="72">
        <f t="shared" si="67"/>
        <v>6879.131533023211</v>
      </c>
      <c r="AC241" s="72">
        <f t="shared" si="68"/>
        <v>854.50317608236685</v>
      </c>
      <c r="AD241" s="85">
        <f t="shared" si="69"/>
        <v>6.4501509182747858</v>
      </c>
    </row>
    <row r="242" spans="1:30">
      <c r="A242" t="str">
        <f>'Price Deck'!A236</f>
        <v>09/2035</v>
      </c>
      <c r="B242" s="51">
        <f>'Liquids Type Curve'!A249</f>
        <v>18.921890798786656</v>
      </c>
      <c r="C242" s="51">
        <f>'Liquids Type Curve'!B249</f>
        <v>227.06268958543987</v>
      </c>
      <c r="D242" s="51">
        <f>'Liquids Type Curve'!C249</f>
        <v>4.3375599738573545</v>
      </c>
      <c r="E242" s="51">
        <f>'Liquids Type Curve'!D249</f>
        <v>131.93411587149453</v>
      </c>
      <c r="F242" s="51">
        <f>'Liquids Type Curve'!E249</f>
        <v>119924.90938054676</v>
      </c>
      <c r="H242" s="51">
        <f t="shared" si="53"/>
        <v>18.921890798786656</v>
      </c>
      <c r="I242" s="51">
        <f t="shared" si="54"/>
        <v>227.06268958543987</v>
      </c>
      <c r="J242" s="51">
        <f t="shared" si="55"/>
        <v>1.431394791372927</v>
      </c>
      <c r="K242" s="51">
        <f t="shared" si="56"/>
        <v>43.538258237593197</v>
      </c>
      <c r="L242" s="51">
        <f t="shared" si="57"/>
        <v>39575.220095580429</v>
      </c>
      <c r="N242" s="51">
        <f t="shared" si="58"/>
        <v>6.92204175611199</v>
      </c>
      <c r="O242" s="51">
        <f>(('Price Deck'!Q236/'Propane Royalties'!$B$2))/'Price Deck'!M236</f>
        <v>326.60786943688527</v>
      </c>
      <c r="P242" s="39"/>
      <c r="Q242" s="51">
        <f t="shared" si="59"/>
        <v>0.37673344296776229</v>
      </c>
      <c r="R242" s="51">
        <f t="shared" si="60"/>
        <v>0.1</v>
      </c>
      <c r="S242" s="51">
        <f t="shared" si="61"/>
        <v>0.58178589626250832</v>
      </c>
      <c r="T242" s="51">
        <f t="shared" si="62"/>
        <v>0.41484713507494264</v>
      </c>
      <c r="U242" s="51">
        <f t="shared" si="63"/>
        <v>0.37673344296776229</v>
      </c>
      <c r="W242" s="51">
        <f t="shared" si="64"/>
        <v>-0.25255524362924886</v>
      </c>
      <c r="X242" s="39">
        <f t="shared" si="65"/>
        <v>0.12417819933851343</v>
      </c>
      <c r="Y242" s="39">
        <f t="shared" si="66"/>
        <v>0.12417819933851343</v>
      </c>
      <c r="AA242" s="85">
        <f>'Price Deck'!Q236/'Price Deck'!M236</f>
        <v>51.926590581081314</v>
      </c>
      <c r="AB242" s="72">
        <f t="shared" si="67"/>
        <v>6850.8888185360383</v>
      </c>
      <c r="AC242" s="72">
        <f t="shared" si="68"/>
        <v>850.73103735416089</v>
      </c>
      <c r="AD242" s="85">
        <f t="shared" si="69"/>
        <v>6.4481505161468888</v>
      </c>
    </row>
    <row r="243" spans="1:30">
      <c r="A243" t="str">
        <f>'Price Deck'!A237</f>
        <v>10/2035</v>
      </c>
      <c r="B243" s="51">
        <f>'Liquids Type Curve'!A250</f>
        <v>19.005224132119988</v>
      </c>
      <c r="C243" s="51">
        <f>'Liquids Type Curve'!B250</f>
        <v>228.06268958543984</v>
      </c>
      <c r="D243" s="51">
        <f>'Liquids Type Curve'!C250</f>
        <v>4.3198299399863549</v>
      </c>
      <c r="E243" s="51">
        <f>'Liquids Type Curve'!D250</f>
        <v>131.39482734125164</v>
      </c>
      <c r="F243" s="51">
        <f>'Liquids Type Curve'!E250</f>
        <v>120056.30420788801</v>
      </c>
      <c r="H243" s="51">
        <f t="shared" si="53"/>
        <v>19.005224132119988</v>
      </c>
      <c r="I243" s="51">
        <f t="shared" si="54"/>
        <v>228.06268958543984</v>
      </c>
      <c r="J243" s="51">
        <f t="shared" si="55"/>
        <v>1.4255438801954972</v>
      </c>
      <c r="K243" s="51">
        <f t="shared" si="56"/>
        <v>43.360293022613043</v>
      </c>
      <c r="L243" s="51">
        <f t="shared" si="57"/>
        <v>39618.580388603048</v>
      </c>
      <c r="N243" s="51">
        <f t="shared" si="58"/>
        <v>6.8937474995410097</v>
      </c>
      <c r="O243" s="51">
        <f>(('Price Deck'!Q237/'Propane Royalties'!$B$2))/'Price Deck'!M237</f>
        <v>326.60786943688527</v>
      </c>
      <c r="P243" s="39"/>
      <c r="Q243" s="51">
        <f t="shared" si="59"/>
        <v>0.37673344296776229</v>
      </c>
      <c r="R243" s="51">
        <f t="shared" si="60"/>
        <v>0.1</v>
      </c>
      <c r="S243" s="51">
        <f t="shared" si="61"/>
        <v>0.58178589626250832</v>
      </c>
      <c r="T243" s="51">
        <f t="shared" si="62"/>
        <v>0.41484713507494264</v>
      </c>
      <c r="U243" s="51">
        <f t="shared" si="63"/>
        <v>0.37673344296776229</v>
      </c>
      <c r="W243" s="51">
        <f t="shared" si="64"/>
        <v>-0.25259344087561963</v>
      </c>
      <c r="X243" s="39">
        <f t="shared" si="65"/>
        <v>0.12414000209214265</v>
      </c>
      <c r="Y243" s="39">
        <f t="shared" si="66"/>
        <v>0.12414000209214265</v>
      </c>
      <c r="AA243" s="85">
        <f>'Price Deck'!Q237/'Price Deck'!M237</f>
        <v>51.926590581081314</v>
      </c>
      <c r="AB243" s="72">
        <f t="shared" si="67"/>
        <v>6822.8854038210429</v>
      </c>
      <c r="AC243" s="72">
        <f t="shared" si="68"/>
        <v>846.99300830479388</v>
      </c>
      <c r="AD243" s="85">
        <f t="shared" si="69"/>
        <v>6.4461670633732693</v>
      </c>
    </row>
    <row r="244" spans="1:30">
      <c r="A244" t="str">
        <f>'Price Deck'!A238</f>
        <v>11/2035</v>
      </c>
      <c r="B244" s="51">
        <f>'Liquids Type Curve'!A251</f>
        <v>19.08855746545332</v>
      </c>
      <c r="C244" s="51">
        <f>'Liquids Type Curve'!B251</f>
        <v>229.06268958543984</v>
      </c>
      <c r="D244" s="51">
        <f>'Liquids Type Curve'!C251</f>
        <v>4.3022494762956418</v>
      </c>
      <c r="E244" s="51">
        <f>'Liquids Type Curve'!D251</f>
        <v>130.86008823732578</v>
      </c>
      <c r="F244" s="51">
        <f>'Liquids Type Curve'!E251</f>
        <v>120187.16429612534</v>
      </c>
      <c r="H244" s="51">
        <f t="shared" si="53"/>
        <v>19.08855746545332</v>
      </c>
      <c r="I244" s="51">
        <f t="shared" si="54"/>
        <v>229.06268958543984</v>
      </c>
      <c r="J244" s="51">
        <f t="shared" si="55"/>
        <v>1.4197423271775618</v>
      </c>
      <c r="K244" s="51">
        <f t="shared" si="56"/>
        <v>43.183829118317512</v>
      </c>
      <c r="L244" s="51">
        <f t="shared" si="57"/>
        <v>39661.764217721364</v>
      </c>
      <c r="N244" s="51">
        <f t="shared" si="58"/>
        <v>6.8656919327033465</v>
      </c>
      <c r="O244" s="51">
        <f>(('Price Deck'!Q238/'Propane Royalties'!$B$2))/'Price Deck'!M238</f>
        <v>326.60786943688527</v>
      </c>
      <c r="P244" s="39"/>
      <c r="Q244" s="51">
        <f t="shared" si="59"/>
        <v>0.37673344296776229</v>
      </c>
      <c r="R244" s="51">
        <f t="shared" si="60"/>
        <v>0.1</v>
      </c>
      <c r="S244" s="51">
        <f t="shared" si="61"/>
        <v>0.58178589626250832</v>
      </c>
      <c r="T244" s="51">
        <f t="shared" si="62"/>
        <v>0.41484713507494264</v>
      </c>
      <c r="U244" s="51">
        <f t="shared" si="63"/>
        <v>0.37673344296776229</v>
      </c>
      <c r="W244" s="51">
        <f t="shared" si="64"/>
        <v>-0.25263131589085047</v>
      </c>
      <c r="X244" s="39">
        <f t="shared" si="65"/>
        <v>0.12410212707691182</v>
      </c>
      <c r="Y244" s="39">
        <f t="shared" si="66"/>
        <v>0.12410212707691182</v>
      </c>
      <c r="AA244" s="85">
        <f>'Price Deck'!Q238/'Price Deck'!M238</f>
        <v>51.926590581081314</v>
      </c>
      <c r="AB244" s="72">
        <f t="shared" si="67"/>
        <v>6795.1182253037905</v>
      </c>
      <c r="AC244" s="72">
        <f t="shared" si="68"/>
        <v>843.28862549929056</v>
      </c>
      <c r="AD244" s="85">
        <f t="shared" si="69"/>
        <v>6.4442003429641259</v>
      </c>
    </row>
    <row r="245" spans="1:30">
      <c r="A245" t="str">
        <f>'Price Deck'!A239</f>
        <v>01/2035</v>
      </c>
      <c r="B245" s="51">
        <f>'Liquids Type Curve'!A252</f>
        <v>19.171890798786652</v>
      </c>
      <c r="C245" s="51">
        <f>'Liquids Type Curve'!B252</f>
        <v>230.06268958543984</v>
      </c>
      <c r="D245" s="51">
        <f>'Liquids Type Curve'!C252</f>
        <v>4.2848166762753888</v>
      </c>
      <c r="E245" s="51">
        <f>'Liquids Type Curve'!D252</f>
        <v>130.32984057004307</v>
      </c>
      <c r="F245" s="51">
        <f>'Liquids Type Curve'!E252</f>
        <v>120317.49413669539</v>
      </c>
      <c r="H245" s="51">
        <f t="shared" si="53"/>
        <v>19.171890798786652</v>
      </c>
      <c r="I245" s="51">
        <f t="shared" si="54"/>
        <v>230.06268958543984</v>
      </c>
      <c r="J245" s="51">
        <f t="shared" si="55"/>
        <v>1.4139895031708785</v>
      </c>
      <c r="K245" s="51">
        <f t="shared" si="56"/>
        <v>43.008847388114219</v>
      </c>
      <c r="L245" s="51">
        <f t="shared" si="57"/>
        <v>39704.773065109483</v>
      </c>
      <c r="N245" s="51">
        <f t="shared" si="58"/>
        <v>6.8378720131187354</v>
      </c>
      <c r="O245" s="51">
        <f>(('Price Deck'!Q239/'Propane Royalties'!$B$2))/'Price Deck'!M239</f>
        <v>326.60786943688527</v>
      </c>
      <c r="P245" s="39"/>
      <c r="Q245" s="51">
        <f t="shared" si="59"/>
        <v>0.37673344296776229</v>
      </c>
      <c r="R245" s="51">
        <f t="shared" si="60"/>
        <v>0.1</v>
      </c>
      <c r="S245" s="51">
        <f t="shared" si="61"/>
        <v>0.58178589626250832</v>
      </c>
      <c r="T245" s="51">
        <f t="shared" si="62"/>
        <v>0.41484713507494264</v>
      </c>
      <c r="U245" s="51">
        <f t="shared" si="63"/>
        <v>0.37673344296776229</v>
      </c>
      <c r="W245" s="51">
        <f t="shared" si="64"/>
        <v>-0.25266887278228972</v>
      </c>
      <c r="X245" s="39">
        <f t="shared" si="65"/>
        <v>0.12406457018547257</v>
      </c>
      <c r="Y245" s="39">
        <f t="shared" si="66"/>
        <v>0.12406457018547257</v>
      </c>
      <c r="AA245" s="85">
        <f>'Price Deck'!Q239/'Price Deck'!M239</f>
        <v>51.926590581081314</v>
      </c>
      <c r="AB245" s="72">
        <f t="shared" si="67"/>
        <v>6767.584271778228</v>
      </c>
      <c r="AC245" s="72">
        <f t="shared" si="68"/>
        <v>839.61743387213016</v>
      </c>
      <c r="AD245" s="85">
        <f t="shared" si="69"/>
        <v>6.4422501416388611</v>
      </c>
    </row>
    <row r="246" spans="1:30">
      <c r="A246" t="str">
        <f>'Price Deck'!A240</f>
        <v>02/2035</v>
      </c>
      <c r="B246" s="51">
        <f>'Liquids Type Curve'!A253</f>
        <v>19.255224132119984</v>
      </c>
      <c r="C246" s="51">
        <f>'Liquids Type Curve'!B253</f>
        <v>231.06268958543981</v>
      </c>
      <c r="D246" s="51">
        <f>'Liquids Type Curve'!C253</f>
        <v>4.2675296658643314</v>
      </c>
      <c r="E246" s="51">
        <f>'Liquids Type Curve'!D253</f>
        <v>129.80402733670675</v>
      </c>
      <c r="F246" s="51">
        <f>'Liquids Type Curve'!E253</f>
        <v>120447.29816403209</v>
      </c>
      <c r="H246" s="51">
        <f t="shared" si="53"/>
        <v>19.255224132119984</v>
      </c>
      <c r="I246" s="51">
        <f t="shared" si="54"/>
        <v>231.06268958543981</v>
      </c>
      <c r="J246" s="51">
        <f t="shared" si="55"/>
        <v>1.4082847897352293</v>
      </c>
      <c r="K246" s="51">
        <f t="shared" si="56"/>
        <v>42.835329021113232</v>
      </c>
      <c r="L246" s="51">
        <f t="shared" si="57"/>
        <v>39747.608394130591</v>
      </c>
      <c r="N246" s="51">
        <f t="shared" si="58"/>
        <v>6.8102847500895471</v>
      </c>
      <c r="O246" s="51">
        <f>(('Price Deck'!Q240/'Propane Royalties'!$B$2))/'Price Deck'!M240</f>
        <v>326.60786943688527</v>
      </c>
      <c r="P246" s="39"/>
      <c r="Q246" s="51">
        <f t="shared" si="59"/>
        <v>0.37673344296776229</v>
      </c>
      <c r="R246" s="51">
        <f t="shared" si="60"/>
        <v>0.1</v>
      </c>
      <c r="S246" s="51">
        <f t="shared" si="61"/>
        <v>0.58178589626250832</v>
      </c>
      <c r="T246" s="51">
        <f t="shared" si="62"/>
        <v>0.41484713507494264</v>
      </c>
      <c r="U246" s="51">
        <f t="shared" si="63"/>
        <v>0.37673344296776229</v>
      </c>
      <c r="W246" s="51">
        <f t="shared" si="64"/>
        <v>-0.2527061155873791</v>
      </c>
      <c r="X246" s="39">
        <f t="shared" si="65"/>
        <v>0.12402732738038319</v>
      </c>
      <c r="Y246" s="39">
        <f t="shared" si="66"/>
        <v>0.12402732738038319</v>
      </c>
      <c r="AA246" s="85">
        <f>'Price Deck'!Q240/'Price Deck'!M240</f>
        <v>51.926590581081314</v>
      </c>
      <c r="AB246" s="72">
        <f t="shared" si="67"/>
        <v>6740.2805832886579</v>
      </c>
      <c r="AC246" s="72">
        <f t="shared" si="68"/>
        <v>835.97898653918253</v>
      </c>
      <c r="AD246" s="85">
        <f t="shared" si="69"/>
        <v>6.4403162497468935</v>
      </c>
    </row>
    <row r="247" spans="1:30">
      <c r="A247" t="str">
        <f>'Price Deck'!A241</f>
        <v>03/2035</v>
      </c>
      <c r="B247" s="51">
        <f>'Liquids Type Curve'!A254</f>
        <v>19.338557465453317</v>
      </c>
      <c r="C247" s="51">
        <f>'Liquids Type Curve'!B254</f>
        <v>232.06268958543978</v>
      </c>
      <c r="D247" s="51">
        <f>'Liquids Type Curve'!C254</f>
        <v>4.250386602760079</v>
      </c>
      <c r="E247" s="51">
        <f>'Liquids Type Curve'!D254</f>
        <v>129.28259250061907</v>
      </c>
      <c r="F247" s="51">
        <f>'Liquids Type Curve'!E254</f>
        <v>120576.58075653271</v>
      </c>
      <c r="H247" s="51">
        <f t="shared" si="53"/>
        <v>19.338557465453317</v>
      </c>
      <c r="I247" s="51">
        <f t="shared" si="54"/>
        <v>232.06268958543978</v>
      </c>
      <c r="J247" s="51">
        <f t="shared" si="55"/>
        <v>1.402627578910826</v>
      </c>
      <c r="K247" s="51">
        <f t="shared" si="56"/>
        <v>42.663255525204299</v>
      </c>
      <c r="L247" s="51">
        <f t="shared" si="57"/>
        <v>39790.271649655799</v>
      </c>
      <c r="N247" s="51">
        <f t="shared" si="58"/>
        <v>6.7829272036001615</v>
      </c>
      <c r="O247" s="51">
        <f>(('Price Deck'!Q241/'Propane Royalties'!$B$2))/'Price Deck'!M241</f>
        <v>331.50698747843848</v>
      </c>
      <c r="P247" s="39"/>
      <c r="Q247" s="51">
        <f t="shared" si="59"/>
        <v>0.37962392261227867</v>
      </c>
      <c r="R247" s="51">
        <f t="shared" si="60"/>
        <v>0.1</v>
      </c>
      <c r="S247" s="51">
        <f t="shared" si="61"/>
        <v>0.59168211470644572</v>
      </c>
      <c r="T247" s="51">
        <f t="shared" si="62"/>
        <v>0.42028515610106676</v>
      </c>
      <c r="U247" s="51">
        <f t="shared" si="63"/>
        <v>0.37962392261227867</v>
      </c>
      <c r="W247" s="51">
        <f t="shared" si="64"/>
        <v>-0.25274304827513977</v>
      </c>
      <c r="X247" s="39">
        <f t="shared" si="65"/>
        <v>0.1268808743371389</v>
      </c>
      <c r="Y247" s="39">
        <f t="shared" si="66"/>
        <v>0.1268808743371389</v>
      </c>
      <c r="AA247" s="85">
        <f>'Price Deck'!Q241/'Price Deck'!M241</f>
        <v>52.705489439797525</v>
      </c>
      <c r="AB247" s="72">
        <f t="shared" si="67"/>
        <v>6813.9023137910253</v>
      </c>
      <c r="AC247" s="72">
        <f t="shared" si="68"/>
        <v>864.55388322165913</v>
      </c>
      <c r="AD247" s="85">
        <f t="shared" si="69"/>
        <v>6.6873185824883512</v>
      </c>
    </row>
    <row r="248" spans="1:30">
      <c r="A248" t="str">
        <f>'Price Deck'!A242</f>
        <v>04/2035</v>
      </c>
      <c r="B248" s="51">
        <f>'Liquids Type Curve'!A255</f>
        <v>19.421890798786649</v>
      </c>
      <c r="C248" s="51">
        <f>'Liquids Type Curve'!B255</f>
        <v>233.06268958543978</v>
      </c>
      <c r="D248" s="51">
        <f>'Liquids Type Curve'!C255</f>
        <v>4.2333856757468737</v>
      </c>
      <c r="E248" s="51">
        <f>'Liquids Type Curve'!D255</f>
        <v>128.76548097063409</v>
      </c>
      <c r="F248" s="51">
        <f>'Liquids Type Curve'!E255</f>
        <v>120705.34623750334</v>
      </c>
      <c r="H248" s="51">
        <f t="shared" si="53"/>
        <v>19.421890798786649</v>
      </c>
      <c r="I248" s="51">
        <f t="shared" si="54"/>
        <v>233.06268958543978</v>
      </c>
      <c r="J248" s="51">
        <f t="shared" si="55"/>
        <v>1.3970172729964685</v>
      </c>
      <c r="K248" s="51">
        <f t="shared" si="56"/>
        <v>42.492608720309249</v>
      </c>
      <c r="L248" s="51">
        <f t="shared" si="57"/>
        <v>39832.764258376104</v>
      </c>
      <c r="N248" s="51">
        <f t="shared" si="58"/>
        <v>6.7557964832441808</v>
      </c>
      <c r="O248" s="51">
        <f>(('Price Deck'!Q242/'Propane Royalties'!$B$2))/'Price Deck'!M242</f>
        <v>331.50698747843848</v>
      </c>
      <c r="P248" s="39"/>
      <c r="Q248" s="51">
        <f t="shared" si="59"/>
        <v>0.37962392261227867</v>
      </c>
      <c r="R248" s="51">
        <f t="shared" si="60"/>
        <v>0.1</v>
      </c>
      <c r="S248" s="51">
        <f t="shared" si="61"/>
        <v>0.59168211470644572</v>
      </c>
      <c r="T248" s="51">
        <f t="shared" si="62"/>
        <v>0.42028515610106676</v>
      </c>
      <c r="U248" s="51">
        <f t="shared" si="63"/>
        <v>0.37962392261227867</v>
      </c>
      <c r="W248" s="51">
        <f t="shared" si="64"/>
        <v>-0.25277967474762036</v>
      </c>
      <c r="X248" s="39">
        <f t="shared" si="65"/>
        <v>0.12684424786465831</v>
      </c>
      <c r="Y248" s="39">
        <f t="shared" si="66"/>
        <v>0.12684424786465831</v>
      </c>
      <c r="AA248" s="85">
        <f>'Price Deck'!Q242/'Price Deck'!M242</f>
        <v>52.705489439797525</v>
      </c>
      <c r="AB248" s="72">
        <f t="shared" si="67"/>
        <v>6786.6476975082041</v>
      </c>
      <c r="AC248" s="72">
        <f t="shared" si="68"/>
        <v>860.84722271284329</v>
      </c>
      <c r="AD248" s="85">
        <f t="shared" si="69"/>
        <v>6.6853881663298083</v>
      </c>
    </row>
    <row r="249" spans="1:30">
      <c r="A249" t="str">
        <f>'Price Deck'!A243</f>
        <v>05/2035</v>
      </c>
      <c r="B249" s="51">
        <f>'Liquids Type Curve'!A256</f>
        <v>19.505224132119981</v>
      </c>
      <c r="C249" s="51">
        <f>'Liquids Type Curve'!B256</f>
        <v>234.06268958543978</v>
      </c>
      <c r="D249" s="51">
        <f>'Liquids Type Curve'!C256</f>
        <v>4.2165251040404943</v>
      </c>
      <c r="E249" s="51">
        <f>'Liquids Type Curve'!D256</f>
        <v>128.25263858123171</v>
      </c>
      <c r="F249" s="51">
        <f>'Liquids Type Curve'!E256</f>
        <v>120833.59887608458</v>
      </c>
      <c r="H249" s="51">
        <f t="shared" si="53"/>
        <v>19.505224132119981</v>
      </c>
      <c r="I249" s="51">
        <f t="shared" si="54"/>
        <v>234.06268958543978</v>
      </c>
      <c r="J249" s="51">
        <f t="shared" si="55"/>
        <v>1.3914532843333631</v>
      </c>
      <c r="K249" s="51">
        <f t="shared" si="56"/>
        <v>42.323370731806463</v>
      </c>
      <c r="L249" s="51">
        <f t="shared" si="57"/>
        <v>39875.087629107911</v>
      </c>
      <c r="N249" s="51">
        <f t="shared" si="58"/>
        <v>6.7288897471789983</v>
      </c>
      <c r="O249" s="51">
        <f>(('Price Deck'!Q243/'Propane Royalties'!$B$2))/'Price Deck'!M243</f>
        <v>331.50698747843848</v>
      </c>
      <c r="P249" s="39"/>
      <c r="Q249" s="51">
        <f t="shared" si="59"/>
        <v>0.37962392261227867</v>
      </c>
      <c r="R249" s="51">
        <f t="shared" si="60"/>
        <v>0.1</v>
      </c>
      <c r="S249" s="51">
        <f t="shared" si="61"/>
        <v>0.59168211470644572</v>
      </c>
      <c r="T249" s="51">
        <f t="shared" si="62"/>
        <v>0.42028515610106676</v>
      </c>
      <c r="U249" s="51">
        <f t="shared" si="63"/>
        <v>0.37962392261227867</v>
      </c>
      <c r="W249" s="51">
        <f t="shared" si="64"/>
        <v>-0.25281599884130834</v>
      </c>
      <c r="X249" s="39">
        <f t="shared" si="65"/>
        <v>0.12680792377097033</v>
      </c>
      <c r="Y249" s="39">
        <f t="shared" si="66"/>
        <v>0.12680792377097033</v>
      </c>
      <c r="AA249" s="85">
        <f>'Price Deck'!Q243/'Price Deck'!M243</f>
        <v>52.705489439797525</v>
      </c>
      <c r="AB249" s="72">
        <f t="shared" si="67"/>
        <v>6759.6180883692759</v>
      </c>
      <c r="AC249" s="72">
        <f t="shared" si="68"/>
        <v>857.1731352708033</v>
      </c>
      <c r="AD249" s="85">
        <f t="shared" si="69"/>
        <v>6.6834736871935254</v>
      </c>
    </row>
    <row r="250" spans="1:30">
      <c r="A250" t="str">
        <f>'Price Deck'!A244</f>
        <v>06/2035</v>
      </c>
      <c r="B250" s="51">
        <f>'Liquids Type Curve'!A257</f>
        <v>19.588557465453313</v>
      </c>
      <c r="C250" s="51">
        <f>'Liquids Type Curve'!B257</f>
        <v>235.06268958543976</v>
      </c>
      <c r="D250" s="51">
        <f>'Liquids Type Curve'!C257</f>
        <v>4.1998031366496411</v>
      </c>
      <c r="E250" s="51">
        <f>'Liquids Type Curve'!D257</f>
        <v>127.74401207309326</v>
      </c>
      <c r="F250" s="51">
        <f>'Liquids Type Curve'!E257</f>
        <v>120961.34288815767</v>
      </c>
      <c r="H250" s="51">
        <f t="shared" si="53"/>
        <v>19.588557465453313</v>
      </c>
      <c r="I250" s="51">
        <f t="shared" si="54"/>
        <v>235.06268958543976</v>
      </c>
      <c r="J250" s="51">
        <f t="shared" si="55"/>
        <v>1.3859350350943815</v>
      </c>
      <c r="K250" s="51">
        <f t="shared" si="56"/>
        <v>42.155523984120777</v>
      </c>
      <c r="L250" s="51">
        <f t="shared" si="57"/>
        <v>39917.243153092029</v>
      </c>
      <c r="N250" s="51">
        <f t="shared" si="58"/>
        <v>6.7022042011066771</v>
      </c>
      <c r="O250" s="51">
        <f>(('Price Deck'!Q244/'Propane Royalties'!$B$2))/'Price Deck'!M244</f>
        <v>331.50698747843848</v>
      </c>
      <c r="P250" s="39"/>
      <c r="Q250" s="51">
        <f t="shared" si="59"/>
        <v>0.37962392261227867</v>
      </c>
      <c r="R250" s="51">
        <f t="shared" si="60"/>
        <v>0.1</v>
      </c>
      <c r="S250" s="51">
        <f t="shared" si="61"/>
        <v>0.59168211470644572</v>
      </c>
      <c r="T250" s="51">
        <f t="shared" si="62"/>
        <v>0.42028515610106676</v>
      </c>
      <c r="U250" s="51">
        <f t="shared" si="63"/>
        <v>0.37962392261227867</v>
      </c>
      <c r="W250" s="51">
        <f t="shared" si="64"/>
        <v>-0.25285202432850601</v>
      </c>
      <c r="X250" s="39">
        <f t="shared" si="65"/>
        <v>0.12677189828377267</v>
      </c>
      <c r="Y250" s="39">
        <f t="shared" si="66"/>
        <v>0.12677189828377267</v>
      </c>
      <c r="AA250" s="85">
        <f>'Price Deck'!Q244/'Price Deck'!M244</f>
        <v>52.705489439797525</v>
      </c>
      <c r="AB250" s="72">
        <f t="shared" si="67"/>
        <v>6732.810679315784</v>
      </c>
      <c r="AC250" s="72">
        <f t="shared" si="68"/>
        <v>853.53119060211895</v>
      </c>
      <c r="AD250" s="85">
        <f t="shared" si="69"/>
        <v>6.6815749462584666</v>
      </c>
    </row>
    <row r="251" spans="1:30">
      <c r="A251" t="str">
        <f>'Price Deck'!A245</f>
        <v>07/2035</v>
      </c>
      <c r="B251" s="51">
        <f>'Liquids Type Curve'!A258</f>
        <v>19.671890798786645</v>
      </c>
      <c r="C251" s="51">
        <f>'Liquids Type Curve'!B258</f>
        <v>236.06268958543973</v>
      </c>
      <c r="D251" s="51">
        <f>'Liquids Type Curve'!C258</f>
        <v>4.1832180517533475</v>
      </c>
      <c r="E251" s="51">
        <f>'Liquids Type Curve'!D258</f>
        <v>127.23954907416433</v>
      </c>
      <c r="F251" s="51">
        <f>'Liquids Type Curve'!E258</f>
        <v>121088.58243723183</v>
      </c>
      <c r="H251" s="51">
        <f t="shared" si="53"/>
        <v>19.671890798786645</v>
      </c>
      <c r="I251" s="51">
        <f t="shared" si="54"/>
        <v>236.06268958543973</v>
      </c>
      <c r="J251" s="51">
        <f t="shared" si="55"/>
        <v>1.3804619570786048</v>
      </c>
      <c r="K251" s="51">
        <f t="shared" si="56"/>
        <v>41.989051194474229</v>
      </c>
      <c r="L251" s="51">
        <f t="shared" si="57"/>
        <v>39959.232204286505</v>
      </c>
      <c r="N251" s="51">
        <f t="shared" si="58"/>
        <v>6.6757370972803951</v>
      </c>
      <c r="O251" s="51">
        <f>(('Price Deck'!Q245/'Propane Royalties'!$B$2))/'Price Deck'!M245</f>
        <v>331.50698747843848</v>
      </c>
      <c r="P251" s="39"/>
      <c r="Q251" s="51">
        <f t="shared" si="59"/>
        <v>0.37962392261227867</v>
      </c>
      <c r="R251" s="51">
        <f t="shared" si="60"/>
        <v>0.1</v>
      </c>
      <c r="S251" s="51">
        <f t="shared" si="61"/>
        <v>0.59168211470644572</v>
      </c>
      <c r="T251" s="51">
        <f t="shared" si="62"/>
        <v>0.42028515610106676</v>
      </c>
      <c r="U251" s="51">
        <f t="shared" si="63"/>
        <v>0.37962392261227867</v>
      </c>
      <c r="W251" s="51">
        <f t="shared" si="64"/>
        <v>-0.25288775491867149</v>
      </c>
      <c r="X251" s="39">
        <f t="shared" si="65"/>
        <v>0.12673616769360718</v>
      </c>
      <c r="Y251" s="39">
        <f t="shared" si="66"/>
        <v>0.12673616769360718</v>
      </c>
      <c r="AA251" s="85">
        <f>'Price Deck'!Q245/'Price Deck'!M245</f>
        <v>52.705489439797525</v>
      </c>
      <c r="AB251" s="72">
        <f t="shared" si="67"/>
        <v>6706.2227100529672</v>
      </c>
      <c r="AC251" s="72">
        <f t="shared" si="68"/>
        <v>849.92096597194961</v>
      </c>
      <c r="AD251" s="85">
        <f t="shared" si="69"/>
        <v>6.6796917480158209</v>
      </c>
    </row>
    <row r="252" spans="1:30">
      <c r="A252" t="str">
        <f>'Price Deck'!A246</f>
        <v>08/2035</v>
      </c>
      <c r="B252" s="51">
        <f>'Liquids Type Curve'!A259</f>
        <v>19.755224132119977</v>
      </c>
      <c r="C252" s="51">
        <f>'Liquids Type Curve'!B259</f>
        <v>237.06268958543973</v>
      </c>
      <c r="D252" s="51">
        <f>'Liquids Type Curve'!C259</f>
        <v>4.1667681560940659</v>
      </c>
      <c r="E252" s="51">
        <f>'Liquids Type Curve'!D259</f>
        <v>126.73919808119452</v>
      </c>
      <c r="F252" s="51">
        <f>'Liquids Type Curve'!E259</f>
        <v>121215.32163531303</v>
      </c>
      <c r="H252" s="51">
        <f t="shared" si="53"/>
        <v>19.755224132119977</v>
      </c>
      <c r="I252" s="51">
        <f t="shared" si="54"/>
        <v>237.06268958543973</v>
      </c>
      <c r="J252" s="51">
        <f t="shared" si="55"/>
        <v>1.3750334915110418</v>
      </c>
      <c r="K252" s="51">
        <f t="shared" si="56"/>
        <v>41.823935366794196</v>
      </c>
      <c r="L252" s="51">
        <f t="shared" si="57"/>
        <v>40001.056139653301</v>
      </c>
      <c r="N252" s="51">
        <f t="shared" si="58"/>
        <v>6.649485733535915</v>
      </c>
      <c r="O252" s="51">
        <f>(('Price Deck'!Q246/'Propane Royalties'!$B$2))/'Price Deck'!M246</f>
        <v>331.50698747843848</v>
      </c>
      <c r="P252" s="39"/>
      <c r="Q252" s="51">
        <f t="shared" si="59"/>
        <v>0.37962392261227867</v>
      </c>
      <c r="R252" s="51">
        <f t="shared" si="60"/>
        <v>0.1</v>
      </c>
      <c r="S252" s="51">
        <f t="shared" si="61"/>
        <v>0.59168211470644572</v>
      </c>
      <c r="T252" s="51">
        <f t="shared" si="62"/>
        <v>0.42028515610106676</v>
      </c>
      <c r="U252" s="51">
        <f t="shared" si="63"/>
        <v>0.37962392261227867</v>
      </c>
      <c r="W252" s="51">
        <f t="shared" si="64"/>
        <v>-0.25292319425972654</v>
      </c>
      <c r="X252" s="39">
        <f t="shared" si="65"/>
        <v>0.12670072835255214</v>
      </c>
      <c r="Y252" s="39">
        <f t="shared" si="66"/>
        <v>0.12670072835255214</v>
      </c>
      <c r="AA252" s="85">
        <f>'Price Deck'!Q246/'Price Deck'!M246</f>
        <v>52.705489439797525</v>
      </c>
      <c r="AB252" s="72">
        <f t="shared" si="67"/>
        <v>6679.8514660768042</v>
      </c>
      <c r="AC252" s="72">
        <f t="shared" si="68"/>
        <v>846.34204603879436</v>
      </c>
      <c r="AD252" s="85">
        <f t="shared" si="69"/>
        <v>6.6778239002000923</v>
      </c>
    </row>
    <row r="253" spans="1:30">
      <c r="A253" t="str">
        <f>'Price Deck'!A247</f>
        <v>09/2035</v>
      </c>
      <c r="B253" s="51">
        <f>'Liquids Type Curve'!A260</f>
        <v>19.838557465453309</v>
      </c>
      <c r="C253" s="51">
        <f>'Liquids Type Curve'!B260</f>
        <v>238.06268958543973</v>
      </c>
      <c r="D253" s="51">
        <f>'Liquids Type Curve'!C260</f>
        <v>4.1504517843857558</v>
      </c>
      <c r="E253" s="51">
        <f>'Liquids Type Curve'!D260</f>
        <v>126.24290844173341</v>
      </c>
      <c r="F253" s="51">
        <f>'Liquids Type Curve'!E260</f>
        <v>121341.56454375476</v>
      </c>
      <c r="H253" s="51">
        <f t="shared" si="53"/>
        <v>19.838557465453309</v>
      </c>
      <c r="I253" s="51">
        <f t="shared" si="54"/>
        <v>238.06268958543973</v>
      </c>
      <c r="J253" s="51">
        <f t="shared" si="55"/>
        <v>1.3696490888472994</v>
      </c>
      <c r="K253" s="51">
        <f t="shared" si="56"/>
        <v>41.660159785772024</v>
      </c>
      <c r="L253" s="51">
        <f t="shared" si="57"/>
        <v>40042.716299439075</v>
      </c>
      <c r="N253" s="51">
        <f t="shared" si="58"/>
        <v>6.6234474523469782</v>
      </c>
      <c r="O253" s="51">
        <f>(('Price Deck'!Q247/'Propane Royalties'!$B$2))/'Price Deck'!M247</f>
        <v>331.50698747843848</v>
      </c>
      <c r="P253" s="39"/>
      <c r="Q253" s="51">
        <f t="shared" si="59"/>
        <v>0.37962392261227867</v>
      </c>
      <c r="R253" s="51">
        <f t="shared" si="60"/>
        <v>0.1</v>
      </c>
      <c r="S253" s="51">
        <f t="shared" si="61"/>
        <v>0.59168211470644572</v>
      </c>
      <c r="T253" s="51">
        <f t="shared" si="62"/>
        <v>0.42028515610106676</v>
      </c>
      <c r="U253" s="51">
        <f t="shared" si="63"/>
        <v>0.37962392261227867</v>
      </c>
      <c r="W253" s="51">
        <f t="shared" si="64"/>
        <v>-0.25295834593933159</v>
      </c>
      <c r="X253" s="39">
        <f t="shared" si="65"/>
        <v>0.12666557667294709</v>
      </c>
      <c r="Y253" s="39">
        <f t="shared" si="66"/>
        <v>0.12666557667294709</v>
      </c>
      <c r="AA253" s="85">
        <f>'Price Deck'!Q247/'Price Deck'!M247</f>
        <v>52.705489439797525</v>
      </c>
      <c r="AB253" s="72">
        <f t="shared" si="67"/>
        <v>6653.6942777251061</v>
      </c>
      <c r="AC253" s="72">
        <f t="shared" si="68"/>
        <v>842.79402269353875</v>
      </c>
      <c r="AD253" s="85">
        <f t="shared" si="69"/>
        <v>6.6759712137218772</v>
      </c>
    </row>
    <row r="254" spans="1:30">
      <c r="A254" t="str">
        <f>'Price Deck'!A248</f>
        <v>10/2035</v>
      </c>
      <c r="B254" s="51">
        <f>'Liquids Type Curve'!A261</f>
        <v>19.921890798786642</v>
      </c>
      <c r="C254" s="51">
        <f>'Liquids Type Curve'!B261</f>
        <v>239.0626895854397</v>
      </c>
      <c r="D254" s="51">
        <f>'Liquids Type Curve'!C261</f>
        <v>4.134267298736761</v>
      </c>
      <c r="E254" s="51">
        <f>'Liquids Type Curve'!D261</f>
        <v>125.75063033657649</v>
      </c>
      <c r="F254" s="51">
        <f>'Liquids Type Curve'!E261</f>
        <v>121467.31517409135</v>
      </c>
      <c r="H254" s="51">
        <f t="shared" si="53"/>
        <v>19.921890798786642</v>
      </c>
      <c r="I254" s="51">
        <f t="shared" si="54"/>
        <v>239.0626895854397</v>
      </c>
      <c r="J254" s="51">
        <f t="shared" si="55"/>
        <v>1.3643082085831313</v>
      </c>
      <c r="K254" s="51">
        <f t="shared" si="56"/>
        <v>41.497708011070245</v>
      </c>
      <c r="L254" s="51">
        <f t="shared" si="57"/>
        <v>40084.214007450144</v>
      </c>
      <c r="N254" s="51">
        <f t="shared" si="58"/>
        <v>6.5976196399043285</v>
      </c>
      <c r="O254" s="51">
        <f>(('Price Deck'!Q248/'Propane Royalties'!$B$2))/'Price Deck'!M248</f>
        <v>331.50698747843848</v>
      </c>
      <c r="P254" s="39"/>
      <c r="Q254" s="51">
        <f t="shared" si="59"/>
        <v>0.37962392261227867</v>
      </c>
      <c r="R254" s="51">
        <f t="shared" si="60"/>
        <v>0.1</v>
      </c>
      <c r="S254" s="51">
        <f t="shared" si="61"/>
        <v>0.59168211470644572</v>
      </c>
      <c r="T254" s="51">
        <f t="shared" si="62"/>
        <v>0.42028515610106676</v>
      </c>
      <c r="U254" s="51">
        <f t="shared" si="63"/>
        <v>0.37962392261227867</v>
      </c>
      <c r="W254" s="51">
        <f t="shared" si="64"/>
        <v>-0.25299321348612913</v>
      </c>
      <c r="X254" s="39">
        <f t="shared" si="65"/>
        <v>0.12663070912614954</v>
      </c>
      <c r="Y254" s="39">
        <f t="shared" si="66"/>
        <v>0.12663070912614954</v>
      </c>
      <c r="AA254" s="85">
        <f>'Price Deck'!Q248/'Price Deck'!M248</f>
        <v>52.705489439797525</v>
      </c>
      <c r="AB254" s="72">
        <f t="shared" si="67"/>
        <v>6627.7485192523145</v>
      </c>
      <c r="AC254" s="72">
        <f t="shared" si="68"/>
        <v>839.27649490270824</v>
      </c>
      <c r="AD254" s="85">
        <f t="shared" si="69"/>
        <v>6.6741335026023467</v>
      </c>
    </row>
    <row r="255" spans="1:30">
      <c r="A255" t="str">
        <f>'Price Deck'!A249</f>
        <v>11/2035</v>
      </c>
      <c r="B255" s="51">
        <f>'Liquids Type Curve'!A262</f>
        <v>20.005224132119974</v>
      </c>
      <c r="C255" s="51">
        <f>'Liquids Type Curve'!B262</f>
        <v>240.06268958543967</v>
      </c>
      <c r="D255" s="51">
        <f>'Liquids Type Curve'!C262</f>
        <v>4.1182130880868941</v>
      </c>
      <c r="E255" s="51">
        <f>'Liquids Type Curve'!D262</f>
        <v>125.26231476264303</v>
      </c>
      <c r="F255" s="51">
        <f>'Liquids Type Curve'!E262</f>
        <v>121592.57748885399</v>
      </c>
      <c r="H255" s="51">
        <f t="shared" si="53"/>
        <v>20.005224132119974</v>
      </c>
      <c r="I255" s="51">
        <f t="shared" si="54"/>
        <v>240.06268958543967</v>
      </c>
      <c r="J255" s="51">
        <f t="shared" si="55"/>
        <v>1.3590103190686751</v>
      </c>
      <c r="K255" s="51">
        <f t="shared" si="56"/>
        <v>41.336563871672205</v>
      </c>
      <c r="L255" s="51">
        <f t="shared" si="57"/>
        <v>40125.550571321815</v>
      </c>
      <c r="N255" s="51">
        <f t="shared" si="58"/>
        <v>6.5719997252173687</v>
      </c>
      <c r="O255" s="51">
        <f>(('Price Deck'!Q249/'Propane Royalties'!$B$2))/'Price Deck'!M249</f>
        <v>331.50698747843848</v>
      </c>
      <c r="P255" s="39"/>
      <c r="Q255" s="51">
        <f t="shared" si="59"/>
        <v>0.37962392261227867</v>
      </c>
      <c r="R255" s="51">
        <f t="shared" si="60"/>
        <v>0.1</v>
      </c>
      <c r="S255" s="51">
        <f t="shared" si="61"/>
        <v>0.59168211470644572</v>
      </c>
      <c r="T255" s="51">
        <f t="shared" si="62"/>
        <v>0.42028515610106676</v>
      </c>
      <c r="U255" s="51">
        <f t="shared" si="63"/>
        <v>0.37962392261227867</v>
      </c>
      <c r="W255" s="51">
        <f t="shared" si="64"/>
        <v>-0.25302780037095657</v>
      </c>
      <c r="X255" s="39">
        <f t="shared" si="65"/>
        <v>0.12659612224132211</v>
      </c>
      <c r="Y255" s="39">
        <f t="shared" si="66"/>
        <v>0.12659612224132211</v>
      </c>
      <c r="AA255" s="85">
        <f>'Price Deck'!Q249/'Price Deck'!M249</f>
        <v>52.705489439797525</v>
      </c>
      <c r="AB255" s="72">
        <f t="shared" si="67"/>
        <v>6602.0116079270756</v>
      </c>
      <c r="AC255" s="72">
        <f t="shared" si="68"/>
        <v>835.78906855576361</v>
      </c>
      <c r="AD255" s="85">
        <f t="shared" si="69"/>
        <v>6.6723105839093186</v>
      </c>
    </row>
    <row r="256" spans="1:30">
      <c r="B256" s="39"/>
      <c r="C256" s="39"/>
      <c r="D256" s="39"/>
      <c r="E256" s="39"/>
      <c r="F256" s="39"/>
    </row>
    <row r="257" spans="2:6">
      <c r="B257" s="39"/>
      <c r="C257" s="39"/>
      <c r="D257" s="39"/>
      <c r="E257" s="39"/>
      <c r="F257" s="39"/>
    </row>
    <row r="258" spans="2:6">
      <c r="B258" s="39"/>
      <c r="C258" s="39"/>
      <c r="D258" s="39"/>
      <c r="E258" s="39"/>
      <c r="F258" s="39"/>
    </row>
    <row r="259" spans="2:6">
      <c r="B259" s="39"/>
      <c r="C259" s="39"/>
      <c r="D259" s="39"/>
      <c r="E259" s="39"/>
      <c r="F259" s="39"/>
    </row>
    <row r="260" spans="2:6">
      <c r="B260" s="39"/>
      <c r="C260" s="39"/>
      <c r="D260" s="39"/>
      <c r="E260" s="39"/>
      <c r="F260" s="39"/>
    </row>
    <row r="261" spans="2:6">
      <c r="B261" s="39"/>
      <c r="C261" s="39"/>
      <c r="D261" s="39"/>
      <c r="E261" s="39"/>
      <c r="F261" s="39"/>
    </row>
    <row r="262" spans="2:6">
      <c r="B262" s="39"/>
      <c r="C262" s="39"/>
      <c r="D262" s="39"/>
      <c r="E262" s="39"/>
      <c r="F262" s="39"/>
    </row>
    <row r="263" spans="2:6">
      <c r="B263" s="39"/>
      <c r="C263" s="39"/>
      <c r="D263" s="39"/>
      <c r="E263" s="39"/>
      <c r="F263" s="39"/>
    </row>
    <row r="264" spans="2:6">
      <c r="B264" s="39"/>
      <c r="C264" s="39"/>
      <c r="D264" s="39"/>
      <c r="E264" s="39"/>
      <c r="F264" s="39"/>
    </row>
    <row r="265" spans="2:6">
      <c r="B265" s="39"/>
      <c r="C265" s="39"/>
      <c r="D265" s="39"/>
      <c r="E265" s="39"/>
      <c r="F265" s="39"/>
    </row>
    <row r="266" spans="2:6">
      <c r="B266" s="39"/>
      <c r="C266" s="39"/>
      <c r="D266" s="39"/>
      <c r="E266" s="39"/>
      <c r="F266" s="39"/>
    </row>
    <row r="267" spans="2:6">
      <c r="B267" s="39"/>
      <c r="C267" s="39"/>
      <c r="D267" s="39"/>
      <c r="E267" s="39"/>
      <c r="F267" s="39"/>
    </row>
    <row r="268" spans="2:6">
      <c r="B268" s="39"/>
      <c r="C268" s="39"/>
      <c r="D268" s="39"/>
      <c r="E268" s="39"/>
      <c r="F268" s="39"/>
    </row>
    <row r="269" spans="2:6">
      <c r="B269" s="39"/>
      <c r="C269" s="39"/>
      <c r="D269" s="39"/>
      <c r="E269" s="39"/>
      <c r="F269" s="39"/>
    </row>
    <row r="270" spans="2:6">
      <c r="B270" s="39"/>
      <c r="C270" s="39"/>
      <c r="D270" s="39"/>
      <c r="E270" s="39"/>
      <c r="F270" s="39"/>
    </row>
    <row r="271" spans="2:6">
      <c r="B271" s="39"/>
      <c r="C271" s="39"/>
      <c r="D271" s="39"/>
      <c r="E271" s="39"/>
      <c r="F271" s="39"/>
    </row>
    <row r="272" spans="2:6">
      <c r="B272" s="39"/>
      <c r="C272" s="39"/>
      <c r="D272" s="39"/>
      <c r="E272" s="39"/>
      <c r="F272" s="39"/>
    </row>
    <row r="273" spans="2:6">
      <c r="B273" s="39"/>
      <c r="C273" s="39"/>
      <c r="D273" s="39"/>
      <c r="E273" s="39"/>
      <c r="F273" s="39"/>
    </row>
    <row r="274" spans="2:6">
      <c r="B274" s="39"/>
      <c r="C274" s="39"/>
      <c r="D274" s="39"/>
      <c r="E274" s="39"/>
      <c r="F274" s="39"/>
    </row>
    <row r="275" spans="2:6">
      <c r="B275" s="39"/>
      <c r="C275" s="39"/>
      <c r="D275" s="39"/>
      <c r="E275" s="39"/>
      <c r="F275" s="39"/>
    </row>
    <row r="276" spans="2:6">
      <c r="B276" s="39"/>
      <c r="C276" s="39"/>
      <c r="D276" s="39"/>
      <c r="E276" s="39"/>
      <c r="F276" s="39"/>
    </row>
    <row r="277" spans="2:6">
      <c r="B277" s="39"/>
      <c r="C277" s="39"/>
      <c r="D277" s="39"/>
      <c r="E277" s="39"/>
      <c r="F277" s="39"/>
    </row>
    <row r="278" spans="2:6">
      <c r="B278" s="39"/>
      <c r="C278" s="39"/>
      <c r="D278" s="39"/>
      <c r="E278" s="39"/>
      <c r="F278" s="39"/>
    </row>
    <row r="279" spans="2:6">
      <c r="B279" s="39"/>
      <c r="C279" s="39"/>
      <c r="D279" s="39"/>
      <c r="E279" s="39"/>
      <c r="F279" s="39"/>
    </row>
    <row r="280" spans="2:6">
      <c r="B280" s="39"/>
      <c r="C280" s="39"/>
      <c r="D280" s="39"/>
      <c r="E280" s="39"/>
      <c r="F280" s="39"/>
    </row>
    <row r="281" spans="2:6">
      <c r="B281" s="39"/>
      <c r="C281" s="39"/>
      <c r="D281" s="39"/>
      <c r="E281" s="39"/>
      <c r="F281" s="39"/>
    </row>
    <row r="282" spans="2:6">
      <c r="B282" s="39"/>
      <c r="C282" s="39"/>
      <c r="D282" s="39"/>
      <c r="E282" s="39"/>
      <c r="F282" s="39"/>
    </row>
    <row r="283" spans="2:6">
      <c r="B283" s="39"/>
      <c r="C283" s="39"/>
      <c r="D283" s="39"/>
      <c r="E283" s="39"/>
      <c r="F283" s="39"/>
    </row>
    <row r="284" spans="2:6">
      <c r="B284" s="39"/>
      <c r="C284" s="39"/>
      <c r="D284" s="39"/>
      <c r="E284" s="39"/>
      <c r="F284" s="39"/>
    </row>
    <row r="285" spans="2:6">
      <c r="B285" s="39"/>
      <c r="C285" s="39"/>
      <c r="D285" s="39"/>
      <c r="E285" s="39"/>
      <c r="F285" s="39"/>
    </row>
    <row r="286" spans="2:6">
      <c r="B286" s="39"/>
      <c r="C286" s="39"/>
      <c r="D286" s="39"/>
      <c r="E286" s="39"/>
      <c r="F286" s="39"/>
    </row>
    <row r="287" spans="2:6">
      <c r="B287" s="39"/>
      <c r="C287" s="39"/>
      <c r="D287" s="39"/>
      <c r="E287" s="39"/>
      <c r="F287" s="39"/>
    </row>
    <row r="288" spans="2:6">
      <c r="B288" s="39"/>
      <c r="C288" s="39"/>
      <c r="D288" s="39"/>
      <c r="E288" s="39"/>
      <c r="F288" s="39"/>
    </row>
    <row r="289" spans="2:6">
      <c r="B289" s="39"/>
      <c r="C289" s="39"/>
      <c r="D289" s="39"/>
      <c r="E289" s="39"/>
      <c r="F289" s="39"/>
    </row>
    <row r="290" spans="2:6">
      <c r="B290" s="39"/>
      <c r="C290" s="39"/>
      <c r="D290" s="39"/>
      <c r="E290" s="39"/>
      <c r="F290" s="39"/>
    </row>
    <row r="291" spans="2:6">
      <c r="B291" s="39"/>
      <c r="C291" s="39"/>
      <c r="D291" s="39"/>
      <c r="E291" s="39"/>
      <c r="F291" s="39"/>
    </row>
    <row r="292" spans="2:6">
      <c r="B292" s="39"/>
      <c r="C292" s="39"/>
      <c r="D292" s="39"/>
      <c r="E292" s="39"/>
      <c r="F292" s="39"/>
    </row>
    <row r="293" spans="2:6">
      <c r="B293" s="39"/>
      <c r="C293" s="39"/>
      <c r="D293" s="39"/>
      <c r="E293" s="39"/>
      <c r="F293" s="39"/>
    </row>
    <row r="294" spans="2:6">
      <c r="B294" s="39"/>
      <c r="C294" s="39"/>
      <c r="D294" s="39"/>
      <c r="E294" s="39"/>
      <c r="F294" s="39"/>
    </row>
    <row r="295" spans="2:6">
      <c r="B295" s="39"/>
      <c r="C295" s="39"/>
      <c r="D295" s="39"/>
      <c r="E295" s="39"/>
      <c r="F295" s="39"/>
    </row>
    <row r="296" spans="2:6">
      <c r="B296" s="39"/>
      <c r="C296" s="39"/>
      <c r="D296" s="39"/>
      <c r="E296" s="39"/>
      <c r="F296" s="39"/>
    </row>
    <row r="297" spans="2:6">
      <c r="B297" s="39"/>
      <c r="C297" s="39"/>
      <c r="D297" s="39"/>
      <c r="E297" s="39"/>
      <c r="F297" s="39"/>
    </row>
    <row r="298" spans="2:6">
      <c r="B298" s="39"/>
      <c r="C298" s="39"/>
      <c r="D298" s="39"/>
      <c r="E298" s="39"/>
      <c r="F298" s="39"/>
    </row>
    <row r="299" spans="2:6">
      <c r="B299" s="39"/>
      <c r="C299" s="39"/>
      <c r="D299" s="39"/>
      <c r="E299" s="39"/>
      <c r="F299" s="39"/>
    </row>
    <row r="300" spans="2:6">
      <c r="B300" s="39"/>
      <c r="C300" s="39"/>
      <c r="D300" s="39"/>
      <c r="E300" s="39"/>
      <c r="F300" s="39"/>
    </row>
    <row r="301" spans="2:6">
      <c r="B301" s="39"/>
      <c r="C301" s="39"/>
      <c r="D301" s="39"/>
      <c r="E301" s="39"/>
      <c r="F301" s="39"/>
    </row>
    <row r="302" spans="2:6">
      <c r="B302" s="39"/>
      <c r="C302" s="39"/>
      <c r="D302" s="39"/>
      <c r="E302" s="39"/>
      <c r="F302" s="39"/>
    </row>
    <row r="303" spans="2:6">
      <c r="B303" s="39"/>
      <c r="C303" s="39"/>
      <c r="D303" s="39"/>
      <c r="E303" s="39"/>
      <c r="F303" s="39"/>
    </row>
    <row r="304" spans="2:6">
      <c r="B304" s="39"/>
      <c r="C304" s="39"/>
      <c r="D304" s="39"/>
      <c r="E304" s="39"/>
      <c r="F304" s="39"/>
    </row>
    <row r="305" spans="2:6">
      <c r="B305" s="39"/>
      <c r="C305" s="39"/>
      <c r="D305" s="39"/>
      <c r="E305" s="39"/>
      <c r="F305" s="39"/>
    </row>
    <row r="306" spans="2:6">
      <c r="B306" s="39"/>
      <c r="C306" s="39"/>
      <c r="D306" s="39"/>
      <c r="E306" s="39"/>
      <c r="F306" s="39"/>
    </row>
    <row r="307" spans="2:6">
      <c r="B307" s="39"/>
      <c r="C307" s="39"/>
      <c r="D307" s="39"/>
      <c r="E307" s="39"/>
      <c r="F307" s="39"/>
    </row>
    <row r="308" spans="2:6">
      <c r="B308" s="39"/>
      <c r="C308" s="39"/>
      <c r="D308" s="39"/>
      <c r="E308" s="39"/>
      <c r="F308" s="39"/>
    </row>
    <row r="309" spans="2:6">
      <c r="B309" s="39"/>
      <c r="C309" s="39"/>
      <c r="D309" s="39"/>
      <c r="E309" s="39"/>
      <c r="F309" s="39"/>
    </row>
    <row r="310" spans="2:6">
      <c r="B310" s="39"/>
      <c r="C310" s="39"/>
      <c r="D310" s="39"/>
      <c r="E310" s="39"/>
      <c r="F310" s="39"/>
    </row>
    <row r="311" spans="2:6">
      <c r="B311" s="39"/>
      <c r="C311" s="39"/>
      <c r="D311" s="39"/>
      <c r="E311" s="39"/>
      <c r="F311" s="39"/>
    </row>
    <row r="312" spans="2:6">
      <c r="B312" s="39"/>
      <c r="C312" s="39"/>
      <c r="D312" s="39"/>
      <c r="E312" s="39"/>
      <c r="F312" s="39"/>
    </row>
    <row r="313" spans="2:6">
      <c r="B313" s="39"/>
      <c r="C313" s="39"/>
      <c r="D313" s="39"/>
      <c r="E313" s="39"/>
      <c r="F313" s="39"/>
    </row>
    <row r="314" spans="2:6">
      <c r="B314" s="39"/>
      <c r="C314" s="39"/>
      <c r="D314" s="39"/>
      <c r="E314" s="39"/>
      <c r="F314" s="39"/>
    </row>
    <row r="315" spans="2:6">
      <c r="B315" s="39"/>
      <c r="C315" s="39"/>
      <c r="D315" s="39"/>
      <c r="E315" s="39"/>
      <c r="F315" s="39"/>
    </row>
    <row r="316" spans="2:6">
      <c r="B316" s="39"/>
      <c r="C316" s="39"/>
      <c r="D316" s="39"/>
      <c r="E316" s="39"/>
      <c r="F316" s="39"/>
    </row>
    <row r="317" spans="2:6">
      <c r="B317" s="39"/>
      <c r="C317" s="39"/>
      <c r="D317" s="39"/>
      <c r="E317" s="39"/>
      <c r="F317" s="39"/>
    </row>
    <row r="318" spans="2:6">
      <c r="B318" s="39"/>
      <c r="C318" s="39"/>
      <c r="D318" s="39"/>
      <c r="E318" s="39"/>
      <c r="F318" s="39"/>
    </row>
    <row r="319" spans="2:6">
      <c r="B319" s="39"/>
      <c r="C319" s="39"/>
      <c r="D319" s="39"/>
      <c r="E319" s="39"/>
      <c r="F319" s="39"/>
    </row>
    <row r="320" spans="2:6">
      <c r="B320" s="39"/>
      <c r="C320" s="39"/>
      <c r="D320" s="39"/>
      <c r="E320" s="39"/>
      <c r="F320" s="39"/>
    </row>
    <row r="321" spans="2:6">
      <c r="B321" s="39"/>
      <c r="C321" s="39"/>
      <c r="D321" s="39"/>
      <c r="E321" s="39"/>
      <c r="F321" s="39"/>
    </row>
    <row r="322" spans="2:6">
      <c r="B322" s="39"/>
      <c r="C322" s="39"/>
      <c r="D322" s="39"/>
      <c r="E322" s="39"/>
      <c r="F322" s="39"/>
    </row>
    <row r="323" spans="2:6">
      <c r="B323" s="39"/>
      <c r="C323" s="39"/>
      <c r="D323" s="39"/>
      <c r="E323" s="39"/>
      <c r="F323" s="39"/>
    </row>
    <row r="324" spans="2:6">
      <c r="B324" s="39"/>
      <c r="C324" s="39"/>
      <c r="D324" s="39"/>
      <c r="E324" s="39"/>
      <c r="F324" s="39"/>
    </row>
    <row r="325" spans="2:6">
      <c r="B325" s="39"/>
      <c r="C325" s="39"/>
      <c r="D325" s="39"/>
      <c r="E325" s="39"/>
      <c r="F325" s="39"/>
    </row>
    <row r="326" spans="2:6">
      <c r="B326" s="39"/>
      <c r="C326" s="39"/>
      <c r="D326" s="39"/>
      <c r="E326" s="39"/>
      <c r="F326" s="39"/>
    </row>
    <row r="327" spans="2:6">
      <c r="B327" s="39"/>
      <c r="C327" s="39"/>
      <c r="D327" s="39"/>
      <c r="E327" s="39"/>
      <c r="F327" s="39"/>
    </row>
    <row r="328" spans="2:6">
      <c r="B328" s="39"/>
      <c r="C328" s="39"/>
      <c r="D328" s="39"/>
      <c r="E328" s="39"/>
      <c r="F328" s="39"/>
    </row>
    <row r="329" spans="2:6">
      <c r="B329" s="39"/>
      <c r="C329" s="39"/>
      <c r="D329" s="39"/>
      <c r="E329" s="39"/>
      <c r="F329" s="39"/>
    </row>
    <row r="330" spans="2:6">
      <c r="B330" s="39"/>
      <c r="C330" s="39"/>
      <c r="D330" s="39"/>
      <c r="E330" s="39"/>
      <c r="F330" s="39"/>
    </row>
    <row r="331" spans="2:6">
      <c r="B331" s="39"/>
      <c r="C331" s="39"/>
      <c r="D331" s="39"/>
      <c r="E331" s="39"/>
      <c r="F331" s="39"/>
    </row>
    <row r="332" spans="2:6">
      <c r="B332" s="39"/>
      <c r="C332" s="39"/>
      <c r="D332" s="39"/>
      <c r="E332" s="39"/>
      <c r="F332" s="39"/>
    </row>
  </sheetData>
  <mergeCells count="3">
    <mergeCell ref="F1:I1"/>
    <mergeCell ref="K1:M1"/>
    <mergeCell ref="R9:U9"/>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dimension ref="A1:AD255"/>
  <sheetViews>
    <sheetView zoomScale="85" zoomScaleNormal="85" workbookViewId="0">
      <selection activeCell="A5" sqref="A5"/>
    </sheetView>
  </sheetViews>
  <sheetFormatPr defaultRowHeight="15.9"/>
  <cols>
    <col min="1" max="1" width="15.7109375" bestFit="1" customWidth="1"/>
    <col min="2" max="2" width="15.140625" customWidth="1"/>
    <col min="3" max="3" width="16.85546875" bestFit="1" customWidth="1"/>
    <col min="4" max="4" width="22.140625" bestFit="1" customWidth="1"/>
    <col min="5" max="5" width="23.2109375" bestFit="1" customWidth="1"/>
    <col min="6" max="6" width="35.85546875" bestFit="1" customWidth="1"/>
    <col min="7" max="7" width="29.2109375" bestFit="1" customWidth="1"/>
    <col min="8" max="8" width="29.7109375" bestFit="1" customWidth="1"/>
    <col min="10" max="10" width="30.5" bestFit="1" customWidth="1"/>
    <col min="11" max="11" width="33" bestFit="1" customWidth="1"/>
    <col min="12" max="12" width="35.85546875" bestFit="1" customWidth="1"/>
    <col min="14" max="14" width="17" bestFit="1" customWidth="1"/>
    <col min="15" max="15" width="26.140625" bestFit="1" customWidth="1"/>
    <col min="17" max="17" width="21.35546875" bestFit="1" customWidth="1"/>
    <col min="18" max="18" width="15.140625" bestFit="1" customWidth="1"/>
    <col min="19" max="19" width="17.640625" bestFit="1" customWidth="1"/>
    <col min="20" max="20" width="18.140625" bestFit="1" customWidth="1"/>
    <col min="21" max="21" width="15.640625" bestFit="1" customWidth="1"/>
    <col min="23" max="23" width="25.140625" bestFit="1" customWidth="1"/>
    <col min="24" max="24" width="11.35546875" bestFit="1" customWidth="1"/>
    <col min="25" max="25" width="12.85546875" bestFit="1" customWidth="1"/>
    <col min="27" max="27" width="31.5" bestFit="1" customWidth="1"/>
    <col min="28" max="28" width="21.2109375" bestFit="1" customWidth="1"/>
    <col min="29" max="29" width="32.5" bestFit="1" customWidth="1"/>
    <col min="30" max="30" width="25.85546875" bestFit="1" customWidth="1"/>
  </cols>
  <sheetData>
    <row r="1" spans="1:30">
      <c r="A1" s="163" t="s">
        <v>728</v>
      </c>
      <c r="B1" s="163" t="str">
        <f>'Ethane Royalties'!B1</f>
        <v>Bbl to m^3</v>
      </c>
      <c r="C1" s="163" t="s">
        <v>882</v>
      </c>
      <c r="D1" s="35" t="s">
        <v>888</v>
      </c>
      <c r="E1" s="315" t="s">
        <v>887</v>
      </c>
      <c r="F1" s="315"/>
      <c r="G1" s="315"/>
      <c r="H1" s="315"/>
      <c r="I1" s="315"/>
      <c r="J1" s="315" t="s">
        <v>803</v>
      </c>
      <c r="K1" s="315"/>
      <c r="L1" s="315"/>
    </row>
    <row r="2" spans="1:30">
      <c r="A2" s="173">
        <f>'Capital Cost Calculation'!B9</f>
        <v>6354768.5</v>
      </c>
      <c r="B2" s="84">
        <f>'Ethane Royalties'!B2</f>
        <v>0.15898756717224713</v>
      </c>
      <c r="C2" s="12">
        <f>'Price Deck'!$R$4</f>
        <v>0.23</v>
      </c>
      <c r="D2" s="164">
        <v>194</v>
      </c>
      <c r="E2" s="164" t="s">
        <v>889</v>
      </c>
      <c r="F2" s="164" t="s">
        <v>890</v>
      </c>
      <c r="G2" t="s">
        <v>891</v>
      </c>
      <c r="H2" s="164" t="s">
        <v>892</v>
      </c>
      <c r="I2" t="s">
        <v>893</v>
      </c>
      <c r="J2" s="164" t="s">
        <v>800</v>
      </c>
      <c r="K2" s="164" t="s">
        <v>801</v>
      </c>
      <c r="L2" s="164" t="s">
        <v>802</v>
      </c>
    </row>
    <row r="3" spans="1:30">
      <c r="E3" s="12">
        <v>0.1</v>
      </c>
      <c r="F3" s="164" t="s">
        <v>894</v>
      </c>
      <c r="G3" t="s">
        <v>895</v>
      </c>
      <c r="H3" t="s">
        <v>896</v>
      </c>
      <c r="I3" s="12">
        <v>0.36</v>
      </c>
      <c r="J3" s="164">
        <v>176.19</v>
      </c>
      <c r="K3" s="164">
        <v>286.31</v>
      </c>
      <c r="L3" s="164">
        <v>506.55</v>
      </c>
    </row>
    <row r="4" spans="1:30">
      <c r="A4" s="163" t="s">
        <v>816</v>
      </c>
    </row>
    <row r="5" spans="1:30">
      <c r="A5" s="164">
        <f>'Capital Cost Calculation'!B10</f>
        <v>24</v>
      </c>
    </row>
    <row r="8" spans="1:30">
      <c r="B8" s="163" t="s">
        <v>735</v>
      </c>
      <c r="H8" s="163" t="s">
        <v>571</v>
      </c>
    </row>
    <row r="9" spans="1:30">
      <c r="A9" s="49"/>
      <c r="B9" s="52" t="str">
        <f>'Liquids Type Curve'!A17</f>
        <v>Years</v>
      </c>
      <c r="C9" s="52" t="str">
        <f>'Liquids Type Curve'!B17</f>
        <v>Months</v>
      </c>
      <c r="D9" s="172" t="str">
        <f>'Liquids Type Curve'!C17</f>
        <v>Daily production (Bbl/d)</v>
      </c>
      <c r="E9" s="172" t="str">
        <f>'Liquids Type Curve'!D17</f>
        <v>Monthly production (Bbl)</v>
      </c>
      <c r="F9" s="52" t="str">
        <f>'Liquids Type Curve'!E17</f>
        <v>Cumulative Production (Bbls)</v>
      </c>
      <c r="G9" s="35"/>
      <c r="H9" s="163" t="s">
        <v>711</v>
      </c>
      <c r="I9" s="163" t="s">
        <v>712</v>
      </c>
      <c r="J9" s="35" t="s">
        <v>883</v>
      </c>
      <c r="K9" s="35" t="s">
        <v>884</v>
      </c>
      <c r="L9" s="35" t="s">
        <v>715</v>
      </c>
      <c r="N9" s="35" t="s">
        <v>885</v>
      </c>
      <c r="O9" s="35" t="s">
        <v>886</v>
      </c>
      <c r="Q9" s="35" t="s">
        <v>817</v>
      </c>
      <c r="R9" s="315" t="s">
        <v>887</v>
      </c>
      <c r="S9" s="315"/>
      <c r="T9" s="315"/>
      <c r="U9" s="315"/>
      <c r="V9" s="35"/>
      <c r="W9" s="163" t="s">
        <v>807</v>
      </c>
      <c r="X9" s="163" t="s">
        <v>786</v>
      </c>
      <c r="Y9" s="35" t="s">
        <v>786</v>
      </c>
      <c r="AA9" s="163" t="s">
        <v>818</v>
      </c>
      <c r="AB9" s="163" t="s">
        <v>777</v>
      </c>
      <c r="AC9" s="158" t="s">
        <v>820</v>
      </c>
      <c r="AD9" s="79" t="s">
        <v>898</v>
      </c>
    </row>
    <row r="10" spans="1:30">
      <c r="R10" t="s">
        <v>897</v>
      </c>
      <c r="S10" t="s">
        <v>890</v>
      </c>
      <c r="T10" t="s">
        <v>891</v>
      </c>
      <c r="U10" t="s">
        <v>892</v>
      </c>
    </row>
    <row r="11" spans="1:30">
      <c r="A11" s="164" t="str">
        <f>'Price Deck'!A5</f>
        <v>03/2019</v>
      </c>
      <c r="B11" s="51">
        <f>'Liquids Type Curve'!A18</f>
        <v>4.3478260869565251E-2</v>
      </c>
      <c r="C11" s="51">
        <f>'Liquids Type Curve'!B18</f>
        <v>0.52173913043478304</v>
      </c>
      <c r="D11" s="51">
        <f>'Liquids Type Curve'!C18</f>
        <v>55.2173913043478</v>
      </c>
      <c r="E11" s="51">
        <f>'Liquids Type Curve'!D18</f>
        <v>1679.5289855072456</v>
      </c>
      <c r="F11" s="51">
        <f>'Liquids Type Curve'!E18</f>
        <v>1679.5289855072456</v>
      </c>
      <c r="G11" s="39"/>
      <c r="H11" s="51">
        <f>B11</f>
        <v>4.3478260869565251E-2</v>
      </c>
      <c r="I11" s="39">
        <f>C11</f>
        <v>0.52173913043478304</v>
      </c>
      <c r="J11" s="51">
        <f>D11*$C$2</f>
        <v>12.699999999999994</v>
      </c>
      <c r="K11" s="51">
        <f>E11*$C$2</f>
        <v>386.29166666666652</v>
      </c>
      <c r="L11" s="51">
        <f>F11*$C$2</f>
        <v>386.29166666666652</v>
      </c>
      <c r="M11" s="39"/>
      <c r="N11" s="51">
        <f>K11*$B$2</f>
        <v>61.415572302245941</v>
      </c>
      <c r="O11" s="85">
        <f>('Price Deck'!R5/$B$2)/'Price Deck'!M5</f>
        <v>154.1001</v>
      </c>
      <c r="Q11" s="155">
        <f>MIN(IF(O11&gt;$L$3,U11,IF(O11&gt;$K$3,T11,IF(O11&gt;$J$3,S11))),0.36)</f>
        <v>0</v>
      </c>
      <c r="R11" s="155">
        <f>$E$3</f>
        <v>0.1</v>
      </c>
      <c r="S11" s="155">
        <f>((O11-$J$3)*0.00101+0.1)</f>
        <v>7.7689200999999999E-2</v>
      </c>
      <c r="T11" s="155">
        <f>((O11-$K$3))*0.00055+0.21122</f>
        <v>0.13850455499999997</v>
      </c>
      <c r="U11" s="155">
        <f>((O11-$L$3)*0.00031+0.33235)</f>
        <v>0.22309053099999998</v>
      </c>
      <c r="W11" s="155">
        <f>IF(N11&gt;$D$2,0,((N11-$D$2)*0.00135))</f>
        <v>-0.17898897739196798</v>
      </c>
      <c r="X11" s="157">
        <f>MAX(0.05,Q11+W11)</f>
        <v>0.05</v>
      </c>
      <c r="Y11" s="155">
        <f>IF(C11&gt;$A$5,X11,0.05)</f>
        <v>0.05</v>
      </c>
      <c r="AA11" s="85">
        <f>'Price Deck'!R5/'Price Deck'!M5</f>
        <v>24.5</v>
      </c>
      <c r="AB11" s="85">
        <f>AA11*K11</f>
        <v>9464.1458333333303</v>
      </c>
      <c r="AC11" s="85">
        <f>AB11*Y11</f>
        <v>473.20729166666655</v>
      </c>
      <c r="AD11" s="85">
        <f>AC11/K11</f>
        <v>1.2250000000000001</v>
      </c>
    </row>
    <row r="12" spans="1:30">
      <c r="A12" s="164" t="str">
        <f>'Price Deck'!A6</f>
        <v>04/2019</v>
      </c>
      <c r="B12" s="51">
        <f>'Liquids Type Curve'!A19</f>
        <v>7.7098078867542746E-2</v>
      </c>
      <c r="C12" s="51">
        <f>'Liquids Type Curve'!B19</f>
        <v>0.92517694641051296</v>
      </c>
      <c r="D12" s="51">
        <f>'Liquids Type Curve'!C19</f>
        <v>63.913043478260803</v>
      </c>
      <c r="E12" s="51">
        <f>'Liquids Type Curve'!D19</f>
        <v>1944.0217391304329</v>
      </c>
      <c r="F12" s="51">
        <f>'Liquids Type Curve'!E19</f>
        <v>3623.5507246376783</v>
      </c>
      <c r="G12" s="39"/>
      <c r="H12" s="51">
        <f t="shared" ref="H12:H75" si="0">B12</f>
        <v>7.7098078867542746E-2</v>
      </c>
      <c r="I12" s="39">
        <f t="shared" ref="I12:I75" si="1">C12</f>
        <v>0.92517694641051296</v>
      </c>
      <c r="J12" s="51">
        <f t="shared" ref="J12:J75" si="2">D12*$C$2</f>
        <v>14.699999999999985</v>
      </c>
      <c r="K12" s="51">
        <f t="shared" ref="K12:K75" si="3">E12*$C$2</f>
        <v>447.1249999999996</v>
      </c>
      <c r="L12" s="51">
        <f t="shared" ref="L12:L75" si="4">F12*$C$2</f>
        <v>833.41666666666606</v>
      </c>
      <c r="M12" s="39"/>
      <c r="N12" s="51">
        <f t="shared" ref="N12:N75" si="5">K12*$B$2</f>
        <v>71.087315971890931</v>
      </c>
      <c r="O12" s="85">
        <f>('Price Deck'!R6/$B$2)/'Price Deck'!M6</f>
        <v>154.1001</v>
      </c>
      <c r="Q12" s="155">
        <f t="shared" ref="Q12:Q75" si="6">MIN(IF(O12&gt;$L$3,U12,IF(O12&gt;$K$3,T12,IF(O12&gt;$J$3,S12))),0.36)</f>
        <v>0</v>
      </c>
      <c r="R12" s="155">
        <f t="shared" ref="R12:R75" si="7">$E$3</f>
        <v>0.1</v>
      </c>
      <c r="S12" s="155">
        <f t="shared" ref="S12:S75" si="8">((O12-$J$3)*0.00101+0.1)</f>
        <v>7.7689200999999999E-2</v>
      </c>
      <c r="T12" s="155">
        <f t="shared" ref="T12:T75" si="9">((O12-$K$3))*0.00055+0.21122</f>
        <v>0.13850455499999997</v>
      </c>
      <c r="U12" s="155">
        <f t="shared" ref="U12:U75" si="10">((O12-$L$3)*0.00031+0.33235)</f>
        <v>0.22309053099999998</v>
      </c>
      <c r="W12" s="155">
        <f t="shared" ref="W12:W75" si="11">IF(N12&gt;$D$2,0,((N12-$D$2)*0.00135))</f>
        <v>-0.16593212343794725</v>
      </c>
      <c r="X12" s="157">
        <f t="shared" ref="X12:X75" si="12">MAX(0.05,Q12+W12)</f>
        <v>0.05</v>
      </c>
      <c r="Y12" s="155">
        <f t="shared" ref="Y12:Y75" si="13">IF(C12&gt;$A$5,X12,0.05)</f>
        <v>0.05</v>
      </c>
      <c r="AA12" s="85">
        <f>'Price Deck'!R6/'Price Deck'!M6</f>
        <v>24.5</v>
      </c>
      <c r="AB12" s="85">
        <f t="shared" ref="AB12:AB75" si="14">AA12*K12</f>
        <v>10954.562499999991</v>
      </c>
      <c r="AC12" s="85">
        <f t="shared" ref="AC12:AC75" si="15">AB12*Y12</f>
        <v>547.72812499999952</v>
      </c>
      <c r="AD12" s="85">
        <f t="shared" ref="AD12:AD75" si="16">AC12/K12</f>
        <v>1.2250000000000001</v>
      </c>
    </row>
    <row r="13" spans="1:30">
      <c r="A13" s="164" t="str">
        <f>'Price Deck'!A7</f>
        <v>05/2019</v>
      </c>
      <c r="B13" s="51">
        <f>'Liquids Type Curve'!A20</f>
        <v>0.12285136501516584</v>
      </c>
      <c r="C13" s="51">
        <f>'Liquids Type Curve'!B20</f>
        <v>1.4742163801819901</v>
      </c>
      <c r="D13" s="51">
        <f>'Liquids Type Curve'!C20</f>
        <v>69.130434782608702</v>
      </c>
      <c r="E13" s="51">
        <f>'Liquids Type Curve'!D20</f>
        <v>2102.717391304348</v>
      </c>
      <c r="F13" s="51">
        <f>'Liquids Type Curve'!E20</f>
        <v>5726.2681159420263</v>
      </c>
      <c r="G13" s="39"/>
      <c r="H13" s="51">
        <f t="shared" si="0"/>
        <v>0.12285136501516584</v>
      </c>
      <c r="I13" s="39">
        <f t="shared" si="1"/>
        <v>1.4742163801819901</v>
      </c>
      <c r="J13" s="51">
        <f t="shared" si="2"/>
        <v>15.900000000000002</v>
      </c>
      <c r="K13" s="51">
        <f t="shared" si="3"/>
        <v>483.62500000000006</v>
      </c>
      <c r="L13" s="51">
        <f t="shared" si="4"/>
        <v>1317.0416666666661</v>
      </c>
      <c r="M13" s="39"/>
      <c r="N13" s="51">
        <f t="shared" si="5"/>
        <v>76.890362173678028</v>
      </c>
      <c r="O13" s="85">
        <f>('Price Deck'!R7/$B$2)/'Price Deck'!M7</f>
        <v>154.1001</v>
      </c>
      <c r="Q13" s="155">
        <f t="shared" si="6"/>
        <v>0</v>
      </c>
      <c r="R13" s="155">
        <f t="shared" si="7"/>
        <v>0.1</v>
      </c>
      <c r="S13" s="155">
        <f t="shared" si="8"/>
        <v>7.7689200999999999E-2</v>
      </c>
      <c r="T13" s="155">
        <f t="shared" si="9"/>
        <v>0.13850455499999997</v>
      </c>
      <c r="U13" s="155">
        <f t="shared" si="10"/>
        <v>0.22309053099999998</v>
      </c>
      <c r="W13" s="155">
        <f t="shared" si="11"/>
        <v>-0.15809801106553467</v>
      </c>
      <c r="X13" s="157">
        <f t="shared" si="12"/>
        <v>0.05</v>
      </c>
      <c r="Y13" s="155">
        <f t="shared" si="13"/>
        <v>0.05</v>
      </c>
      <c r="AA13" s="85">
        <f>'Price Deck'!R7/'Price Deck'!M7</f>
        <v>24.5</v>
      </c>
      <c r="AB13" s="85">
        <f t="shared" si="14"/>
        <v>11848.812500000002</v>
      </c>
      <c r="AC13" s="85">
        <f t="shared" si="15"/>
        <v>592.44062500000007</v>
      </c>
      <c r="AD13" s="85">
        <f t="shared" si="16"/>
        <v>1.2250000000000001</v>
      </c>
    </row>
    <row r="14" spans="1:30">
      <c r="A14" s="164" t="str">
        <f>'Price Deck'!A8</f>
        <v>06/2019</v>
      </c>
      <c r="B14" s="51">
        <f>'Liquids Type Curve'!A21</f>
        <v>0.16885743174924084</v>
      </c>
      <c r="C14" s="51">
        <f>'Liquids Type Curve'!B21</f>
        <v>2.0262891809908901</v>
      </c>
      <c r="D14" s="51">
        <f>'Liquids Type Curve'!C21</f>
        <v>72.608695652173907</v>
      </c>
      <c r="E14" s="51">
        <f>'Liquids Type Curve'!D21</f>
        <v>2208.514492753623</v>
      </c>
      <c r="F14" s="51">
        <f>'Liquids Type Curve'!E21</f>
        <v>7934.7826086956493</v>
      </c>
      <c r="G14" s="39"/>
      <c r="H14" s="51">
        <f t="shared" si="0"/>
        <v>0.16885743174924084</v>
      </c>
      <c r="I14" s="39">
        <f t="shared" si="1"/>
        <v>2.0262891809908901</v>
      </c>
      <c r="J14" s="51">
        <f t="shared" si="2"/>
        <v>16.7</v>
      </c>
      <c r="K14" s="51">
        <f t="shared" si="3"/>
        <v>507.95833333333331</v>
      </c>
      <c r="L14" s="51">
        <f t="shared" si="4"/>
        <v>1824.9999999999993</v>
      </c>
      <c r="M14" s="39"/>
      <c r="N14" s="51">
        <f t="shared" si="5"/>
        <v>80.759059641536027</v>
      </c>
      <c r="O14" s="85">
        <f>('Price Deck'!R8/$B$2)/'Price Deck'!M8</f>
        <v>154.1001</v>
      </c>
      <c r="Q14" s="155">
        <f t="shared" si="6"/>
        <v>0</v>
      </c>
      <c r="R14" s="155">
        <f t="shared" si="7"/>
        <v>0.1</v>
      </c>
      <c r="S14" s="155">
        <f t="shared" si="8"/>
        <v>7.7689200999999999E-2</v>
      </c>
      <c r="T14" s="155">
        <f t="shared" si="9"/>
        <v>0.13850455499999997</v>
      </c>
      <c r="U14" s="155">
        <f t="shared" si="10"/>
        <v>0.22309053099999998</v>
      </c>
      <c r="W14" s="155">
        <f t="shared" si="11"/>
        <v>-0.15287526948392638</v>
      </c>
      <c r="X14" s="157">
        <f t="shared" si="12"/>
        <v>0.05</v>
      </c>
      <c r="Y14" s="155">
        <f t="shared" si="13"/>
        <v>0.05</v>
      </c>
      <c r="AA14" s="85">
        <f>'Price Deck'!R8/'Price Deck'!M8</f>
        <v>24.5</v>
      </c>
      <c r="AB14" s="85">
        <f t="shared" si="14"/>
        <v>12444.979166666666</v>
      </c>
      <c r="AC14" s="85">
        <f t="shared" si="15"/>
        <v>622.24895833333335</v>
      </c>
      <c r="AD14" s="85">
        <f t="shared" si="16"/>
        <v>1.2250000000000001</v>
      </c>
    </row>
    <row r="15" spans="1:30">
      <c r="A15" s="164" t="str">
        <f>'Price Deck'!A9</f>
        <v>07/2019</v>
      </c>
      <c r="B15" s="51">
        <f>'Liquids Type Curve'!A22</f>
        <v>0.21486349848331585</v>
      </c>
      <c r="C15" s="51">
        <f>'Liquids Type Curve'!B22</f>
        <v>2.57836198179979</v>
      </c>
      <c r="D15" s="51">
        <f>'Liquids Type Curve'!C22</f>
        <v>76.086956521739197</v>
      </c>
      <c r="E15" s="51">
        <f>'Liquids Type Curve'!D22</f>
        <v>2314.3115942029008</v>
      </c>
      <c r="F15" s="51">
        <f>'Liquids Type Curve'!E22</f>
        <v>10249.09420289855</v>
      </c>
      <c r="G15" s="39"/>
      <c r="H15" s="51">
        <f t="shared" si="0"/>
        <v>0.21486349848331585</v>
      </c>
      <c r="I15" s="39">
        <f t="shared" si="1"/>
        <v>2.57836198179979</v>
      </c>
      <c r="J15" s="51">
        <f t="shared" si="2"/>
        <v>17.500000000000014</v>
      </c>
      <c r="K15" s="51">
        <f t="shared" si="3"/>
        <v>532.2916666666672</v>
      </c>
      <c r="L15" s="51">
        <f t="shared" si="4"/>
        <v>2357.2916666666665</v>
      </c>
      <c r="M15" s="39"/>
      <c r="N15" s="51">
        <f t="shared" si="5"/>
        <v>84.627757109394125</v>
      </c>
      <c r="O15" s="85">
        <f>('Price Deck'!R9/$B$2)/'Price Deck'!M9</f>
        <v>154.1001</v>
      </c>
      <c r="Q15" s="155">
        <f t="shared" si="6"/>
        <v>0</v>
      </c>
      <c r="R15" s="155">
        <f t="shared" si="7"/>
        <v>0.1</v>
      </c>
      <c r="S15" s="155">
        <f t="shared" si="8"/>
        <v>7.7689200999999999E-2</v>
      </c>
      <c r="T15" s="155">
        <f t="shared" si="9"/>
        <v>0.13850455499999997</v>
      </c>
      <c r="U15" s="155">
        <f t="shared" si="10"/>
        <v>0.22309053099999998</v>
      </c>
      <c r="W15" s="155">
        <f t="shared" si="11"/>
        <v>-0.14765252790231795</v>
      </c>
      <c r="X15" s="157">
        <f t="shared" si="12"/>
        <v>0.05</v>
      </c>
      <c r="Y15" s="155">
        <f t="shared" si="13"/>
        <v>0.05</v>
      </c>
      <c r="AA15" s="85">
        <f>'Price Deck'!R9/'Price Deck'!M9</f>
        <v>24.5</v>
      </c>
      <c r="AB15" s="85">
        <f t="shared" si="14"/>
        <v>13041.145833333347</v>
      </c>
      <c r="AC15" s="85">
        <f t="shared" si="15"/>
        <v>652.05729166666742</v>
      </c>
      <c r="AD15" s="85">
        <f t="shared" si="16"/>
        <v>1.2250000000000003</v>
      </c>
    </row>
    <row r="16" spans="1:30">
      <c r="A16" s="164" t="str">
        <f>'Price Deck'!A10</f>
        <v>08/2019</v>
      </c>
      <c r="B16" s="51">
        <f>'Liquids Type Curve'!A23</f>
        <v>0.272497472194135</v>
      </c>
      <c r="C16" s="51">
        <f>'Liquids Type Curve'!B23</f>
        <v>3.2699696663296201</v>
      </c>
      <c r="D16" s="51">
        <f>'Liquids Type Curve'!C23</f>
        <v>79.565217391304401</v>
      </c>
      <c r="E16" s="51">
        <f>'Liquids Type Curve'!D23</f>
        <v>2420.1086956521758</v>
      </c>
      <c r="F16" s="51">
        <f>'Liquids Type Curve'!E23</f>
        <v>12669.202898550726</v>
      </c>
      <c r="G16" s="39"/>
      <c r="H16" s="51">
        <f t="shared" si="0"/>
        <v>0.272497472194135</v>
      </c>
      <c r="I16" s="39">
        <f t="shared" si="1"/>
        <v>3.2699696663296201</v>
      </c>
      <c r="J16" s="51">
        <f t="shared" si="2"/>
        <v>18.300000000000011</v>
      </c>
      <c r="K16" s="51">
        <f t="shared" si="3"/>
        <v>556.62500000000045</v>
      </c>
      <c r="L16" s="51">
        <f t="shared" si="4"/>
        <v>2913.916666666667</v>
      </c>
      <c r="M16" s="39"/>
      <c r="N16" s="51">
        <f t="shared" si="5"/>
        <v>88.496454577252138</v>
      </c>
      <c r="O16" s="85">
        <f>('Price Deck'!R10/$B$2)/'Price Deck'!M10</f>
        <v>154.1001</v>
      </c>
      <c r="Q16" s="155">
        <f t="shared" si="6"/>
        <v>0</v>
      </c>
      <c r="R16" s="155">
        <f t="shared" si="7"/>
        <v>0.1</v>
      </c>
      <c r="S16" s="155">
        <f t="shared" si="8"/>
        <v>7.7689200999999999E-2</v>
      </c>
      <c r="T16" s="155">
        <f t="shared" si="9"/>
        <v>0.13850455499999997</v>
      </c>
      <c r="U16" s="155">
        <f t="shared" si="10"/>
        <v>0.22309053099999998</v>
      </c>
      <c r="W16" s="155">
        <f t="shared" si="11"/>
        <v>-0.14242978632070963</v>
      </c>
      <c r="X16" s="157">
        <f t="shared" si="12"/>
        <v>0.05</v>
      </c>
      <c r="Y16" s="155">
        <f t="shared" si="13"/>
        <v>0.05</v>
      </c>
      <c r="AA16" s="85">
        <f>'Price Deck'!R10/'Price Deck'!M10</f>
        <v>24.5</v>
      </c>
      <c r="AB16" s="85">
        <f t="shared" si="14"/>
        <v>13637.312500000011</v>
      </c>
      <c r="AC16" s="85">
        <f t="shared" si="15"/>
        <v>681.86562500000059</v>
      </c>
      <c r="AD16" s="85">
        <f t="shared" si="16"/>
        <v>1.2250000000000001</v>
      </c>
    </row>
    <row r="17" spans="1:30">
      <c r="A17" s="164" t="str">
        <f>'Price Deck'!A11</f>
        <v>09/2019</v>
      </c>
      <c r="B17" s="51">
        <f>'Liquids Type Curve'!A24</f>
        <v>0.3415065722952475</v>
      </c>
      <c r="C17" s="51">
        <f>'Liquids Type Curve'!B24</f>
        <v>4.09807886754297</v>
      </c>
      <c r="D17" s="51">
        <f>'Liquids Type Curve'!C24</f>
        <v>84.7826086956522</v>
      </c>
      <c r="E17" s="51">
        <f>'Liquids Type Curve'!D24</f>
        <v>2578.8043478260879</v>
      </c>
      <c r="F17" s="51">
        <f>'Liquids Type Curve'!E24</f>
        <v>15248.007246376814</v>
      </c>
      <c r="G17" s="39"/>
      <c r="H17" s="51">
        <f t="shared" si="0"/>
        <v>0.3415065722952475</v>
      </c>
      <c r="I17" s="39">
        <f t="shared" si="1"/>
        <v>4.09807886754297</v>
      </c>
      <c r="J17" s="51">
        <f t="shared" si="2"/>
        <v>19.500000000000007</v>
      </c>
      <c r="K17" s="51">
        <f t="shared" si="3"/>
        <v>593.12500000000023</v>
      </c>
      <c r="L17" s="51">
        <f t="shared" si="4"/>
        <v>3507.0416666666674</v>
      </c>
      <c r="M17" s="39"/>
      <c r="N17" s="51">
        <f t="shared" si="5"/>
        <v>94.299500779039121</v>
      </c>
      <c r="O17" s="85">
        <f>('Price Deck'!R11/$B$2)/'Price Deck'!M11</f>
        <v>154.1001</v>
      </c>
      <c r="Q17" s="155">
        <f t="shared" si="6"/>
        <v>0</v>
      </c>
      <c r="R17" s="155">
        <f t="shared" si="7"/>
        <v>0.1</v>
      </c>
      <c r="S17" s="155">
        <f t="shared" si="8"/>
        <v>7.7689200999999999E-2</v>
      </c>
      <c r="T17" s="155">
        <f t="shared" si="9"/>
        <v>0.13850455499999997</v>
      </c>
      <c r="U17" s="155">
        <f t="shared" si="10"/>
        <v>0.22309053099999998</v>
      </c>
      <c r="W17" s="155">
        <f t="shared" si="11"/>
        <v>-0.13459567394829719</v>
      </c>
      <c r="X17" s="157">
        <f t="shared" si="12"/>
        <v>0.05</v>
      </c>
      <c r="Y17" s="155">
        <f t="shared" si="13"/>
        <v>0.05</v>
      </c>
      <c r="AA17" s="85">
        <f>'Price Deck'!R11/'Price Deck'!M11</f>
        <v>24.5</v>
      </c>
      <c r="AB17" s="85">
        <f t="shared" si="14"/>
        <v>14531.562500000005</v>
      </c>
      <c r="AC17" s="85">
        <f t="shared" si="15"/>
        <v>726.57812500000034</v>
      </c>
      <c r="AD17" s="85">
        <f t="shared" si="16"/>
        <v>1.2250000000000001</v>
      </c>
    </row>
    <row r="18" spans="1:30">
      <c r="A18" s="164" t="str">
        <f>'Price Deck'!A12</f>
        <v>10/2019</v>
      </c>
      <c r="B18" s="51">
        <f>'Liquids Type Curve'!A25</f>
        <v>0.38220424671385161</v>
      </c>
      <c r="C18" s="51">
        <f>'Liquids Type Curve'!B25</f>
        <v>4.5864509605662196</v>
      </c>
      <c r="D18" s="51">
        <f>'Liquids Type Curve'!C25</f>
        <v>84.7826086956522</v>
      </c>
      <c r="E18" s="51">
        <f>'Liquids Type Curve'!D25</f>
        <v>2578.8043478260879</v>
      </c>
      <c r="F18" s="51">
        <f>'Liquids Type Curve'!E25</f>
        <v>17826.811594202904</v>
      </c>
      <c r="G18" s="39"/>
      <c r="H18" s="51">
        <f t="shared" si="0"/>
        <v>0.38220424671385161</v>
      </c>
      <c r="I18" s="39">
        <f t="shared" si="1"/>
        <v>4.5864509605662196</v>
      </c>
      <c r="J18" s="51">
        <f t="shared" si="2"/>
        <v>19.500000000000007</v>
      </c>
      <c r="K18" s="51">
        <f t="shared" si="3"/>
        <v>593.12500000000023</v>
      </c>
      <c r="L18" s="51">
        <f t="shared" si="4"/>
        <v>4100.1666666666679</v>
      </c>
      <c r="M18" s="39"/>
      <c r="N18" s="51">
        <f t="shared" si="5"/>
        <v>94.299500779039121</v>
      </c>
      <c r="O18" s="85">
        <f>('Price Deck'!R12/$B$2)/'Price Deck'!M12</f>
        <v>154.1001</v>
      </c>
      <c r="Q18" s="155">
        <f t="shared" si="6"/>
        <v>0</v>
      </c>
      <c r="R18" s="155">
        <f t="shared" si="7"/>
        <v>0.1</v>
      </c>
      <c r="S18" s="155">
        <f t="shared" si="8"/>
        <v>7.7689200999999999E-2</v>
      </c>
      <c r="T18" s="155">
        <f t="shared" si="9"/>
        <v>0.13850455499999997</v>
      </c>
      <c r="U18" s="155">
        <f t="shared" si="10"/>
        <v>0.22309053099999998</v>
      </c>
      <c r="W18" s="155">
        <f t="shared" si="11"/>
        <v>-0.13459567394829719</v>
      </c>
      <c r="X18" s="157">
        <f t="shared" si="12"/>
        <v>0.05</v>
      </c>
      <c r="Y18" s="155">
        <f t="shared" si="13"/>
        <v>0.05</v>
      </c>
      <c r="AA18" s="85">
        <f>'Price Deck'!R12/'Price Deck'!M12</f>
        <v>24.5</v>
      </c>
      <c r="AB18" s="85">
        <f t="shared" si="14"/>
        <v>14531.562500000005</v>
      </c>
      <c r="AC18" s="85">
        <f t="shared" si="15"/>
        <v>726.57812500000034</v>
      </c>
      <c r="AD18" s="85">
        <f t="shared" si="16"/>
        <v>1.2250000000000001</v>
      </c>
    </row>
    <row r="19" spans="1:30">
      <c r="A19" s="164" t="str">
        <f>'Price Deck'!A13</f>
        <v>11/2019</v>
      </c>
      <c r="B19" s="51">
        <f>'Liquids Type Curve'!A26</f>
        <v>0.4165824064711825</v>
      </c>
      <c r="C19" s="51">
        <f>'Liquids Type Curve'!B26</f>
        <v>4.99898887765419</v>
      </c>
      <c r="D19" s="51">
        <f>'Liquids Type Curve'!C26</f>
        <v>88.260869565217405</v>
      </c>
      <c r="E19" s="51">
        <f>'Liquids Type Curve'!D26</f>
        <v>2684.6014492753629</v>
      </c>
      <c r="F19" s="51">
        <f>'Liquids Type Curve'!E26</f>
        <v>20511.413043478267</v>
      </c>
      <c r="G19" s="39"/>
      <c r="H19" s="51">
        <f t="shared" si="0"/>
        <v>0.4165824064711825</v>
      </c>
      <c r="I19" s="39">
        <f t="shared" si="1"/>
        <v>4.99898887765419</v>
      </c>
      <c r="J19" s="51">
        <f t="shared" si="2"/>
        <v>20.300000000000004</v>
      </c>
      <c r="K19" s="51">
        <f t="shared" si="3"/>
        <v>617.45833333333348</v>
      </c>
      <c r="L19" s="51">
        <f t="shared" si="4"/>
        <v>4717.6250000000018</v>
      </c>
      <c r="M19" s="39"/>
      <c r="N19" s="51">
        <f t="shared" si="5"/>
        <v>98.16819824689712</v>
      </c>
      <c r="O19" s="85">
        <f>('Price Deck'!R13/$B$2)/'Price Deck'!M13</f>
        <v>154.1001</v>
      </c>
      <c r="Q19" s="155">
        <f t="shared" si="6"/>
        <v>0</v>
      </c>
      <c r="R19" s="155">
        <f t="shared" si="7"/>
        <v>0.1</v>
      </c>
      <c r="S19" s="155">
        <f t="shared" si="8"/>
        <v>7.7689200999999999E-2</v>
      </c>
      <c r="T19" s="155">
        <f t="shared" si="9"/>
        <v>0.13850455499999997</v>
      </c>
      <c r="U19" s="155">
        <f t="shared" si="10"/>
        <v>0.22309053099999998</v>
      </c>
      <c r="W19" s="155">
        <f t="shared" si="11"/>
        <v>-0.1293729323666889</v>
      </c>
      <c r="X19" s="157">
        <f t="shared" si="12"/>
        <v>0.05</v>
      </c>
      <c r="Y19" s="155">
        <f t="shared" si="13"/>
        <v>0.05</v>
      </c>
      <c r="AA19" s="85">
        <f>'Price Deck'!R13/'Price Deck'!M13</f>
        <v>24.5</v>
      </c>
      <c r="AB19" s="85">
        <f t="shared" si="14"/>
        <v>15127.72916666667</v>
      </c>
      <c r="AC19" s="85">
        <f t="shared" si="15"/>
        <v>756.38645833333351</v>
      </c>
      <c r="AD19" s="85">
        <f t="shared" si="16"/>
        <v>1.2250000000000001</v>
      </c>
    </row>
    <row r="20" spans="1:30">
      <c r="A20" s="164" t="str">
        <f>'Price Deck'!A14</f>
        <v>12/2019</v>
      </c>
      <c r="B20" s="51">
        <f>'Liquids Type Curve'!A27</f>
        <v>0.48559150657229505</v>
      </c>
      <c r="C20" s="51">
        <f>'Liquids Type Curve'!B27</f>
        <v>5.8270980788675404</v>
      </c>
      <c r="D20" s="51">
        <f>'Liquids Type Curve'!C27</f>
        <v>93.478260869565304</v>
      </c>
      <c r="E20" s="51">
        <f>'Liquids Type Curve'!D27</f>
        <v>2843.2971014492782</v>
      </c>
      <c r="F20" s="51">
        <f>'Liquids Type Curve'!E27</f>
        <v>23354.710144927547</v>
      </c>
      <c r="G20" s="39"/>
      <c r="H20" s="51">
        <f t="shared" si="0"/>
        <v>0.48559150657229505</v>
      </c>
      <c r="I20" s="39">
        <f t="shared" si="1"/>
        <v>5.8270980788675404</v>
      </c>
      <c r="J20" s="51">
        <f t="shared" si="2"/>
        <v>21.500000000000021</v>
      </c>
      <c r="K20" s="51">
        <f t="shared" si="3"/>
        <v>653.95833333333405</v>
      </c>
      <c r="L20" s="51">
        <f t="shared" si="4"/>
        <v>5371.5833333333358</v>
      </c>
      <c r="M20" s="39"/>
      <c r="N20" s="51">
        <f t="shared" si="5"/>
        <v>103.97124444868423</v>
      </c>
      <c r="O20" s="85">
        <f>('Price Deck'!R14/$B$2)/'Price Deck'!M14</f>
        <v>154.1001</v>
      </c>
      <c r="Q20" s="155">
        <f t="shared" si="6"/>
        <v>0</v>
      </c>
      <c r="R20" s="155">
        <f t="shared" si="7"/>
        <v>0.1</v>
      </c>
      <c r="S20" s="155">
        <f t="shared" si="8"/>
        <v>7.7689200999999999E-2</v>
      </c>
      <c r="T20" s="155">
        <f t="shared" si="9"/>
        <v>0.13850455499999997</v>
      </c>
      <c r="U20" s="155">
        <f t="shared" si="10"/>
        <v>0.22309053099999998</v>
      </c>
      <c r="W20" s="155">
        <f t="shared" si="11"/>
        <v>-0.12153881999427629</v>
      </c>
      <c r="X20" s="157">
        <f t="shared" si="12"/>
        <v>0.05</v>
      </c>
      <c r="Y20" s="155">
        <f t="shared" si="13"/>
        <v>0.05</v>
      </c>
      <c r="AA20" s="85">
        <f>'Price Deck'!R14/'Price Deck'!M14</f>
        <v>24.5</v>
      </c>
      <c r="AB20" s="85">
        <f t="shared" si="14"/>
        <v>16021.979166666684</v>
      </c>
      <c r="AC20" s="85">
        <f t="shared" si="15"/>
        <v>801.09895833333428</v>
      </c>
      <c r="AD20" s="85">
        <f t="shared" si="16"/>
        <v>1.2250000000000001</v>
      </c>
    </row>
    <row r="21" spans="1:30">
      <c r="A21" s="164" t="str">
        <f>'Price Deck'!A15</f>
        <v>01/2020</v>
      </c>
      <c r="B21" s="51">
        <f>'Liquids Type Curve'!A28</f>
        <v>0.55535894843276001</v>
      </c>
      <c r="C21" s="51">
        <f>'Liquids Type Curve'!B28</f>
        <v>6.6643073811931197</v>
      </c>
      <c r="D21" s="51">
        <f>'Liquids Type Curve'!C28</f>
        <v>93.478260869565304</v>
      </c>
      <c r="E21" s="51">
        <f>'Liquids Type Curve'!D28</f>
        <v>2843.2971014492782</v>
      </c>
      <c r="F21" s="51">
        <f>'Liquids Type Curve'!E28</f>
        <v>26198.007246376827</v>
      </c>
      <c r="G21" s="39"/>
      <c r="H21" s="51">
        <f t="shared" si="0"/>
        <v>0.55535894843276001</v>
      </c>
      <c r="I21" s="39">
        <f t="shared" si="1"/>
        <v>6.6643073811931197</v>
      </c>
      <c r="J21" s="51">
        <f t="shared" si="2"/>
        <v>21.500000000000021</v>
      </c>
      <c r="K21" s="51">
        <f t="shared" si="3"/>
        <v>653.95833333333405</v>
      </c>
      <c r="L21" s="51">
        <f t="shared" si="4"/>
        <v>6025.5416666666706</v>
      </c>
      <c r="M21" s="39"/>
      <c r="N21" s="51">
        <f t="shared" si="5"/>
        <v>103.97124444868423</v>
      </c>
      <c r="O21" s="85">
        <f>('Price Deck'!R15/$B$2)/'Price Deck'!M15</f>
        <v>271.53526829268293</v>
      </c>
      <c r="Q21" s="155">
        <f t="shared" si="6"/>
        <v>0.19629872097560977</v>
      </c>
      <c r="R21" s="155">
        <f t="shared" si="7"/>
        <v>0.1</v>
      </c>
      <c r="S21" s="155">
        <f t="shared" si="8"/>
        <v>0.19629872097560977</v>
      </c>
      <c r="T21" s="155">
        <f t="shared" si="9"/>
        <v>0.20309389756097559</v>
      </c>
      <c r="U21" s="155">
        <f t="shared" si="10"/>
        <v>0.25949543317073165</v>
      </c>
      <c r="W21" s="155">
        <f t="shared" si="11"/>
        <v>-0.12153881999427629</v>
      </c>
      <c r="X21" s="157">
        <f t="shared" si="12"/>
        <v>7.4759900981333477E-2</v>
      </c>
      <c r="Y21" s="155">
        <f t="shared" si="13"/>
        <v>0.05</v>
      </c>
      <c r="AA21" s="85">
        <f>'Price Deck'!R15/'Price Deck'!M15</f>
        <v>43.170731707317074</v>
      </c>
      <c r="AB21" s="85">
        <f t="shared" si="14"/>
        <v>28231.859756097594</v>
      </c>
      <c r="AC21" s="85">
        <f t="shared" si="15"/>
        <v>1411.5929878048798</v>
      </c>
      <c r="AD21" s="85">
        <f t="shared" si="16"/>
        <v>2.1585365853658538</v>
      </c>
    </row>
    <row r="22" spans="1:30">
      <c r="A22" s="164" t="str">
        <f>'Price Deck'!A16</f>
        <v>02/2020</v>
      </c>
      <c r="B22" s="51">
        <f>'Liquids Type Curve'!A29</f>
        <v>0.61931243680485337</v>
      </c>
      <c r="C22" s="51">
        <f>'Liquids Type Curve'!B29</f>
        <v>7.43174924165824</v>
      </c>
      <c r="D22" s="51">
        <f>'Liquids Type Curve'!C29</f>
        <v>93.478260869565304</v>
      </c>
      <c r="E22" s="51">
        <f>'Liquids Type Curve'!D29</f>
        <v>2843.2971014492782</v>
      </c>
      <c r="F22" s="51">
        <f>'Liquids Type Curve'!E29</f>
        <v>29041.304347826106</v>
      </c>
      <c r="G22" s="39"/>
      <c r="H22" s="51">
        <f t="shared" si="0"/>
        <v>0.61931243680485337</v>
      </c>
      <c r="I22" s="39">
        <f t="shared" si="1"/>
        <v>7.43174924165824</v>
      </c>
      <c r="J22" s="51">
        <f t="shared" si="2"/>
        <v>21.500000000000021</v>
      </c>
      <c r="K22" s="51">
        <f t="shared" si="3"/>
        <v>653.95833333333405</v>
      </c>
      <c r="L22" s="51">
        <f t="shared" si="4"/>
        <v>6679.5000000000045</v>
      </c>
      <c r="M22" s="39"/>
      <c r="N22" s="51">
        <f t="shared" si="5"/>
        <v>103.97124444868423</v>
      </c>
      <c r="O22" s="85">
        <f>('Price Deck'!R16/$B$2)/'Price Deck'!M16</f>
        <v>271.53526829268293</v>
      </c>
      <c r="Q22" s="155">
        <f t="shared" si="6"/>
        <v>0.19629872097560977</v>
      </c>
      <c r="R22" s="155">
        <f t="shared" si="7"/>
        <v>0.1</v>
      </c>
      <c r="S22" s="155">
        <f t="shared" si="8"/>
        <v>0.19629872097560977</v>
      </c>
      <c r="T22" s="155">
        <f t="shared" si="9"/>
        <v>0.20309389756097559</v>
      </c>
      <c r="U22" s="155">
        <f t="shared" si="10"/>
        <v>0.25949543317073165</v>
      </c>
      <c r="W22" s="155">
        <f t="shared" si="11"/>
        <v>-0.12153881999427629</v>
      </c>
      <c r="X22" s="157">
        <f t="shared" si="12"/>
        <v>7.4759900981333477E-2</v>
      </c>
      <c r="Y22" s="155">
        <f t="shared" si="13"/>
        <v>0.05</v>
      </c>
      <c r="AA22" s="85">
        <f>'Price Deck'!R16/'Price Deck'!M16</f>
        <v>43.170731707317074</v>
      </c>
      <c r="AB22" s="85">
        <f t="shared" si="14"/>
        <v>28231.859756097594</v>
      </c>
      <c r="AC22" s="85">
        <f t="shared" si="15"/>
        <v>1411.5929878048798</v>
      </c>
      <c r="AD22" s="85">
        <f t="shared" si="16"/>
        <v>2.1585365853658538</v>
      </c>
    </row>
    <row r="23" spans="1:30">
      <c r="A23" s="164" t="str">
        <f>'Price Deck'!A17</f>
        <v>03/2020</v>
      </c>
      <c r="B23" s="51">
        <f>'Liquids Type Curve'!A30</f>
        <v>0.67189079878665325</v>
      </c>
      <c r="C23" s="51">
        <f>'Liquids Type Curve'!B30</f>
        <v>8.0626895854398395</v>
      </c>
      <c r="D23" s="51">
        <f>'Liquids Type Curve'!C30</f>
        <v>92</v>
      </c>
      <c r="E23" s="51">
        <f>'Liquids Type Curve'!D30</f>
        <v>2798.3333333333335</v>
      </c>
      <c r="F23" s="51">
        <f>'Liquids Type Curve'!E30</f>
        <v>31839.637681159438</v>
      </c>
      <c r="G23" s="39"/>
      <c r="H23" s="51">
        <f t="shared" si="0"/>
        <v>0.67189079878665325</v>
      </c>
      <c r="I23" s="39">
        <f t="shared" si="1"/>
        <v>8.0626895854398395</v>
      </c>
      <c r="J23" s="51">
        <f t="shared" si="2"/>
        <v>21.16</v>
      </c>
      <c r="K23" s="51">
        <f t="shared" si="3"/>
        <v>643.61666666666667</v>
      </c>
      <c r="L23" s="51">
        <f t="shared" si="4"/>
        <v>7323.1166666666713</v>
      </c>
      <c r="M23" s="39"/>
      <c r="N23" s="51">
        <f t="shared" si="5"/>
        <v>102.32704802484446</v>
      </c>
      <c r="O23" s="85">
        <f>('Price Deck'!R17/$B$2)/'Price Deck'!M17</f>
        <v>271.53526829268293</v>
      </c>
      <c r="Q23" s="155">
        <f t="shared" si="6"/>
        <v>0.19629872097560977</v>
      </c>
      <c r="R23" s="155">
        <f t="shared" si="7"/>
        <v>0.1</v>
      </c>
      <c r="S23" s="155">
        <f t="shared" si="8"/>
        <v>0.19629872097560977</v>
      </c>
      <c r="T23" s="155">
        <f t="shared" si="9"/>
        <v>0.20309389756097559</v>
      </c>
      <c r="U23" s="155">
        <f t="shared" si="10"/>
        <v>0.25949543317073165</v>
      </c>
      <c r="W23" s="155">
        <f t="shared" si="11"/>
        <v>-0.12375848516645999</v>
      </c>
      <c r="X23" s="157">
        <f t="shared" si="12"/>
        <v>7.2540235809149783E-2</v>
      </c>
      <c r="Y23" s="155">
        <f t="shared" si="13"/>
        <v>0.05</v>
      </c>
      <c r="AA23" s="85">
        <f>'Price Deck'!R17/'Price Deck'!M17</f>
        <v>43.170731707317074</v>
      </c>
      <c r="AB23" s="85">
        <f t="shared" si="14"/>
        <v>27785.40243902439</v>
      </c>
      <c r="AC23" s="85">
        <f t="shared" si="15"/>
        <v>1389.2701219512196</v>
      </c>
      <c r="AD23" s="85">
        <f t="shared" si="16"/>
        <v>2.1585365853658538</v>
      </c>
    </row>
    <row r="24" spans="1:30">
      <c r="A24" s="164" t="str">
        <f>'Price Deck'!A18</f>
        <v>04/2020</v>
      </c>
      <c r="B24" s="51">
        <f>'Liquids Type Curve'!A31</f>
        <v>0.75522413211998662</v>
      </c>
      <c r="C24" s="51">
        <f>'Liquids Type Curve'!B31</f>
        <v>9.0626895854398395</v>
      </c>
      <c r="D24" s="51">
        <f>'Liquids Type Curve'!C31</f>
        <v>87.321809873686405</v>
      </c>
      <c r="E24" s="51">
        <f>'Liquids Type Curve'!D31</f>
        <v>2656.0383836579617</v>
      </c>
      <c r="F24" s="51">
        <f>'Liquids Type Curve'!E31</f>
        <v>34495.676064817402</v>
      </c>
      <c r="G24" s="39"/>
      <c r="H24" s="51">
        <f t="shared" si="0"/>
        <v>0.75522413211998662</v>
      </c>
      <c r="I24" s="39">
        <f t="shared" si="1"/>
        <v>9.0626895854398395</v>
      </c>
      <c r="J24" s="51">
        <f t="shared" si="2"/>
        <v>20.084016270947874</v>
      </c>
      <c r="K24" s="51">
        <f t="shared" si="3"/>
        <v>610.88882824133123</v>
      </c>
      <c r="L24" s="51">
        <f t="shared" si="4"/>
        <v>7934.0054949080031</v>
      </c>
      <c r="M24" s="39"/>
      <c r="N24" s="51">
        <f t="shared" si="5"/>
        <v>97.12372861479399</v>
      </c>
      <c r="O24" s="85">
        <f>('Price Deck'!R18/$B$2)/'Price Deck'!M18</f>
        <v>271.53526829268293</v>
      </c>
      <c r="Q24" s="155">
        <f t="shared" si="6"/>
        <v>0.19629872097560977</v>
      </c>
      <c r="R24" s="155">
        <f t="shared" si="7"/>
        <v>0.1</v>
      </c>
      <c r="S24" s="155">
        <f t="shared" si="8"/>
        <v>0.19629872097560977</v>
      </c>
      <c r="T24" s="155">
        <f t="shared" si="9"/>
        <v>0.20309389756097559</v>
      </c>
      <c r="U24" s="155">
        <f t="shared" si="10"/>
        <v>0.25949543317073165</v>
      </c>
      <c r="W24" s="155">
        <f t="shared" si="11"/>
        <v>-0.13078296637002812</v>
      </c>
      <c r="X24" s="157">
        <f t="shared" si="12"/>
        <v>6.551575460558165E-2</v>
      </c>
      <c r="Y24" s="155">
        <f t="shared" si="13"/>
        <v>0.05</v>
      </c>
      <c r="AA24" s="85">
        <f>'Price Deck'!R18/'Price Deck'!M18</f>
        <v>43.170731707317074</v>
      </c>
      <c r="AB24" s="85">
        <f t="shared" si="14"/>
        <v>26372.517707003812</v>
      </c>
      <c r="AC24" s="85">
        <f t="shared" si="15"/>
        <v>1318.6258853501906</v>
      </c>
      <c r="AD24" s="85">
        <f t="shared" si="16"/>
        <v>2.1585365853658538</v>
      </c>
    </row>
    <row r="25" spans="1:30">
      <c r="A25" s="164" t="str">
        <f>'Price Deck'!A19</f>
        <v>05/2020</v>
      </c>
      <c r="B25" s="51">
        <f>'Liquids Type Curve'!A32</f>
        <v>0.83855746545331999</v>
      </c>
      <c r="C25" s="51">
        <f>'Liquids Type Curve'!B32</f>
        <v>10.062689585439839</v>
      </c>
      <c r="D25" s="51">
        <f>'Liquids Type Curve'!C32</f>
        <v>79.205102425857348</v>
      </c>
      <c r="E25" s="51">
        <f>'Liquids Type Curve'!D32</f>
        <v>2409.1551987864946</v>
      </c>
      <c r="F25" s="51">
        <f>'Liquids Type Curve'!E32</f>
        <v>36904.831263603897</v>
      </c>
      <c r="G25" s="39"/>
      <c r="H25" s="51">
        <f t="shared" si="0"/>
        <v>0.83855746545331999</v>
      </c>
      <c r="I25" s="39">
        <f t="shared" si="1"/>
        <v>10.062689585439839</v>
      </c>
      <c r="J25" s="51">
        <f t="shared" si="2"/>
        <v>18.217173557947191</v>
      </c>
      <c r="K25" s="51">
        <f t="shared" si="3"/>
        <v>554.10569572089378</v>
      </c>
      <c r="L25" s="51">
        <f t="shared" si="4"/>
        <v>8488.111190628897</v>
      </c>
      <c r="M25" s="39"/>
      <c r="N25" s="51">
        <f t="shared" si="5"/>
        <v>88.095916518950332</v>
      </c>
      <c r="O25" s="85">
        <f>('Price Deck'!R19/$B$2)/'Price Deck'!M19</f>
        <v>271.53526829268293</v>
      </c>
      <c r="Q25" s="155">
        <f t="shared" si="6"/>
        <v>0.19629872097560977</v>
      </c>
      <c r="R25" s="155">
        <f t="shared" si="7"/>
        <v>0.1</v>
      </c>
      <c r="S25" s="155">
        <f t="shared" si="8"/>
        <v>0.19629872097560977</v>
      </c>
      <c r="T25" s="155">
        <f t="shared" si="9"/>
        <v>0.20309389756097559</v>
      </c>
      <c r="U25" s="155">
        <f t="shared" si="10"/>
        <v>0.25949543317073165</v>
      </c>
      <c r="W25" s="155">
        <f t="shared" si="11"/>
        <v>-0.14297051269941705</v>
      </c>
      <c r="X25" s="157">
        <f t="shared" si="12"/>
        <v>5.3328208276192723E-2</v>
      </c>
      <c r="Y25" s="155">
        <f t="shared" si="13"/>
        <v>0.05</v>
      </c>
      <c r="AA25" s="85">
        <f>'Price Deck'!R19/'Price Deck'!M19</f>
        <v>43.170731707317074</v>
      </c>
      <c r="AB25" s="85">
        <f t="shared" si="14"/>
        <v>23921.148327462975</v>
      </c>
      <c r="AC25" s="85">
        <f t="shared" si="15"/>
        <v>1196.0574163731487</v>
      </c>
      <c r="AD25" s="85">
        <f t="shared" si="16"/>
        <v>2.1585365853658538</v>
      </c>
    </row>
    <row r="26" spans="1:30">
      <c r="A26" s="164" t="str">
        <f>'Price Deck'!A20</f>
        <v>06/2020</v>
      </c>
      <c r="B26" s="51">
        <f>'Liquids Type Curve'!A33</f>
        <v>0.92189079878665336</v>
      </c>
      <c r="C26" s="51">
        <f>'Liquids Type Curve'!B33</f>
        <v>11.062689585439841</v>
      </c>
      <c r="D26" s="51">
        <f>'Liquids Type Curve'!C33</f>
        <v>72.510543092929751</v>
      </c>
      <c r="E26" s="51">
        <f>'Liquids Type Curve'!D33</f>
        <v>2205.5290190766132</v>
      </c>
      <c r="F26" s="51">
        <f>'Liquids Type Curve'!E33</f>
        <v>39110.360282680507</v>
      </c>
      <c r="G26" s="39"/>
      <c r="H26" s="51">
        <f t="shared" si="0"/>
        <v>0.92189079878665336</v>
      </c>
      <c r="I26" s="39">
        <f t="shared" si="1"/>
        <v>11.062689585439841</v>
      </c>
      <c r="J26" s="51">
        <f t="shared" si="2"/>
        <v>16.677424911373844</v>
      </c>
      <c r="K26" s="51">
        <f t="shared" si="3"/>
        <v>507.27167438762103</v>
      </c>
      <c r="L26" s="51">
        <f t="shared" si="4"/>
        <v>8995.3828650165178</v>
      </c>
      <c r="M26" s="39"/>
      <c r="N26" s="51">
        <f t="shared" si="5"/>
        <v>80.649889406280167</v>
      </c>
      <c r="O26" s="85">
        <f>('Price Deck'!R20/$B$2)/'Price Deck'!M20</f>
        <v>271.53526829268293</v>
      </c>
      <c r="Q26" s="155">
        <f t="shared" si="6"/>
        <v>0.19629872097560977</v>
      </c>
      <c r="R26" s="155">
        <f t="shared" si="7"/>
        <v>0.1</v>
      </c>
      <c r="S26" s="155">
        <f t="shared" si="8"/>
        <v>0.19629872097560977</v>
      </c>
      <c r="T26" s="155">
        <f t="shared" si="9"/>
        <v>0.20309389756097559</v>
      </c>
      <c r="U26" s="155">
        <f t="shared" si="10"/>
        <v>0.25949543317073165</v>
      </c>
      <c r="W26" s="155">
        <f t="shared" si="11"/>
        <v>-0.15302264930152179</v>
      </c>
      <c r="X26" s="157">
        <f t="shared" si="12"/>
        <v>0.05</v>
      </c>
      <c r="Y26" s="155">
        <f t="shared" si="13"/>
        <v>0.05</v>
      </c>
      <c r="AA26" s="85">
        <f>'Price Deck'!R20/'Price Deck'!M20</f>
        <v>43.170731707317074</v>
      </c>
      <c r="AB26" s="85">
        <f t="shared" si="14"/>
        <v>21899.289357709495</v>
      </c>
      <c r="AC26" s="85">
        <f t="shared" si="15"/>
        <v>1094.9644678854747</v>
      </c>
      <c r="AD26" s="85">
        <f t="shared" si="16"/>
        <v>2.1585365853658538</v>
      </c>
    </row>
    <row r="27" spans="1:30">
      <c r="A27" s="164" t="str">
        <f>'Price Deck'!A21</f>
        <v>07/2020</v>
      </c>
      <c r="B27" s="51">
        <f>'Liquids Type Curve'!A34</f>
        <v>1.0052241321199866</v>
      </c>
      <c r="C27" s="51">
        <f>'Liquids Type Curve'!B34</f>
        <v>12.062689585439839</v>
      </c>
      <c r="D27" s="51">
        <f>'Liquids Type Curve'!C34</f>
        <v>66.891412926135061</v>
      </c>
      <c r="E27" s="51">
        <f>'Liquids Type Curve'!D34</f>
        <v>2034.6138098366082</v>
      </c>
      <c r="F27" s="51">
        <f>'Liquids Type Curve'!E34</f>
        <v>41144.974092517114</v>
      </c>
      <c r="G27" s="39"/>
      <c r="H27" s="51">
        <f t="shared" si="0"/>
        <v>1.0052241321199866</v>
      </c>
      <c r="I27" s="39">
        <f t="shared" si="1"/>
        <v>12.062689585439839</v>
      </c>
      <c r="J27" s="51">
        <f t="shared" si="2"/>
        <v>15.385024973011065</v>
      </c>
      <c r="K27" s="51">
        <f t="shared" si="3"/>
        <v>467.96117626241988</v>
      </c>
      <c r="L27" s="51">
        <f t="shared" si="4"/>
        <v>9463.3440412789369</v>
      </c>
      <c r="M27" s="39"/>
      <c r="N27" s="51">
        <f t="shared" si="5"/>
        <v>74.400008945025263</v>
      </c>
      <c r="O27" s="85">
        <f>('Price Deck'!R21/$B$2)/'Price Deck'!M21</f>
        <v>271.53526829268293</v>
      </c>
      <c r="Q27" s="155">
        <f t="shared" si="6"/>
        <v>0.19629872097560977</v>
      </c>
      <c r="R27" s="155">
        <f t="shared" si="7"/>
        <v>0.1</v>
      </c>
      <c r="S27" s="155">
        <f t="shared" si="8"/>
        <v>0.19629872097560977</v>
      </c>
      <c r="T27" s="155">
        <f t="shared" si="9"/>
        <v>0.20309389756097559</v>
      </c>
      <c r="U27" s="155">
        <f t="shared" si="10"/>
        <v>0.25949543317073165</v>
      </c>
      <c r="W27" s="155">
        <f t="shared" si="11"/>
        <v>-0.1614599879242159</v>
      </c>
      <c r="X27" s="157">
        <f t="shared" si="12"/>
        <v>0.05</v>
      </c>
      <c r="Y27" s="155">
        <f t="shared" si="13"/>
        <v>0.05</v>
      </c>
      <c r="AA27" s="85">
        <f>'Price Deck'!R21/'Price Deck'!M21</f>
        <v>43.170731707317074</v>
      </c>
      <c r="AB27" s="85">
        <f t="shared" si="14"/>
        <v>20202.226389865446</v>
      </c>
      <c r="AC27" s="85">
        <f t="shared" si="15"/>
        <v>1010.1113194932723</v>
      </c>
      <c r="AD27" s="85">
        <f t="shared" si="16"/>
        <v>2.1585365853658538</v>
      </c>
    </row>
    <row r="28" spans="1:30">
      <c r="A28" s="164" t="str">
        <f>'Price Deck'!A22</f>
        <v>08/2020</v>
      </c>
      <c r="B28" s="51">
        <f>'Liquids Type Curve'!A35</f>
        <v>1.0885574654533199</v>
      </c>
      <c r="C28" s="51">
        <f>'Liquids Type Curve'!B35</f>
        <v>13.062689585439838</v>
      </c>
      <c r="D28" s="51">
        <f>'Liquids Type Curve'!C35</f>
        <v>62.105653511985544</v>
      </c>
      <c r="E28" s="51">
        <f>'Liquids Type Curve'!D35</f>
        <v>1889.0469609895604</v>
      </c>
      <c r="F28" s="51">
        <f>'Liquids Type Curve'!E35</f>
        <v>43034.021053506673</v>
      </c>
      <c r="G28" s="39"/>
      <c r="H28" s="51">
        <f t="shared" si="0"/>
        <v>1.0885574654533199</v>
      </c>
      <c r="I28" s="39">
        <f t="shared" si="1"/>
        <v>13.062689585439838</v>
      </c>
      <c r="J28" s="51">
        <f t="shared" si="2"/>
        <v>14.284300307756675</v>
      </c>
      <c r="K28" s="51">
        <f t="shared" si="3"/>
        <v>434.48080102759889</v>
      </c>
      <c r="L28" s="51">
        <f t="shared" si="4"/>
        <v>9897.8248423065343</v>
      </c>
      <c r="M28" s="39"/>
      <c r="N28" s="51">
        <f t="shared" si="5"/>
        <v>69.077045538427114</v>
      </c>
      <c r="O28" s="85">
        <f>('Price Deck'!R22/$B$2)/'Price Deck'!M22</f>
        <v>271.53526829268293</v>
      </c>
      <c r="Q28" s="155">
        <f t="shared" si="6"/>
        <v>0.19629872097560977</v>
      </c>
      <c r="R28" s="155">
        <f t="shared" si="7"/>
        <v>0.1</v>
      </c>
      <c r="S28" s="155">
        <f t="shared" si="8"/>
        <v>0.19629872097560977</v>
      </c>
      <c r="T28" s="155">
        <f t="shared" si="9"/>
        <v>0.20309389756097559</v>
      </c>
      <c r="U28" s="155">
        <f t="shared" si="10"/>
        <v>0.25949543317073165</v>
      </c>
      <c r="W28" s="155">
        <f t="shared" si="11"/>
        <v>-0.1686459885231234</v>
      </c>
      <c r="X28" s="157">
        <f t="shared" si="12"/>
        <v>0.05</v>
      </c>
      <c r="Y28" s="155">
        <f t="shared" si="13"/>
        <v>0.05</v>
      </c>
      <c r="AA28" s="85">
        <f>'Price Deck'!R22/'Price Deck'!M22</f>
        <v>43.170731707317074</v>
      </c>
      <c r="AB28" s="85">
        <f t="shared" si="14"/>
        <v>18756.854093142683</v>
      </c>
      <c r="AC28" s="85">
        <f t="shared" si="15"/>
        <v>937.84270465713416</v>
      </c>
      <c r="AD28" s="85">
        <f t="shared" si="16"/>
        <v>2.1585365853658538</v>
      </c>
    </row>
    <row r="29" spans="1:30">
      <c r="A29" s="164" t="str">
        <f>'Price Deck'!A23</f>
        <v>09/2020</v>
      </c>
      <c r="B29" s="51">
        <f>'Liquids Type Curve'!A36</f>
        <v>1.1718907987866531</v>
      </c>
      <c r="C29" s="51">
        <f>'Liquids Type Curve'!B36</f>
        <v>14.062689585439838</v>
      </c>
      <c r="D29" s="51">
        <f>'Liquids Type Curve'!C36</f>
        <v>57.979063733217025</v>
      </c>
      <c r="E29" s="51">
        <f>'Liquids Type Curve'!D36</f>
        <v>1763.5298552186846</v>
      </c>
      <c r="F29" s="51">
        <f>'Liquids Type Curve'!E36</f>
        <v>44797.550908725359</v>
      </c>
      <c r="G29" s="39"/>
      <c r="H29" s="51">
        <f t="shared" si="0"/>
        <v>1.1718907987866531</v>
      </c>
      <c r="I29" s="39">
        <f t="shared" si="1"/>
        <v>14.062689585439838</v>
      </c>
      <c r="J29" s="51">
        <f t="shared" si="2"/>
        <v>13.335184658639916</v>
      </c>
      <c r="K29" s="51">
        <f t="shared" si="3"/>
        <v>405.61186670029747</v>
      </c>
      <c r="L29" s="51">
        <f t="shared" si="4"/>
        <v>10303.436709006834</v>
      </c>
      <c r="M29" s="39"/>
      <c r="N29" s="51">
        <f t="shared" si="5"/>
        <v>64.487243902874098</v>
      </c>
      <c r="O29" s="85">
        <f>('Price Deck'!R23/$B$2)/'Price Deck'!M23</f>
        <v>271.53526829268293</v>
      </c>
      <c r="Q29" s="155">
        <f t="shared" si="6"/>
        <v>0.19629872097560977</v>
      </c>
      <c r="R29" s="155">
        <f t="shared" si="7"/>
        <v>0.1</v>
      </c>
      <c r="S29" s="155">
        <f t="shared" si="8"/>
        <v>0.19629872097560977</v>
      </c>
      <c r="T29" s="155">
        <f t="shared" si="9"/>
        <v>0.20309389756097559</v>
      </c>
      <c r="U29" s="155">
        <f t="shared" si="10"/>
        <v>0.25949543317073165</v>
      </c>
      <c r="W29" s="155">
        <f t="shared" si="11"/>
        <v>-0.17484222073111996</v>
      </c>
      <c r="X29" s="157">
        <f t="shared" si="12"/>
        <v>0.05</v>
      </c>
      <c r="Y29" s="155">
        <f t="shared" si="13"/>
        <v>0.05</v>
      </c>
      <c r="AA29" s="85">
        <f>'Price Deck'!R23/'Price Deck'!M23</f>
        <v>43.170731707317074</v>
      </c>
      <c r="AB29" s="85">
        <f t="shared" si="14"/>
        <v>17510.561074622598</v>
      </c>
      <c r="AC29" s="85">
        <f t="shared" si="15"/>
        <v>875.52805373112994</v>
      </c>
      <c r="AD29" s="85">
        <f t="shared" si="16"/>
        <v>2.1585365853658538</v>
      </c>
    </row>
    <row r="30" spans="1:30">
      <c r="A30" s="164" t="str">
        <f>'Price Deck'!A24</f>
        <v>10/2020</v>
      </c>
      <c r="B30" s="51">
        <f>'Liquids Type Curve'!A37</f>
        <v>1.2552241321199864</v>
      </c>
      <c r="C30" s="51">
        <f>'Liquids Type Curve'!B37</f>
        <v>15.062689585439838</v>
      </c>
      <c r="D30" s="51">
        <f>'Liquids Type Curve'!C37</f>
        <v>54.383026565659094</v>
      </c>
      <c r="E30" s="51">
        <f>'Liquids Type Curve'!D37</f>
        <v>1654.1503913721308</v>
      </c>
      <c r="F30" s="51">
        <f>'Liquids Type Curve'!E37</f>
        <v>46451.701300097491</v>
      </c>
      <c r="G30" s="39"/>
      <c r="H30" s="51">
        <f t="shared" si="0"/>
        <v>1.2552241321199864</v>
      </c>
      <c r="I30" s="39">
        <f t="shared" si="1"/>
        <v>15.062689585439838</v>
      </c>
      <c r="J30" s="51">
        <f t="shared" si="2"/>
        <v>12.508096110101592</v>
      </c>
      <c r="K30" s="51">
        <f t="shared" si="3"/>
        <v>380.4545900155901</v>
      </c>
      <c r="L30" s="51">
        <f t="shared" si="4"/>
        <v>10683.891299022423</v>
      </c>
      <c r="M30" s="39"/>
      <c r="N30" s="51">
        <f t="shared" si="5"/>
        <v>60.487549686093374</v>
      </c>
      <c r="O30" s="85">
        <f>('Price Deck'!R24/$B$2)/'Price Deck'!M24</f>
        <v>271.53526829268293</v>
      </c>
      <c r="Q30" s="155">
        <f t="shared" si="6"/>
        <v>0.19629872097560977</v>
      </c>
      <c r="R30" s="155">
        <f t="shared" si="7"/>
        <v>0.1</v>
      </c>
      <c r="S30" s="155">
        <f t="shared" si="8"/>
        <v>0.19629872097560977</v>
      </c>
      <c r="T30" s="155">
        <f t="shared" si="9"/>
        <v>0.20309389756097559</v>
      </c>
      <c r="U30" s="155">
        <f t="shared" si="10"/>
        <v>0.25949543317073165</v>
      </c>
      <c r="W30" s="155">
        <f t="shared" si="11"/>
        <v>-0.18024180792377398</v>
      </c>
      <c r="X30" s="157">
        <f t="shared" si="12"/>
        <v>0.05</v>
      </c>
      <c r="Y30" s="155">
        <f t="shared" si="13"/>
        <v>0.05</v>
      </c>
      <c r="AA30" s="85">
        <f>'Price Deck'!R24/'Price Deck'!M24</f>
        <v>43.170731707317074</v>
      </c>
      <c r="AB30" s="85">
        <f t="shared" si="14"/>
        <v>16424.503032380355</v>
      </c>
      <c r="AC30" s="85">
        <f t="shared" si="15"/>
        <v>821.22515161901777</v>
      </c>
      <c r="AD30" s="85">
        <f t="shared" si="16"/>
        <v>2.1585365853658538</v>
      </c>
    </row>
    <row r="31" spans="1:30">
      <c r="A31" s="164" t="str">
        <f>'Price Deck'!A25</f>
        <v>11/2020</v>
      </c>
      <c r="B31" s="51">
        <f>'Liquids Type Curve'!A38</f>
        <v>1.3385574654533197</v>
      </c>
      <c r="C31" s="51">
        <f>'Liquids Type Curve'!B38</f>
        <v>16.062689585439834</v>
      </c>
      <c r="D31" s="51">
        <f>'Liquids Type Curve'!C38</f>
        <v>51.220480547096685</v>
      </c>
      <c r="E31" s="51">
        <f>'Liquids Type Curve'!D38</f>
        <v>1557.9562833075242</v>
      </c>
      <c r="F31" s="51">
        <f>'Liquids Type Curve'!E38</f>
        <v>48009.657583405016</v>
      </c>
      <c r="G31" s="39"/>
      <c r="H31" s="51">
        <f t="shared" si="0"/>
        <v>1.3385574654533197</v>
      </c>
      <c r="I31" s="39">
        <f t="shared" si="1"/>
        <v>16.062689585439834</v>
      </c>
      <c r="J31" s="51">
        <f t="shared" si="2"/>
        <v>11.780710525832237</v>
      </c>
      <c r="K31" s="51">
        <f t="shared" si="3"/>
        <v>358.32994516073057</v>
      </c>
      <c r="L31" s="51">
        <f t="shared" si="4"/>
        <v>11042.221244183154</v>
      </c>
      <c r="M31" s="39"/>
      <c r="N31" s="51">
        <f t="shared" si="5"/>
        <v>56.97000622606928</v>
      </c>
      <c r="O31" s="85">
        <f>('Price Deck'!R25/$B$2)/'Price Deck'!M25</f>
        <v>271.53526829268293</v>
      </c>
      <c r="Q31" s="155">
        <f t="shared" si="6"/>
        <v>0.19629872097560977</v>
      </c>
      <c r="R31" s="155">
        <f t="shared" si="7"/>
        <v>0.1</v>
      </c>
      <c r="S31" s="155">
        <f t="shared" si="8"/>
        <v>0.19629872097560977</v>
      </c>
      <c r="T31" s="155">
        <f t="shared" si="9"/>
        <v>0.20309389756097559</v>
      </c>
      <c r="U31" s="155">
        <f t="shared" si="10"/>
        <v>0.25949543317073165</v>
      </c>
      <c r="W31" s="155">
        <f t="shared" si="11"/>
        <v>-0.18499049159480649</v>
      </c>
      <c r="X31" s="157">
        <f t="shared" si="12"/>
        <v>0.05</v>
      </c>
      <c r="Y31" s="155">
        <f t="shared" si="13"/>
        <v>0.05</v>
      </c>
      <c r="AA31" s="85">
        <f>'Price Deck'!R25/'Price Deck'!M25</f>
        <v>43.170731707317074</v>
      </c>
      <c r="AB31" s="85">
        <f t="shared" si="14"/>
        <v>15469.365925231539</v>
      </c>
      <c r="AC31" s="85">
        <f t="shared" si="15"/>
        <v>773.46829626157705</v>
      </c>
      <c r="AD31" s="85">
        <f t="shared" si="16"/>
        <v>2.1585365853658538</v>
      </c>
    </row>
    <row r="32" spans="1:30">
      <c r="A32" s="164" t="str">
        <f>'Price Deck'!A26</f>
        <v>12/2020</v>
      </c>
      <c r="B32" s="51">
        <f>'Liquids Type Curve'!A39</f>
        <v>1.4218907987866529</v>
      </c>
      <c r="C32" s="51">
        <f>'Liquids Type Curve'!B39</f>
        <v>17.062689585439834</v>
      </c>
      <c r="D32" s="51">
        <f>'Liquids Type Curve'!C39</f>
        <v>48.41677899843517</v>
      </c>
      <c r="E32" s="51">
        <f>'Liquids Type Curve'!D39</f>
        <v>1472.6770278690699</v>
      </c>
      <c r="F32" s="51">
        <f>'Liquids Type Curve'!E39</f>
        <v>49482.334611274084</v>
      </c>
      <c r="G32" s="39"/>
      <c r="H32" s="51">
        <f t="shared" si="0"/>
        <v>1.4218907987866529</v>
      </c>
      <c r="I32" s="39">
        <f t="shared" si="1"/>
        <v>17.062689585439834</v>
      </c>
      <c r="J32" s="51">
        <f t="shared" si="2"/>
        <v>11.13585916964009</v>
      </c>
      <c r="K32" s="51">
        <f t="shared" si="3"/>
        <v>338.71571640988611</v>
      </c>
      <c r="L32" s="51">
        <f t="shared" si="4"/>
        <v>11380.936960593041</v>
      </c>
      <c r="M32" s="39"/>
      <c r="N32" s="51">
        <f t="shared" si="5"/>
        <v>53.851587715012577</v>
      </c>
      <c r="O32" s="85">
        <f>('Price Deck'!R26/$B$2)/'Price Deck'!M26</f>
        <v>271.53526829268293</v>
      </c>
      <c r="Q32" s="155">
        <f t="shared" si="6"/>
        <v>0.19629872097560977</v>
      </c>
      <c r="R32" s="155">
        <f t="shared" si="7"/>
        <v>0.1</v>
      </c>
      <c r="S32" s="155">
        <f t="shared" si="8"/>
        <v>0.19629872097560977</v>
      </c>
      <c r="T32" s="155">
        <f t="shared" si="9"/>
        <v>0.20309389756097559</v>
      </c>
      <c r="U32" s="155">
        <f t="shared" si="10"/>
        <v>0.25949543317073165</v>
      </c>
      <c r="W32" s="155">
        <f t="shared" si="11"/>
        <v>-0.18920035658473303</v>
      </c>
      <c r="X32" s="157">
        <f t="shared" si="12"/>
        <v>0.05</v>
      </c>
      <c r="Y32" s="155">
        <f t="shared" si="13"/>
        <v>0.05</v>
      </c>
      <c r="AA32" s="85">
        <f>'Price Deck'!R26/'Price Deck'!M26</f>
        <v>43.170731707317074</v>
      </c>
      <c r="AB32" s="85">
        <f t="shared" si="14"/>
        <v>14622.605318182888</v>
      </c>
      <c r="AC32" s="85">
        <f t="shared" si="15"/>
        <v>731.13026590914444</v>
      </c>
      <c r="AD32" s="85">
        <f t="shared" si="16"/>
        <v>2.1585365853658538</v>
      </c>
    </row>
    <row r="33" spans="1:30">
      <c r="A33" s="164" t="str">
        <f>'Price Deck'!A27</f>
        <v>01/2021</v>
      </c>
      <c r="B33" s="51">
        <f>'Liquids Type Curve'!A40</f>
        <v>1.5052241321199862</v>
      </c>
      <c r="C33" s="51">
        <f>'Liquids Type Curve'!B40</f>
        <v>18.062689585439834</v>
      </c>
      <c r="D33" s="51">
        <f>'Liquids Type Curve'!C40</f>
        <v>45.913557319886465</v>
      </c>
      <c r="E33" s="51">
        <f>'Liquids Type Curve'!D40</f>
        <v>1396.5373684798801</v>
      </c>
      <c r="F33" s="51">
        <f>'Liquids Type Curve'!E40</f>
        <v>50878.871979753967</v>
      </c>
      <c r="G33" s="39"/>
      <c r="H33" s="51">
        <f t="shared" si="0"/>
        <v>1.5052241321199862</v>
      </c>
      <c r="I33" s="39">
        <f t="shared" si="1"/>
        <v>18.062689585439834</v>
      </c>
      <c r="J33" s="51">
        <f t="shared" si="2"/>
        <v>10.560118183573888</v>
      </c>
      <c r="K33" s="51">
        <f t="shared" si="3"/>
        <v>321.20359475037242</v>
      </c>
      <c r="L33" s="51">
        <f t="shared" si="4"/>
        <v>11702.140555343412</v>
      </c>
      <c r="M33" s="39"/>
      <c r="N33" s="51">
        <f t="shared" si="5"/>
        <v>51.067378096342082</v>
      </c>
      <c r="O33" s="85">
        <f>('Price Deck'!R27/$B$2)/'Price Deck'!M27</f>
        <v>330.59802439024389</v>
      </c>
      <c r="Q33" s="155">
        <f t="shared" si="6"/>
        <v>0.23557841341463415</v>
      </c>
      <c r="R33" s="155">
        <f t="shared" si="7"/>
        <v>0.1</v>
      </c>
      <c r="S33" s="155">
        <f t="shared" si="8"/>
        <v>0.25595210463414636</v>
      </c>
      <c r="T33" s="155">
        <f t="shared" si="9"/>
        <v>0.23557841341463415</v>
      </c>
      <c r="U33" s="155">
        <f t="shared" si="10"/>
        <v>0.2778048875609756</v>
      </c>
      <c r="W33" s="155">
        <f t="shared" si="11"/>
        <v>-0.19295903956993821</v>
      </c>
      <c r="X33" s="157">
        <f t="shared" si="12"/>
        <v>0.05</v>
      </c>
      <c r="Y33" s="155">
        <f t="shared" si="13"/>
        <v>0.05</v>
      </c>
      <c r="AA33" s="85">
        <f>'Price Deck'!R27/'Price Deck'!M27</f>
        <v>52.560975609756099</v>
      </c>
      <c r="AB33" s="85">
        <f t="shared" si="14"/>
        <v>16882.774309440309</v>
      </c>
      <c r="AC33" s="85">
        <f t="shared" si="15"/>
        <v>844.13871547201552</v>
      </c>
      <c r="AD33" s="85">
        <f t="shared" si="16"/>
        <v>2.6280487804878057</v>
      </c>
    </row>
    <row r="34" spans="1:30">
      <c r="A34" s="164" t="str">
        <f>'Price Deck'!A28</f>
        <v>02/2021</v>
      </c>
      <c r="B34" s="51">
        <f>'Liquids Type Curve'!A41</f>
        <v>1.5885574654533194</v>
      </c>
      <c r="C34" s="51">
        <f>'Liquids Type Curve'!B41</f>
        <v>19.062689585439834</v>
      </c>
      <c r="D34" s="51">
        <f>'Liquids Type Curve'!C41</f>
        <v>43.664512365176193</v>
      </c>
      <c r="E34" s="51">
        <f>'Liquids Type Curve'!D41</f>
        <v>1328.1289177741094</v>
      </c>
      <c r="F34" s="51">
        <f>'Liquids Type Curve'!E41</f>
        <v>52207.00089752808</v>
      </c>
      <c r="G34" s="39"/>
      <c r="H34" s="51">
        <f t="shared" si="0"/>
        <v>1.5885574654533194</v>
      </c>
      <c r="I34" s="39">
        <f t="shared" si="1"/>
        <v>19.062689585439834</v>
      </c>
      <c r="J34" s="51">
        <f t="shared" si="2"/>
        <v>10.042837843990524</v>
      </c>
      <c r="K34" s="51">
        <f t="shared" si="3"/>
        <v>305.46965108804517</v>
      </c>
      <c r="L34" s="51">
        <f t="shared" si="4"/>
        <v>12007.610206431458</v>
      </c>
      <c r="M34" s="39"/>
      <c r="N34" s="51">
        <f t="shared" si="5"/>
        <v>48.565876671443476</v>
      </c>
      <c r="O34" s="85">
        <f>('Price Deck'!R28/$B$2)/'Price Deck'!M28</f>
        <v>330.59802439024389</v>
      </c>
      <c r="Q34" s="155">
        <f t="shared" si="6"/>
        <v>0.23557841341463415</v>
      </c>
      <c r="R34" s="155">
        <f t="shared" si="7"/>
        <v>0.1</v>
      </c>
      <c r="S34" s="155">
        <f t="shared" si="8"/>
        <v>0.25595210463414636</v>
      </c>
      <c r="T34" s="155">
        <f t="shared" si="9"/>
        <v>0.23557841341463415</v>
      </c>
      <c r="U34" s="155">
        <f t="shared" si="10"/>
        <v>0.2778048875609756</v>
      </c>
      <c r="W34" s="155">
        <f t="shared" si="11"/>
        <v>-0.19633606649355131</v>
      </c>
      <c r="X34" s="157">
        <f t="shared" si="12"/>
        <v>0.05</v>
      </c>
      <c r="Y34" s="155">
        <f t="shared" si="13"/>
        <v>0.05</v>
      </c>
      <c r="AA34" s="85">
        <f>'Price Deck'!R28/'Price Deck'!M28</f>
        <v>52.560975609756099</v>
      </c>
      <c r="AB34" s="85">
        <f t="shared" si="14"/>
        <v>16055.782880359448</v>
      </c>
      <c r="AC34" s="85">
        <f t="shared" si="15"/>
        <v>802.78914401797238</v>
      </c>
      <c r="AD34" s="85">
        <f t="shared" si="16"/>
        <v>2.6280487804878048</v>
      </c>
    </row>
    <row r="35" spans="1:30">
      <c r="A35" s="164" t="str">
        <f>'Price Deck'!A29</f>
        <v>03/2021</v>
      </c>
      <c r="B35" s="51">
        <f>'Liquids Type Curve'!A42</f>
        <v>1.6718907987866527</v>
      </c>
      <c r="C35" s="51">
        <f>'Liquids Type Curve'!B42</f>
        <v>20.062689585439834</v>
      </c>
      <c r="D35" s="51">
        <f>'Liquids Type Curve'!C42</f>
        <v>41.632432019631906</v>
      </c>
      <c r="E35" s="51">
        <f>'Liquids Type Curve'!D42</f>
        <v>1266.3198072638038</v>
      </c>
      <c r="F35" s="51">
        <f>'Liquids Type Curve'!E42</f>
        <v>53473.320704791884</v>
      </c>
      <c r="G35" s="39"/>
      <c r="H35" s="51">
        <f t="shared" si="0"/>
        <v>1.6718907987866527</v>
      </c>
      <c r="I35" s="39">
        <f t="shared" si="1"/>
        <v>20.062689585439834</v>
      </c>
      <c r="J35" s="51">
        <f t="shared" si="2"/>
        <v>9.5754593645153392</v>
      </c>
      <c r="K35" s="51">
        <f t="shared" si="3"/>
        <v>291.25355567067487</v>
      </c>
      <c r="L35" s="51">
        <f t="shared" si="4"/>
        <v>12298.863762102133</v>
      </c>
      <c r="M35" s="39"/>
      <c r="N35" s="51">
        <f t="shared" si="5"/>
        <v>46.305694246347237</v>
      </c>
      <c r="O35" s="85">
        <f>('Price Deck'!R29/$B$2)/'Price Deck'!M29</f>
        <v>330.59802439024389</v>
      </c>
      <c r="Q35" s="155">
        <f t="shared" si="6"/>
        <v>0.23557841341463415</v>
      </c>
      <c r="R35" s="155">
        <f t="shared" si="7"/>
        <v>0.1</v>
      </c>
      <c r="S35" s="155">
        <f t="shared" si="8"/>
        <v>0.25595210463414636</v>
      </c>
      <c r="T35" s="155">
        <f t="shared" si="9"/>
        <v>0.23557841341463415</v>
      </c>
      <c r="U35" s="155">
        <f t="shared" si="10"/>
        <v>0.2778048875609756</v>
      </c>
      <c r="W35" s="155">
        <f t="shared" si="11"/>
        <v>-0.19938731276743124</v>
      </c>
      <c r="X35" s="157">
        <f t="shared" si="12"/>
        <v>0.05</v>
      </c>
      <c r="Y35" s="155">
        <f t="shared" si="13"/>
        <v>0.05</v>
      </c>
      <c r="AA35" s="85">
        <f>'Price Deck'!R29/'Price Deck'!M29</f>
        <v>52.560975609756099</v>
      </c>
      <c r="AB35" s="85">
        <f t="shared" si="14"/>
        <v>15308.571035861081</v>
      </c>
      <c r="AC35" s="85">
        <f t="shared" si="15"/>
        <v>765.42855179305411</v>
      </c>
      <c r="AD35" s="85">
        <f t="shared" si="16"/>
        <v>2.6280487804878048</v>
      </c>
    </row>
    <row r="36" spans="1:30">
      <c r="A36" s="164" t="str">
        <f>'Price Deck'!A30</f>
        <v>04/2021</v>
      </c>
      <c r="B36" s="51">
        <f>'Liquids Type Curve'!A43</f>
        <v>1.755224132119986</v>
      </c>
      <c r="C36" s="51">
        <f>'Liquids Type Curve'!B43</f>
        <v>21.062689585439831</v>
      </c>
      <c r="D36" s="51">
        <f>'Liquids Type Curve'!C43</f>
        <v>39.787062804098859</v>
      </c>
      <c r="E36" s="51">
        <f>'Liquids Type Curve'!D43</f>
        <v>1210.189826958007</v>
      </c>
      <c r="F36" s="51">
        <f>'Liquids Type Curve'!E43</f>
        <v>54683.510531749889</v>
      </c>
      <c r="G36" s="39"/>
      <c r="H36" s="51">
        <f t="shared" si="0"/>
        <v>1.755224132119986</v>
      </c>
      <c r="I36" s="39">
        <f t="shared" si="1"/>
        <v>21.062689585439831</v>
      </c>
      <c r="J36" s="51">
        <f t="shared" si="2"/>
        <v>9.1510244449427383</v>
      </c>
      <c r="K36" s="51">
        <f t="shared" si="3"/>
        <v>278.34366020034162</v>
      </c>
      <c r="L36" s="51">
        <f t="shared" si="4"/>
        <v>12577.207422302476</v>
      </c>
      <c r="M36" s="39"/>
      <c r="N36" s="51">
        <f t="shared" si="5"/>
        <v>44.253181373070944</v>
      </c>
      <c r="O36" s="85">
        <f>('Price Deck'!R30/$B$2)/'Price Deck'!M30</f>
        <v>330.59802439024389</v>
      </c>
      <c r="Q36" s="155">
        <f t="shared" si="6"/>
        <v>0.23557841341463415</v>
      </c>
      <c r="R36" s="155">
        <f t="shared" si="7"/>
        <v>0.1</v>
      </c>
      <c r="S36" s="155">
        <f t="shared" si="8"/>
        <v>0.25595210463414636</v>
      </c>
      <c r="T36" s="155">
        <f t="shared" si="9"/>
        <v>0.23557841341463415</v>
      </c>
      <c r="U36" s="155">
        <f t="shared" si="10"/>
        <v>0.2778048875609756</v>
      </c>
      <c r="W36" s="155">
        <f t="shared" si="11"/>
        <v>-0.20215820514635421</v>
      </c>
      <c r="X36" s="157">
        <f t="shared" si="12"/>
        <v>0.05</v>
      </c>
      <c r="Y36" s="155">
        <f t="shared" si="13"/>
        <v>0.05</v>
      </c>
      <c r="AA36" s="85">
        <f>'Price Deck'!R30/'Price Deck'!M30</f>
        <v>52.560975609756099</v>
      </c>
      <c r="AB36" s="85">
        <f t="shared" si="14"/>
        <v>14630.014334920395</v>
      </c>
      <c r="AC36" s="85">
        <f t="shared" si="15"/>
        <v>731.50071674601986</v>
      </c>
      <c r="AD36" s="85">
        <f t="shared" si="16"/>
        <v>2.6280487804878052</v>
      </c>
    </row>
    <row r="37" spans="1:30">
      <c r="A37" s="164" t="str">
        <f>'Price Deck'!A31</f>
        <v>05/2021</v>
      </c>
      <c r="B37" s="51">
        <f>'Liquids Type Curve'!A44</f>
        <v>1.8385574654533192</v>
      </c>
      <c r="C37" s="51">
        <f>'Liquids Type Curve'!B44</f>
        <v>22.062689585439831</v>
      </c>
      <c r="D37" s="51">
        <f>'Liquids Type Curve'!C44</f>
        <v>38.103551762394531</v>
      </c>
      <c r="E37" s="51">
        <f>'Liquids Type Curve'!D44</f>
        <v>1158.9830327728337</v>
      </c>
      <c r="F37" s="51">
        <f>'Liquids Type Curve'!E44</f>
        <v>55842.493564522723</v>
      </c>
      <c r="G37" s="39"/>
      <c r="H37" s="51">
        <f t="shared" si="0"/>
        <v>1.8385574654533192</v>
      </c>
      <c r="I37" s="39">
        <f t="shared" si="1"/>
        <v>22.062689585439831</v>
      </c>
      <c r="J37" s="51">
        <f t="shared" si="2"/>
        <v>8.7638169053507422</v>
      </c>
      <c r="K37" s="51">
        <f t="shared" si="3"/>
        <v>266.56609753775177</v>
      </c>
      <c r="L37" s="51">
        <f t="shared" si="4"/>
        <v>12843.773519840226</v>
      </c>
      <c r="M37" s="39"/>
      <c r="N37" s="51">
        <f t="shared" si="5"/>
        <v>42.38069533812709</v>
      </c>
      <c r="O37" s="85">
        <f>('Price Deck'!R31/$B$2)/'Price Deck'!M31</f>
        <v>330.59802439024389</v>
      </c>
      <c r="Q37" s="155">
        <f t="shared" si="6"/>
        <v>0.23557841341463415</v>
      </c>
      <c r="R37" s="155">
        <f t="shared" si="7"/>
        <v>0.1</v>
      </c>
      <c r="S37" s="155">
        <f t="shared" si="8"/>
        <v>0.25595210463414636</v>
      </c>
      <c r="T37" s="155">
        <f t="shared" si="9"/>
        <v>0.23557841341463415</v>
      </c>
      <c r="U37" s="155">
        <f t="shared" si="10"/>
        <v>0.2778048875609756</v>
      </c>
      <c r="W37" s="155">
        <f t="shared" si="11"/>
        <v>-0.20468606129352845</v>
      </c>
      <c r="X37" s="157">
        <f t="shared" si="12"/>
        <v>0.05</v>
      </c>
      <c r="Y37" s="155">
        <f t="shared" si="13"/>
        <v>0.05</v>
      </c>
      <c r="AA37" s="85">
        <f>'Price Deck'!R31/'Price Deck'!M31</f>
        <v>52.560975609756099</v>
      </c>
      <c r="AB37" s="85">
        <f t="shared" si="14"/>
        <v>14010.974151069637</v>
      </c>
      <c r="AC37" s="85">
        <f t="shared" si="15"/>
        <v>700.5487075534819</v>
      </c>
      <c r="AD37" s="85">
        <f t="shared" si="16"/>
        <v>2.6280487804878052</v>
      </c>
    </row>
    <row r="38" spans="1:30">
      <c r="A38" s="164" t="str">
        <f>'Price Deck'!A32</f>
        <v>06/2021</v>
      </c>
      <c r="B38" s="51">
        <f>'Liquids Type Curve'!A45</f>
        <v>1.9218907987866525</v>
      </c>
      <c r="C38" s="51">
        <f>'Liquids Type Curve'!B45</f>
        <v>23.062689585439831</v>
      </c>
      <c r="D38" s="51">
        <f>'Liquids Type Curve'!C45</f>
        <v>36.561289744757445</v>
      </c>
      <c r="E38" s="51">
        <f>'Liquids Type Curve'!D45</f>
        <v>1112.0725630697057</v>
      </c>
      <c r="F38" s="51">
        <f>'Liquids Type Curve'!E45</f>
        <v>56954.566127592429</v>
      </c>
      <c r="G38" s="39"/>
      <c r="H38" s="51">
        <f t="shared" si="0"/>
        <v>1.9218907987866525</v>
      </c>
      <c r="I38" s="39">
        <f t="shared" si="1"/>
        <v>23.062689585439831</v>
      </c>
      <c r="J38" s="51">
        <f t="shared" si="2"/>
        <v>8.4090966412942123</v>
      </c>
      <c r="K38" s="51">
        <f t="shared" si="3"/>
        <v>255.77668950603231</v>
      </c>
      <c r="L38" s="51">
        <f t="shared" si="4"/>
        <v>13099.550209346258</v>
      </c>
      <c r="M38" s="39"/>
      <c r="N38" s="51">
        <f t="shared" si="5"/>
        <v>40.66531360393531</v>
      </c>
      <c r="O38" s="85">
        <f>('Price Deck'!R32/$B$2)/'Price Deck'!M32</f>
        <v>330.59802439024389</v>
      </c>
      <c r="Q38" s="155">
        <f t="shared" si="6"/>
        <v>0.23557841341463415</v>
      </c>
      <c r="R38" s="155">
        <f t="shared" si="7"/>
        <v>0.1</v>
      </c>
      <c r="S38" s="155">
        <f t="shared" si="8"/>
        <v>0.25595210463414636</v>
      </c>
      <c r="T38" s="155">
        <f t="shared" si="9"/>
        <v>0.23557841341463415</v>
      </c>
      <c r="U38" s="155">
        <f t="shared" si="10"/>
        <v>0.2778048875609756</v>
      </c>
      <c r="W38" s="155">
        <f t="shared" si="11"/>
        <v>-0.20700182663468733</v>
      </c>
      <c r="X38" s="157">
        <f t="shared" si="12"/>
        <v>0.05</v>
      </c>
      <c r="Y38" s="155">
        <f t="shared" si="13"/>
        <v>0.05</v>
      </c>
      <c r="AA38" s="85">
        <f>'Price Deck'!R32/'Price Deck'!M32</f>
        <v>52.560975609756099</v>
      </c>
      <c r="AB38" s="85">
        <f t="shared" si="14"/>
        <v>13443.872338670722</v>
      </c>
      <c r="AC38" s="85">
        <f t="shared" si="15"/>
        <v>672.19361693353619</v>
      </c>
      <c r="AD38" s="85">
        <f t="shared" si="16"/>
        <v>2.6280487804878052</v>
      </c>
    </row>
    <row r="39" spans="1:30">
      <c r="A39" s="164" t="str">
        <f>'Price Deck'!A33</f>
        <v>07/2021</v>
      </c>
      <c r="B39" s="51">
        <f>'Liquids Type Curve'!A46</f>
        <v>2.0052241321199857</v>
      </c>
      <c r="C39" s="51">
        <f>'Liquids Type Curve'!B46</f>
        <v>24.062689585439827</v>
      </c>
      <c r="D39" s="51">
        <f>'Liquids Type Curve'!C46</f>
        <v>35.143040277399855</v>
      </c>
      <c r="E39" s="51">
        <f>'Liquids Type Curve'!D46</f>
        <v>1068.9341417709122</v>
      </c>
      <c r="F39" s="51">
        <f>'Liquids Type Curve'!E46</f>
        <v>58023.500269363343</v>
      </c>
      <c r="G39" s="39"/>
      <c r="H39" s="51">
        <f t="shared" si="0"/>
        <v>2.0052241321199857</v>
      </c>
      <c r="I39" s="39">
        <f t="shared" si="1"/>
        <v>24.062689585439827</v>
      </c>
      <c r="J39" s="51">
        <f t="shared" si="2"/>
        <v>8.0828992638019663</v>
      </c>
      <c r="K39" s="51">
        <f t="shared" si="3"/>
        <v>245.85485260730982</v>
      </c>
      <c r="L39" s="51">
        <f t="shared" si="4"/>
        <v>13345.40506195357</v>
      </c>
      <c r="M39" s="39"/>
      <c r="N39" s="51">
        <f t="shared" si="5"/>
        <v>39.087864893527588</v>
      </c>
      <c r="O39" s="85">
        <f>('Price Deck'!R33/$B$2)/'Price Deck'!M33</f>
        <v>330.59802439024389</v>
      </c>
      <c r="Q39" s="155">
        <f t="shared" si="6"/>
        <v>0.23557841341463415</v>
      </c>
      <c r="R39" s="155">
        <f t="shared" si="7"/>
        <v>0.1</v>
      </c>
      <c r="S39" s="155">
        <f t="shared" si="8"/>
        <v>0.25595210463414636</v>
      </c>
      <c r="T39" s="155">
        <f t="shared" si="9"/>
        <v>0.23557841341463415</v>
      </c>
      <c r="U39" s="155">
        <f t="shared" si="10"/>
        <v>0.2778048875609756</v>
      </c>
      <c r="W39" s="155">
        <f t="shared" si="11"/>
        <v>-0.20913138239373777</v>
      </c>
      <c r="X39" s="157">
        <f t="shared" si="12"/>
        <v>0.05</v>
      </c>
      <c r="Y39" s="155">
        <f t="shared" si="13"/>
        <v>0.05</v>
      </c>
      <c r="AA39" s="85">
        <f>'Price Deck'!R33/'Price Deck'!M33</f>
        <v>52.560975609756099</v>
      </c>
      <c r="AB39" s="85">
        <f t="shared" si="14"/>
        <v>12922.370911432992</v>
      </c>
      <c r="AC39" s="85">
        <f t="shared" si="15"/>
        <v>646.11854557164963</v>
      </c>
      <c r="AD39" s="85">
        <f t="shared" si="16"/>
        <v>2.6280487804878052</v>
      </c>
    </row>
    <row r="40" spans="1:30">
      <c r="A40" s="164" t="str">
        <f>'Price Deck'!A34</f>
        <v>08/2021</v>
      </c>
      <c r="B40" s="51">
        <f>'Liquids Type Curve'!A47</f>
        <v>2.0885574654533192</v>
      </c>
      <c r="C40" s="51">
        <f>'Liquids Type Curve'!B47</f>
        <v>25.062689585439831</v>
      </c>
      <c r="D40" s="51">
        <f>'Liquids Type Curve'!C47</f>
        <v>33.834274914191383</v>
      </c>
      <c r="E40" s="51">
        <f>'Liquids Type Curve'!D47</f>
        <v>1029.1258619733212</v>
      </c>
      <c r="F40" s="51">
        <f>'Liquids Type Curve'!E47</f>
        <v>59052.626131336663</v>
      </c>
      <c r="G40" s="39"/>
      <c r="H40" s="51">
        <f t="shared" si="0"/>
        <v>2.0885574654533192</v>
      </c>
      <c r="I40" s="39">
        <f t="shared" si="1"/>
        <v>25.062689585439831</v>
      </c>
      <c r="J40" s="51">
        <f t="shared" si="2"/>
        <v>7.7818832302640182</v>
      </c>
      <c r="K40" s="51">
        <f t="shared" si="3"/>
        <v>236.69894825386388</v>
      </c>
      <c r="L40" s="51">
        <f t="shared" si="4"/>
        <v>13582.104010207433</v>
      </c>
      <c r="M40" s="39"/>
      <c r="N40" s="51">
        <f t="shared" si="5"/>
        <v>37.632189935111427</v>
      </c>
      <c r="O40" s="85">
        <f>('Price Deck'!R34/$B$2)/'Price Deck'!M34</f>
        <v>330.59802439024389</v>
      </c>
      <c r="Q40" s="155">
        <f t="shared" si="6"/>
        <v>0.23557841341463415</v>
      </c>
      <c r="R40" s="155">
        <f t="shared" si="7"/>
        <v>0.1</v>
      </c>
      <c r="S40" s="155">
        <f t="shared" si="8"/>
        <v>0.25595210463414636</v>
      </c>
      <c r="T40" s="155">
        <f t="shared" si="9"/>
        <v>0.23557841341463415</v>
      </c>
      <c r="U40" s="155">
        <f t="shared" si="10"/>
        <v>0.2778048875609756</v>
      </c>
      <c r="W40" s="155">
        <f t="shared" si="11"/>
        <v>-0.21109654358759958</v>
      </c>
      <c r="X40" s="157">
        <f t="shared" si="12"/>
        <v>0.05</v>
      </c>
      <c r="Y40" s="155">
        <f t="shared" si="13"/>
        <v>0.05</v>
      </c>
      <c r="AA40" s="85">
        <f>'Price Deck'!R34/'Price Deck'!M34</f>
        <v>52.560975609756099</v>
      </c>
      <c r="AB40" s="85">
        <f t="shared" si="14"/>
        <v>12441.12764602626</v>
      </c>
      <c r="AC40" s="85">
        <f t="shared" si="15"/>
        <v>622.05638230131308</v>
      </c>
      <c r="AD40" s="85">
        <f t="shared" si="16"/>
        <v>2.6280487804878052</v>
      </c>
    </row>
    <row r="41" spans="1:30">
      <c r="A41" s="164" t="str">
        <f>'Price Deck'!A35</f>
        <v>09/2021</v>
      </c>
      <c r="B41" s="51">
        <f>'Liquids Type Curve'!A48</f>
        <v>2.1718907987866527</v>
      </c>
      <c r="C41" s="51">
        <f>'Liquids Type Curve'!B48</f>
        <v>26.062689585439834</v>
      </c>
      <c r="D41" s="51">
        <f>'Liquids Type Curve'!C48</f>
        <v>32.622660075049097</v>
      </c>
      <c r="E41" s="51">
        <f>'Liquids Type Curve'!D48</f>
        <v>992.27257728274344</v>
      </c>
      <c r="F41" s="51">
        <f>'Liquids Type Curve'!E48</f>
        <v>60044.89870861941</v>
      </c>
      <c r="G41" s="39"/>
      <c r="H41" s="51">
        <f t="shared" si="0"/>
        <v>2.1718907987866527</v>
      </c>
      <c r="I41" s="39">
        <f t="shared" si="1"/>
        <v>26.062689585439834</v>
      </c>
      <c r="J41" s="51">
        <f t="shared" si="2"/>
        <v>7.5032118172612927</v>
      </c>
      <c r="K41" s="51">
        <f t="shared" si="3"/>
        <v>228.22269277503099</v>
      </c>
      <c r="L41" s="51">
        <f t="shared" si="4"/>
        <v>13810.326702982466</v>
      </c>
      <c r="M41" s="39"/>
      <c r="N41" s="51">
        <f t="shared" si="5"/>
        <v>36.284570697801357</v>
      </c>
      <c r="O41" s="85">
        <f>('Price Deck'!R35/$B$2)/'Price Deck'!M35</f>
        <v>330.59802439024389</v>
      </c>
      <c r="Q41" s="155">
        <f t="shared" si="6"/>
        <v>0.23557841341463415</v>
      </c>
      <c r="R41" s="155">
        <f t="shared" si="7"/>
        <v>0.1</v>
      </c>
      <c r="S41" s="155">
        <f t="shared" si="8"/>
        <v>0.25595210463414636</v>
      </c>
      <c r="T41" s="155">
        <f t="shared" si="9"/>
        <v>0.23557841341463415</v>
      </c>
      <c r="U41" s="155">
        <f t="shared" si="10"/>
        <v>0.2778048875609756</v>
      </c>
      <c r="W41" s="155">
        <f t="shared" si="11"/>
        <v>-0.21291582955796817</v>
      </c>
      <c r="X41" s="157">
        <f t="shared" si="12"/>
        <v>0.05</v>
      </c>
      <c r="Y41" s="155">
        <f t="shared" si="13"/>
        <v>0.05</v>
      </c>
      <c r="AA41" s="85">
        <f>'Price Deck'!R35/'Price Deck'!M35</f>
        <v>52.560975609756099</v>
      </c>
      <c r="AB41" s="85">
        <f t="shared" si="14"/>
        <v>11995.607388541264</v>
      </c>
      <c r="AC41" s="85">
        <f t="shared" si="15"/>
        <v>599.78036942706319</v>
      </c>
      <c r="AD41" s="85">
        <f t="shared" si="16"/>
        <v>2.6280487804878052</v>
      </c>
    </row>
    <row r="42" spans="1:30">
      <c r="A42" s="164" t="str">
        <f>'Price Deck'!A36</f>
        <v>10/2021</v>
      </c>
      <c r="B42" s="51">
        <f>'Liquids Type Curve'!A49</f>
        <v>2.2552241321199862</v>
      </c>
      <c r="C42" s="51">
        <f>'Liquids Type Curve'!B49</f>
        <v>27.062689585439834</v>
      </c>
      <c r="D42" s="51">
        <f>'Liquids Type Curve'!C49</f>
        <v>31.497656516355335</v>
      </c>
      <c r="E42" s="51">
        <f>'Liquids Type Curve'!D49</f>
        <v>958.05371903914147</v>
      </c>
      <c r="F42" s="51">
        <f>'Liquids Type Curve'!E49</f>
        <v>61002.952427658551</v>
      </c>
      <c r="G42" s="39"/>
      <c r="H42" s="51">
        <f t="shared" si="0"/>
        <v>2.2552241321199862</v>
      </c>
      <c r="I42" s="39">
        <f t="shared" si="1"/>
        <v>27.062689585439834</v>
      </c>
      <c r="J42" s="51">
        <f t="shared" si="2"/>
        <v>7.2444609987617277</v>
      </c>
      <c r="K42" s="51">
        <f t="shared" si="3"/>
        <v>220.35235537900255</v>
      </c>
      <c r="L42" s="51">
        <f t="shared" si="4"/>
        <v>14030.679058361467</v>
      </c>
      <c r="M42" s="39"/>
      <c r="N42" s="51">
        <f t="shared" si="5"/>
        <v>35.033284902382036</v>
      </c>
      <c r="O42" s="85">
        <f>('Price Deck'!R36/$B$2)/'Price Deck'!M36</f>
        <v>330.59802439024389</v>
      </c>
      <c r="Q42" s="155">
        <f t="shared" si="6"/>
        <v>0.23557841341463415</v>
      </c>
      <c r="R42" s="155">
        <f t="shared" si="7"/>
        <v>0.1</v>
      </c>
      <c r="S42" s="155">
        <f t="shared" si="8"/>
        <v>0.25595210463414636</v>
      </c>
      <c r="T42" s="155">
        <f t="shared" si="9"/>
        <v>0.23557841341463415</v>
      </c>
      <c r="U42" s="155">
        <f t="shared" si="10"/>
        <v>0.2778048875609756</v>
      </c>
      <c r="W42" s="155">
        <f t="shared" si="11"/>
        <v>-0.21460506538178425</v>
      </c>
      <c r="X42" s="157">
        <f t="shared" si="12"/>
        <v>0.05</v>
      </c>
      <c r="Y42" s="155">
        <f t="shared" si="13"/>
        <v>0.05</v>
      </c>
      <c r="AA42" s="85">
        <f>'Price Deck'!R36/'Price Deck'!M36</f>
        <v>52.560975609756099</v>
      </c>
      <c r="AB42" s="85">
        <f t="shared" si="14"/>
        <v>11581.934776628061</v>
      </c>
      <c r="AC42" s="85">
        <f t="shared" si="15"/>
        <v>579.09673883140306</v>
      </c>
      <c r="AD42" s="85">
        <f t="shared" si="16"/>
        <v>2.6280487804878052</v>
      </c>
    </row>
    <row r="43" spans="1:30">
      <c r="A43" s="164" t="str">
        <f>'Price Deck'!A37</f>
        <v>11/2021</v>
      </c>
      <c r="B43" s="51">
        <f>'Liquids Type Curve'!A50</f>
        <v>2.3385574654533197</v>
      </c>
      <c r="C43" s="51">
        <f>'Liquids Type Curve'!B50</f>
        <v>28.062689585439834</v>
      </c>
      <c r="D43" s="51">
        <f>'Liquids Type Curve'!C50</f>
        <v>30.450203575360582</v>
      </c>
      <c r="E43" s="51">
        <f>'Liquids Type Curve'!D50</f>
        <v>926.19369208388446</v>
      </c>
      <c r="F43" s="51">
        <f>'Liquids Type Curve'!E50</f>
        <v>61929.146119742436</v>
      </c>
      <c r="G43" s="39"/>
      <c r="H43" s="51">
        <f t="shared" si="0"/>
        <v>2.3385574654533197</v>
      </c>
      <c r="I43" s="39">
        <f t="shared" si="1"/>
        <v>28.062689585439834</v>
      </c>
      <c r="J43" s="51">
        <f t="shared" si="2"/>
        <v>7.0035468223329342</v>
      </c>
      <c r="K43" s="51">
        <f t="shared" si="3"/>
        <v>213.02454917929344</v>
      </c>
      <c r="L43" s="51">
        <f t="shared" si="4"/>
        <v>14243.703607540761</v>
      </c>
      <c r="M43" s="39"/>
      <c r="N43" s="51">
        <f t="shared" si="5"/>
        <v>33.868254821980578</v>
      </c>
      <c r="O43" s="85">
        <f>('Price Deck'!R37/$B$2)/'Price Deck'!M37</f>
        <v>330.59802439024389</v>
      </c>
      <c r="Q43" s="155">
        <f t="shared" si="6"/>
        <v>0.23557841341463415</v>
      </c>
      <c r="R43" s="155">
        <f t="shared" si="7"/>
        <v>0.1</v>
      </c>
      <c r="S43" s="155">
        <f t="shared" si="8"/>
        <v>0.25595210463414636</v>
      </c>
      <c r="T43" s="155">
        <f t="shared" si="9"/>
        <v>0.23557841341463415</v>
      </c>
      <c r="U43" s="155">
        <f t="shared" si="10"/>
        <v>0.2778048875609756</v>
      </c>
      <c r="W43" s="155">
        <f t="shared" si="11"/>
        <v>-0.21617785599032624</v>
      </c>
      <c r="X43" s="157">
        <f t="shared" si="12"/>
        <v>0.05</v>
      </c>
      <c r="Y43" s="155">
        <f t="shared" si="13"/>
        <v>0.05</v>
      </c>
      <c r="AA43" s="85">
        <f>'Price Deck'!R37/'Price Deck'!M37</f>
        <v>52.560975609756099</v>
      </c>
      <c r="AB43" s="85">
        <f t="shared" si="14"/>
        <v>11196.778133692131</v>
      </c>
      <c r="AC43" s="85">
        <f t="shared" si="15"/>
        <v>559.83890668460651</v>
      </c>
      <c r="AD43" s="85">
        <f t="shared" si="16"/>
        <v>2.6280487804878048</v>
      </c>
    </row>
    <row r="44" spans="1:30">
      <c r="A44" s="164" t="str">
        <f>'Price Deck'!A38</f>
        <v>12/2021</v>
      </c>
      <c r="B44" s="51">
        <f>'Liquids Type Curve'!A51</f>
        <v>2.4218907987866531</v>
      </c>
      <c r="C44" s="51">
        <f>'Liquids Type Curve'!B51</f>
        <v>29.062689585439838</v>
      </c>
      <c r="D44" s="51">
        <f>'Liquids Type Curve'!C51</f>
        <v>29.47246794325341</v>
      </c>
      <c r="E44" s="51">
        <f>'Liquids Type Curve'!D51</f>
        <v>896.45423327395793</v>
      </c>
      <c r="F44" s="51">
        <f>'Liquids Type Curve'!E51</f>
        <v>62825.600353016394</v>
      </c>
      <c r="G44" s="39"/>
      <c r="H44" s="51">
        <f t="shared" si="0"/>
        <v>2.4218907987866531</v>
      </c>
      <c r="I44" s="39">
        <f t="shared" si="1"/>
        <v>29.062689585439838</v>
      </c>
      <c r="J44" s="51">
        <f t="shared" si="2"/>
        <v>6.7786676269482848</v>
      </c>
      <c r="K44" s="51">
        <f t="shared" si="3"/>
        <v>206.18447365301034</v>
      </c>
      <c r="L44" s="51">
        <f t="shared" si="4"/>
        <v>14449.888081193771</v>
      </c>
      <c r="M44" s="39"/>
      <c r="N44" s="51">
        <f t="shared" si="5"/>
        <v>32.780767854782404</v>
      </c>
      <c r="O44" s="85">
        <f>('Price Deck'!R38/$B$2)/'Price Deck'!M38</f>
        <v>330.59802439024389</v>
      </c>
      <c r="Q44" s="155">
        <f t="shared" si="6"/>
        <v>0.23557841341463415</v>
      </c>
      <c r="R44" s="155">
        <f t="shared" si="7"/>
        <v>0.1</v>
      </c>
      <c r="S44" s="155">
        <f t="shared" si="8"/>
        <v>0.25595210463414636</v>
      </c>
      <c r="T44" s="155">
        <f t="shared" si="9"/>
        <v>0.23557841341463415</v>
      </c>
      <c r="U44" s="155">
        <f t="shared" si="10"/>
        <v>0.2778048875609756</v>
      </c>
      <c r="W44" s="155">
        <f t="shared" si="11"/>
        <v>-0.21764596339604378</v>
      </c>
      <c r="X44" s="157">
        <f t="shared" si="12"/>
        <v>0.05</v>
      </c>
      <c r="Y44" s="155">
        <f t="shared" si="13"/>
        <v>0.05</v>
      </c>
      <c r="AA44" s="85">
        <f>'Price Deck'!R38/'Price Deck'!M38</f>
        <v>52.560975609756099</v>
      </c>
      <c r="AB44" s="85">
        <f t="shared" si="14"/>
        <v>10837.257090786276</v>
      </c>
      <c r="AC44" s="85">
        <f t="shared" si="15"/>
        <v>541.86285453931384</v>
      </c>
      <c r="AD44" s="85">
        <f t="shared" si="16"/>
        <v>2.6280487804878052</v>
      </c>
    </row>
    <row r="45" spans="1:30">
      <c r="A45" s="164" t="str">
        <f>'Price Deck'!A39</f>
        <v>01/2022</v>
      </c>
      <c r="B45" s="51">
        <f>'Liquids Type Curve'!A52</f>
        <v>2.5052241321199866</v>
      </c>
      <c r="C45" s="51">
        <f>'Liquids Type Curve'!B52</f>
        <v>30.062689585439841</v>
      </c>
      <c r="D45" s="51">
        <f>'Liquids Type Curve'!C52</f>
        <v>28.557642069722547</v>
      </c>
      <c r="E45" s="51">
        <f>'Liquids Type Curve'!D52</f>
        <v>868.62827962072754</v>
      </c>
      <c r="F45" s="51">
        <f>'Liquids Type Curve'!E52</f>
        <v>63694.228632637125</v>
      </c>
      <c r="G45" s="39"/>
      <c r="H45" s="51">
        <f t="shared" si="0"/>
        <v>2.5052241321199866</v>
      </c>
      <c r="I45" s="39">
        <f t="shared" si="1"/>
        <v>30.062689585439841</v>
      </c>
      <c r="J45" s="51">
        <f t="shared" si="2"/>
        <v>6.5682576760361862</v>
      </c>
      <c r="K45" s="51">
        <f t="shared" si="3"/>
        <v>199.78450431276735</v>
      </c>
      <c r="L45" s="51">
        <f t="shared" si="4"/>
        <v>14649.67258550654</v>
      </c>
      <c r="M45" s="39"/>
      <c r="N45" s="51">
        <f t="shared" si="5"/>
        <v>31.763252299400197</v>
      </c>
      <c r="O45" s="85">
        <f>('Price Deck'!R39/$B$2)/'Price Deck'!M39</f>
        <v>398.09831707317073</v>
      </c>
      <c r="Q45" s="155">
        <f t="shared" si="6"/>
        <v>0.2727035743902439</v>
      </c>
      <c r="R45" s="155">
        <f t="shared" si="7"/>
        <v>0.1</v>
      </c>
      <c r="S45" s="155">
        <f t="shared" si="8"/>
        <v>0.32412740024390246</v>
      </c>
      <c r="T45" s="155">
        <f t="shared" si="9"/>
        <v>0.2727035743902439</v>
      </c>
      <c r="U45" s="155">
        <f t="shared" si="10"/>
        <v>0.29872997829268289</v>
      </c>
      <c r="W45" s="155">
        <f t="shared" si="11"/>
        <v>-0.21901960939580975</v>
      </c>
      <c r="X45" s="157">
        <f t="shared" si="12"/>
        <v>5.3683964994434147E-2</v>
      </c>
      <c r="Y45" s="155">
        <f t="shared" si="13"/>
        <v>5.3683964994434147E-2</v>
      </c>
      <c r="AA45" s="85">
        <f>'Price Deck'!R39/'Price Deck'!M39</f>
        <v>63.292682926829272</v>
      </c>
      <c r="AB45" s="85">
        <f t="shared" si="14"/>
        <v>12644.89728516174</v>
      </c>
      <c r="AC45" s="85">
        <f t="shared" si="15"/>
        <v>678.8282232148382</v>
      </c>
      <c r="AD45" s="85">
        <f t="shared" si="16"/>
        <v>3.3978021746477225</v>
      </c>
    </row>
    <row r="46" spans="1:30">
      <c r="A46" s="164" t="str">
        <f>'Price Deck'!A40</f>
        <v>02/2022</v>
      </c>
      <c r="B46" s="51">
        <f>'Liquids Type Curve'!A53</f>
        <v>2.5885574654533201</v>
      </c>
      <c r="C46" s="51">
        <f>'Liquids Type Curve'!B53</f>
        <v>31.062689585439841</v>
      </c>
      <c r="D46" s="51">
        <f>'Liquids Type Curve'!C53</f>
        <v>27.699781110330612</v>
      </c>
      <c r="E46" s="51">
        <f>'Liquids Type Curve'!D53</f>
        <v>842.53500877255613</v>
      </c>
      <c r="F46" s="51">
        <f>'Liquids Type Curve'!E53</f>
        <v>64536.763641409678</v>
      </c>
      <c r="G46" s="39"/>
      <c r="H46" s="51">
        <f t="shared" si="0"/>
        <v>2.5885574654533201</v>
      </c>
      <c r="I46" s="39">
        <f t="shared" si="1"/>
        <v>31.062689585439841</v>
      </c>
      <c r="J46" s="51">
        <f t="shared" si="2"/>
        <v>6.370949655376041</v>
      </c>
      <c r="K46" s="51">
        <f t="shared" si="3"/>
        <v>193.78305201768791</v>
      </c>
      <c r="L46" s="51">
        <f t="shared" si="4"/>
        <v>14843.455637524226</v>
      </c>
      <c r="M46" s="39"/>
      <c r="N46" s="51">
        <f t="shared" si="5"/>
        <v>30.809095999505217</v>
      </c>
      <c r="O46" s="85">
        <f>('Price Deck'!R40/$B$2)/'Price Deck'!M40</f>
        <v>398.09831707317073</v>
      </c>
      <c r="Q46" s="155">
        <f t="shared" si="6"/>
        <v>0.2727035743902439</v>
      </c>
      <c r="R46" s="155">
        <f t="shared" si="7"/>
        <v>0.1</v>
      </c>
      <c r="S46" s="155">
        <f t="shared" si="8"/>
        <v>0.32412740024390246</v>
      </c>
      <c r="T46" s="155">
        <f t="shared" si="9"/>
        <v>0.2727035743902439</v>
      </c>
      <c r="U46" s="155">
        <f t="shared" si="10"/>
        <v>0.29872997829268289</v>
      </c>
      <c r="W46" s="155">
        <f t="shared" si="11"/>
        <v>-0.22030772040066796</v>
      </c>
      <c r="X46" s="157">
        <f t="shared" si="12"/>
        <v>5.2395853989575941E-2</v>
      </c>
      <c r="Y46" s="155">
        <f t="shared" si="13"/>
        <v>5.2395853989575941E-2</v>
      </c>
      <c r="AA46" s="85">
        <f>'Price Deck'!R40/'Price Deck'!M40</f>
        <v>63.292682926829272</v>
      </c>
      <c r="AB46" s="85">
        <f t="shared" si="14"/>
        <v>12265.049267948783</v>
      </c>
      <c r="AC46" s="85">
        <f t="shared" si="15"/>
        <v>642.6377306183997</v>
      </c>
      <c r="AD46" s="85">
        <f t="shared" si="16"/>
        <v>3.3162741732426722</v>
      </c>
    </row>
    <row r="47" spans="1:30">
      <c r="A47" s="164" t="str">
        <f>'Price Deck'!A41</f>
        <v>03/2022</v>
      </c>
      <c r="B47" s="51">
        <f>'Liquids Type Curve'!A54</f>
        <v>2.6718907987866536</v>
      </c>
      <c r="C47" s="51">
        <f>'Liquids Type Curve'!B54</f>
        <v>32.062689585439841</v>
      </c>
      <c r="D47" s="51">
        <f>'Liquids Type Curve'!C54</f>
        <v>26.893670074344161</v>
      </c>
      <c r="E47" s="51">
        <f>'Liquids Type Curve'!D54</f>
        <v>818.01579809463499</v>
      </c>
      <c r="F47" s="51">
        <f>'Liquids Type Curve'!E54</f>
        <v>65354.779439504309</v>
      </c>
      <c r="G47" s="39"/>
      <c r="H47" s="51">
        <f t="shared" si="0"/>
        <v>2.6718907987866536</v>
      </c>
      <c r="I47" s="39">
        <f t="shared" si="1"/>
        <v>32.062689585439841</v>
      </c>
      <c r="J47" s="51">
        <f t="shared" si="2"/>
        <v>6.1855441170991572</v>
      </c>
      <c r="K47" s="51">
        <f t="shared" si="3"/>
        <v>188.14363356176605</v>
      </c>
      <c r="L47" s="51">
        <f t="shared" si="4"/>
        <v>15031.599271085992</v>
      </c>
      <c r="M47" s="39"/>
      <c r="N47" s="51">
        <f t="shared" si="5"/>
        <v>29.912498578931931</v>
      </c>
      <c r="O47" s="85">
        <f>('Price Deck'!R41/$B$2)/'Price Deck'!M41</f>
        <v>398.09831707317073</v>
      </c>
      <c r="Q47" s="155">
        <f t="shared" si="6"/>
        <v>0.2727035743902439</v>
      </c>
      <c r="R47" s="155">
        <f t="shared" si="7"/>
        <v>0.1</v>
      </c>
      <c r="S47" s="155">
        <f t="shared" si="8"/>
        <v>0.32412740024390246</v>
      </c>
      <c r="T47" s="155">
        <f t="shared" si="9"/>
        <v>0.2727035743902439</v>
      </c>
      <c r="U47" s="155">
        <f t="shared" si="10"/>
        <v>0.29872997829268289</v>
      </c>
      <c r="W47" s="155">
        <f t="shared" si="11"/>
        <v>-0.22151812691844189</v>
      </c>
      <c r="X47" s="157">
        <f t="shared" si="12"/>
        <v>5.1185447471802009E-2</v>
      </c>
      <c r="Y47" s="155">
        <f t="shared" si="13"/>
        <v>5.1185447471802009E-2</v>
      </c>
      <c r="AA47" s="85">
        <f>'Price Deck'!R41/'Price Deck'!M41</f>
        <v>63.292682926829272</v>
      </c>
      <c r="AB47" s="85">
        <f t="shared" si="14"/>
        <v>11908.115343726413</v>
      </c>
      <c r="AC47" s="85">
        <f t="shared" si="15"/>
        <v>609.52221241446784</v>
      </c>
      <c r="AD47" s="85">
        <f t="shared" si="16"/>
        <v>3.2396642973006395</v>
      </c>
    </row>
    <row r="48" spans="1:30">
      <c r="A48" s="164" t="str">
        <f>'Price Deck'!A42</f>
        <v>04/2022</v>
      </c>
      <c r="B48" s="51">
        <f>'Liquids Type Curve'!A55</f>
        <v>2.7552241321199871</v>
      </c>
      <c r="C48" s="51">
        <f>'Liquids Type Curve'!B55</f>
        <v>33.062689585439841</v>
      </c>
      <c r="D48" s="51">
        <f>'Liquids Type Curve'!C55</f>
        <v>26.134714834245361</v>
      </c>
      <c r="E48" s="51">
        <f>'Liquids Type Curve'!D55</f>
        <v>794.93090954162983</v>
      </c>
      <c r="F48" s="51">
        <f>'Liquids Type Curve'!E55</f>
        <v>66149.710349045941</v>
      </c>
      <c r="G48" s="39"/>
      <c r="H48" s="51">
        <f t="shared" si="0"/>
        <v>2.7552241321199871</v>
      </c>
      <c r="I48" s="39">
        <f t="shared" si="1"/>
        <v>33.062689585439841</v>
      </c>
      <c r="J48" s="51">
        <f t="shared" si="2"/>
        <v>6.0109844118764331</v>
      </c>
      <c r="K48" s="51">
        <f t="shared" si="3"/>
        <v>182.83410919457486</v>
      </c>
      <c r="L48" s="51">
        <f t="shared" si="4"/>
        <v>15214.433380280567</v>
      </c>
      <c r="M48" s="39"/>
      <c r="N48" s="51">
        <f t="shared" si="5"/>
        <v>29.068350216950439</v>
      </c>
      <c r="O48" s="85">
        <f>('Price Deck'!R42/$B$2)/'Price Deck'!M42</f>
        <v>398.09831707317073</v>
      </c>
      <c r="Q48" s="155">
        <f t="shared" si="6"/>
        <v>0.2727035743902439</v>
      </c>
      <c r="R48" s="155">
        <f t="shared" si="7"/>
        <v>0.1</v>
      </c>
      <c r="S48" s="155">
        <f t="shared" si="8"/>
        <v>0.32412740024390246</v>
      </c>
      <c r="T48" s="155">
        <f t="shared" si="9"/>
        <v>0.2727035743902439</v>
      </c>
      <c r="U48" s="155">
        <f t="shared" si="10"/>
        <v>0.29872997829268289</v>
      </c>
      <c r="W48" s="155">
        <f t="shared" si="11"/>
        <v>-0.22265772720711691</v>
      </c>
      <c r="X48" s="157">
        <f t="shared" si="12"/>
        <v>5.004584718312699E-2</v>
      </c>
      <c r="Y48" s="155">
        <f t="shared" si="13"/>
        <v>5.004584718312699E-2</v>
      </c>
      <c r="AA48" s="85">
        <f>'Price Deck'!R42/'Price Deck'!M42</f>
        <v>63.292682926829272</v>
      </c>
      <c r="AB48" s="85">
        <f t="shared" si="14"/>
        <v>11572.061301461508</v>
      </c>
      <c r="AC48" s="85">
        <f t="shared" si="15"/>
        <v>579.13361148672027</v>
      </c>
      <c r="AD48" s="85">
        <f t="shared" si="16"/>
        <v>3.1675359375662087</v>
      </c>
    </row>
    <row r="49" spans="1:30">
      <c r="A49" s="164" t="str">
        <f>'Price Deck'!A43</f>
        <v>05/2022</v>
      </c>
      <c r="B49" s="51">
        <f>'Liquids Type Curve'!A56</f>
        <v>2.8385574654533205</v>
      </c>
      <c r="C49" s="51">
        <f>'Liquids Type Curve'!B56</f>
        <v>34.062689585439848</v>
      </c>
      <c r="D49" s="51">
        <f>'Liquids Type Curve'!C56</f>
        <v>25.41885213578972</v>
      </c>
      <c r="E49" s="51">
        <f>'Liquids Type Curve'!D56</f>
        <v>773.15675246360399</v>
      </c>
      <c r="F49" s="51">
        <f>'Liquids Type Curve'!E56</f>
        <v>66922.867101509546</v>
      </c>
      <c r="G49" s="39"/>
      <c r="H49" s="51">
        <f t="shared" si="0"/>
        <v>2.8385574654533205</v>
      </c>
      <c r="I49" s="39">
        <f t="shared" si="1"/>
        <v>34.062689585439848</v>
      </c>
      <c r="J49" s="51">
        <f t="shared" si="2"/>
        <v>5.8463359912316362</v>
      </c>
      <c r="K49" s="51">
        <f t="shared" si="3"/>
        <v>177.82605306662893</v>
      </c>
      <c r="L49" s="51">
        <f t="shared" si="4"/>
        <v>15392.259433347197</v>
      </c>
      <c r="M49" s="39"/>
      <c r="N49" s="51">
        <f t="shared" si="5"/>
        <v>28.272131556906249</v>
      </c>
      <c r="O49" s="85">
        <f>('Price Deck'!R43/$B$2)/'Price Deck'!M43</f>
        <v>398.09831707317073</v>
      </c>
      <c r="Q49" s="155">
        <f t="shared" si="6"/>
        <v>0.2727035743902439</v>
      </c>
      <c r="R49" s="155">
        <f t="shared" si="7"/>
        <v>0.1</v>
      </c>
      <c r="S49" s="155">
        <f t="shared" si="8"/>
        <v>0.32412740024390246</v>
      </c>
      <c r="T49" s="155">
        <f t="shared" si="9"/>
        <v>0.2727035743902439</v>
      </c>
      <c r="U49" s="155">
        <f t="shared" si="10"/>
        <v>0.29872997829268289</v>
      </c>
      <c r="W49" s="155">
        <f t="shared" si="11"/>
        <v>-0.22373262239817657</v>
      </c>
      <c r="X49" s="157">
        <f t="shared" si="12"/>
        <v>0.05</v>
      </c>
      <c r="Y49" s="155">
        <f t="shared" si="13"/>
        <v>0.05</v>
      </c>
      <c r="AA49" s="85">
        <f>'Price Deck'!R43/'Price Deck'!M43</f>
        <v>63.292682926829272</v>
      </c>
      <c r="AB49" s="85">
        <f t="shared" si="14"/>
        <v>11255.08799287566</v>
      </c>
      <c r="AC49" s="85">
        <f t="shared" si="15"/>
        <v>562.75439964378302</v>
      </c>
      <c r="AD49" s="85">
        <f t="shared" si="16"/>
        <v>3.1646341463414633</v>
      </c>
    </row>
    <row r="50" spans="1:30">
      <c r="A50" s="164" t="str">
        <f>'Price Deck'!A44</f>
        <v>06/2022</v>
      </c>
      <c r="B50" s="51">
        <f>'Liquids Type Curve'!A57</f>
        <v>2.921890798786654</v>
      </c>
      <c r="C50" s="51">
        <f>'Liquids Type Curve'!B57</f>
        <v>35.062689585439848</v>
      </c>
      <c r="D50" s="51">
        <f>'Liquids Type Curve'!C57</f>
        <v>24.742474848305317</v>
      </c>
      <c r="E50" s="51">
        <f>'Liquids Type Curve'!D57</f>
        <v>752.58360996928673</v>
      </c>
      <c r="F50" s="51">
        <f>'Liquids Type Curve'!E57</f>
        <v>67675.450711478828</v>
      </c>
      <c r="G50" s="39"/>
      <c r="H50" s="51">
        <f t="shared" si="0"/>
        <v>2.921890798786654</v>
      </c>
      <c r="I50" s="39">
        <f t="shared" si="1"/>
        <v>35.062689585439848</v>
      </c>
      <c r="J50" s="51">
        <f t="shared" si="2"/>
        <v>5.6907692151102234</v>
      </c>
      <c r="K50" s="51">
        <f t="shared" si="3"/>
        <v>173.09423029293595</v>
      </c>
      <c r="L50" s="51">
        <f t="shared" si="4"/>
        <v>15565.353663640131</v>
      </c>
      <c r="M50" s="39"/>
      <c r="N50" s="51">
        <f t="shared" si="5"/>
        <v>27.519830565826567</v>
      </c>
      <c r="O50" s="85">
        <f>('Price Deck'!R44/$B$2)/'Price Deck'!M44</f>
        <v>398.09831707317073</v>
      </c>
      <c r="Q50" s="155">
        <f t="shared" si="6"/>
        <v>0.2727035743902439</v>
      </c>
      <c r="R50" s="155">
        <f t="shared" si="7"/>
        <v>0.1</v>
      </c>
      <c r="S50" s="155">
        <f t="shared" si="8"/>
        <v>0.32412740024390246</v>
      </c>
      <c r="T50" s="155">
        <f t="shared" si="9"/>
        <v>0.2727035743902439</v>
      </c>
      <c r="U50" s="155">
        <f t="shared" si="10"/>
        <v>0.29872997829268289</v>
      </c>
      <c r="W50" s="155">
        <f t="shared" si="11"/>
        <v>-0.22474822873613415</v>
      </c>
      <c r="X50" s="157">
        <f t="shared" si="12"/>
        <v>0.05</v>
      </c>
      <c r="Y50" s="155">
        <f t="shared" si="13"/>
        <v>0.05</v>
      </c>
      <c r="AA50" s="85">
        <f>'Price Deck'!R44/'Price Deck'!M44</f>
        <v>63.292682926829272</v>
      </c>
      <c r="AB50" s="85">
        <f t="shared" si="14"/>
        <v>10955.598234394361</v>
      </c>
      <c r="AC50" s="85">
        <f t="shared" si="15"/>
        <v>547.77991171971814</v>
      </c>
      <c r="AD50" s="85">
        <f t="shared" si="16"/>
        <v>3.1646341463414642</v>
      </c>
    </row>
    <row r="51" spans="1:30">
      <c r="A51" s="164" t="str">
        <f>'Price Deck'!A45</f>
        <v>07/2022</v>
      </c>
      <c r="B51" s="51">
        <f>'Liquids Type Curve'!A58</f>
        <v>3.0052241321199875</v>
      </c>
      <c r="C51" s="51">
        <f>'Liquids Type Curve'!B58</f>
        <v>36.062689585439848</v>
      </c>
      <c r="D51" s="51">
        <f>'Liquids Type Curve'!C58</f>
        <v>24.102369522833822</v>
      </c>
      <c r="E51" s="51">
        <f>'Liquids Type Curve'!D58</f>
        <v>733.11373965286214</v>
      </c>
      <c r="F51" s="51">
        <f>'Liquids Type Curve'!E58</f>
        <v>68408.564451131693</v>
      </c>
      <c r="G51" s="39"/>
      <c r="H51" s="51">
        <f t="shared" si="0"/>
        <v>3.0052241321199875</v>
      </c>
      <c r="I51" s="39">
        <f t="shared" si="1"/>
        <v>36.062689585439848</v>
      </c>
      <c r="J51" s="51">
        <f t="shared" si="2"/>
        <v>5.543544990251779</v>
      </c>
      <c r="K51" s="51">
        <f t="shared" si="3"/>
        <v>168.6161601201583</v>
      </c>
      <c r="L51" s="51">
        <f t="shared" si="4"/>
        <v>15733.96982376029</v>
      </c>
      <c r="M51" s="39"/>
      <c r="N51" s="51">
        <f t="shared" si="5"/>
        <v>26.807873083430046</v>
      </c>
      <c r="O51" s="85">
        <f>('Price Deck'!R45/$B$2)/'Price Deck'!M45</f>
        <v>398.09831707317073</v>
      </c>
      <c r="Q51" s="155">
        <f t="shared" si="6"/>
        <v>0.2727035743902439</v>
      </c>
      <c r="R51" s="155">
        <f t="shared" si="7"/>
        <v>0.1</v>
      </c>
      <c r="S51" s="155">
        <f t="shared" si="8"/>
        <v>0.32412740024390246</v>
      </c>
      <c r="T51" s="155">
        <f t="shared" si="9"/>
        <v>0.2727035743902439</v>
      </c>
      <c r="U51" s="155">
        <f t="shared" si="10"/>
        <v>0.29872997829268289</v>
      </c>
      <c r="W51" s="155">
        <f t="shared" si="11"/>
        <v>-0.22570937133736943</v>
      </c>
      <c r="X51" s="157">
        <f t="shared" si="12"/>
        <v>0.05</v>
      </c>
      <c r="Y51" s="155">
        <f t="shared" si="13"/>
        <v>0.05</v>
      </c>
      <c r="AA51" s="85">
        <f>'Price Deck'!R45/'Price Deck'!M45</f>
        <v>63.292682926829272</v>
      </c>
      <c r="AB51" s="85">
        <f t="shared" si="14"/>
        <v>10672.169158824654</v>
      </c>
      <c r="AC51" s="85">
        <f t="shared" si="15"/>
        <v>533.6084579412327</v>
      </c>
      <c r="AD51" s="85">
        <f t="shared" si="16"/>
        <v>3.1646341463414638</v>
      </c>
    </row>
    <row r="52" spans="1:30">
      <c r="A52" s="164" t="str">
        <f>'Price Deck'!A46</f>
        <v>08/2022</v>
      </c>
      <c r="B52" s="51">
        <f>'Liquids Type Curve'!A59</f>
        <v>3.088557465453321</v>
      </c>
      <c r="C52" s="51">
        <f>'Liquids Type Curve'!B59</f>
        <v>37.062689585439855</v>
      </c>
      <c r="D52" s="51">
        <f>'Liquids Type Curve'!C59</f>
        <v>23.49566395390115</v>
      </c>
      <c r="E52" s="51">
        <f>'Liquids Type Curve'!D59</f>
        <v>714.65977859782674</v>
      </c>
      <c r="F52" s="51">
        <f>'Liquids Type Curve'!E59</f>
        <v>69123.224229729516</v>
      </c>
      <c r="G52" s="39"/>
      <c r="H52" s="51">
        <f t="shared" si="0"/>
        <v>3.088557465453321</v>
      </c>
      <c r="I52" s="39">
        <f t="shared" si="1"/>
        <v>37.062689585439855</v>
      </c>
      <c r="J52" s="51">
        <f t="shared" si="2"/>
        <v>5.4040027093972647</v>
      </c>
      <c r="K52" s="51">
        <f t="shared" si="3"/>
        <v>164.37174907750017</v>
      </c>
      <c r="L52" s="51">
        <f t="shared" si="4"/>
        <v>15898.341572837789</v>
      </c>
      <c r="M52" s="39"/>
      <c r="N52" s="51">
        <f t="shared" si="5"/>
        <v>26.133064497678809</v>
      </c>
      <c r="O52" s="85">
        <f>('Price Deck'!R46/$B$2)/'Price Deck'!M46</f>
        <v>398.09831707317073</v>
      </c>
      <c r="Q52" s="155">
        <f t="shared" si="6"/>
        <v>0.2727035743902439</v>
      </c>
      <c r="R52" s="155">
        <f t="shared" si="7"/>
        <v>0.1</v>
      </c>
      <c r="S52" s="155">
        <f t="shared" si="8"/>
        <v>0.32412740024390246</v>
      </c>
      <c r="T52" s="155">
        <f t="shared" si="9"/>
        <v>0.2727035743902439</v>
      </c>
      <c r="U52" s="155">
        <f t="shared" si="10"/>
        <v>0.29872997829268289</v>
      </c>
      <c r="W52" s="155">
        <f t="shared" si="11"/>
        <v>-0.22662036292813362</v>
      </c>
      <c r="X52" s="157">
        <f t="shared" si="12"/>
        <v>0.05</v>
      </c>
      <c r="Y52" s="155">
        <f t="shared" si="13"/>
        <v>0.05</v>
      </c>
      <c r="AA52" s="85">
        <f>'Price Deck'!R46/'Price Deck'!M46</f>
        <v>63.292682926829272</v>
      </c>
      <c r="AB52" s="85">
        <f t="shared" si="14"/>
        <v>10403.528996490561</v>
      </c>
      <c r="AC52" s="85">
        <f t="shared" si="15"/>
        <v>520.17644982452805</v>
      </c>
      <c r="AD52" s="85">
        <f t="shared" si="16"/>
        <v>3.1646341463414638</v>
      </c>
    </row>
    <row r="53" spans="1:30">
      <c r="A53" s="164" t="str">
        <f>'Price Deck'!A47</f>
        <v>09/2022</v>
      </c>
      <c r="B53" s="51">
        <f>'Liquids Type Curve'!A60</f>
        <v>3.1718907987866545</v>
      </c>
      <c r="C53" s="51">
        <f>'Liquids Type Curve'!B60</f>
        <v>38.062689585439855</v>
      </c>
      <c r="D53" s="51">
        <f>'Liquids Type Curve'!C60</f>
        <v>22.919782921340047</v>
      </c>
      <c r="E53" s="51">
        <f>'Liquids Type Curve'!D60</f>
        <v>697.14339719075986</v>
      </c>
      <c r="F53" s="51">
        <f>'Liquids Type Curve'!E60</f>
        <v>69820.36762692027</v>
      </c>
      <c r="G53" s="39"/>
      <c r="H53" s="51">
        <f t="shared" si="0"/>
        <v>3.1718907987866545</v>
      </c>
      <c r="I53" s="39">
        <f t="shared" si="1"/>
        <v>38.062689585439855</v>
      </c>
      <c r="J53" s="51">
        <f t="shared" si="2"/>
        <v>5.2715500719082113</v>
      </c>
      <c r="K53" s="51">
        <f t="shared" si="3"/>
        <v>160.34298135387476</v>
      </c>
      <c r="L53" s="51">
        <f t="shared" si="4"/>
        <v>16058.684554191663</v>
      </c>
      <c r="M53" s="39"/>
      <c r="N53" s="51">
        <f t="shared" si="5"/>
        <v>25.492540518597533</v>
      </c>
      <c r="O53" s="85">
        <f>('Price Deck'!R47/$B$2)/'Price Deck'!M47</f>
        <v>398.09831707317073</v>
      </c>
      <c r="Q53" s="155">
        <f t="shared" si="6"/>
        <v>0.2727035743902439</v>
      </c>
      <c r="R53" s="155">
        <f t="shared" si="7"/>
        <v>0.1</v>
      </c>
      <c r="S53" s="155">
        <f t="shared" si="8"/>
        <v>0.32412740024390246</v>
      </c>
      <c r="T53" s="155">
        <f t="shared" si="9"/>
        <v>0.2727035743902439</v>
      </c>
      <c r="U53" s="155">
        <f t="shared" si="10"/>
        <v>0.29872997829268289</v>
      </c>
      <c r="W53" s="155">
        <f t="shared" si="11"/>
        <v>-0.22748507029989334</v>
      </c>
      <c r="X53" s="157">
        <f t="shared" si="12"/>
        <v>0.05</v>
      </c>
      <c r="Y53" s="155">
        <f t="shared" si="13"/>
        <v>0.05</v>
      </c>
      <c r="AA53" s="85">
        <f>'Price Deck'!R47/'Price Deck'!M47</f>
        <v>63.292682926829272</v>
      </c>
      <c r="AB53" s="85">
        <f t="shared" si="14"/>
        <v>10148.537478373293</v>
      </c>
      <c r="AC53" s="85">
        <f t="shared" si="15"/>
        <v>507.42687391866468</v>
      </c>
      <c r="AD53" s="85">
        <f t="shared" si="16"/>
        <v>3.1646341463414638</v>
      </c>
    </row>
    <row r="54" spans="1:30">
      <c r="A54" s="164" t="str">
        <f>'Price Deck'!A48</f>
        <v>10/2022</v>
      </c>
      <c r="B54" s="51">
        <f>'Liquids Type Curve'!A61</f>
        <v>3.255224132119988</v>
      </c>
      <c r="C54" s="51">
        <f>'Liquids Type Curve'!B61</f>
        <v>39.062689585439855</v>
      </c>
      <c r="D54" s="51">
        <f>'Liquids Type Curve'!C61</f>
        <v>22.372410659219039</v>
      </c>
      <c r="E54" s="51">
        <f>'Liquids Type Curve'!D61</f>
        <v>680.49415755124573</v>
      </c>
      <c r="F54" s="51">
        <f>'Liquids Type Curve'!E61</f>
        <v>70500.861784471519</v>
      </c>
      <c r="G54" s="39"/>
      <c r="H54" s="51">
        <f t="shared" si="0"/>
        <v>3.255224132119988</v>
      </c>
      <c r="I54" s="39">
        <f t="shared" si="1"/>
        <v>39.062689585439855</v>
      </c>
      <c r="J54" s="51">
        <f t="shared" si="2"/>
        <v>5.1456544516203788</v>
      </c>
      <c r="K54" s="51">
        <f t="shared" si="3"/>
        <v>156.51365623678652</v>
      </c>
      <c r="L54" s="51">
        <f t="shared" si="4"/>
        <v>16215.198210428451</v>
      </c>
      <c r="M54" s="39"/>
      <c r="N54" s="51">
        <f t="shared" si="5"/>
        <v>24.883725434320091</v>
      </c>
      <c r="O54" s="85">
        <f>('Price Deck'!R48/$B$2)/'Price Deck'!M48</f>
        <v>398.09831707317073</v>
      </c>
      <c r="Q54" s="155">
        <f t="shared" si="6"/>
        <v>0.2727035743902439</v>
      </c>
      <c r="R54" s="155">
        <f t="shared" si="7"/>
        <v>0.1</v>
      </c>
      <c r="S54" s="155">
        <f t="shared" si="8"/>
        <v>0.32412740024390246</v>
      </c>
      <c r="T54" s="155">
        <f t="shared" si="9"/>
        <v>0.2727035743902439</v>
      </c>
      <c r="U54" s="155">
        <f t="shared" si="10"/>
        <v>0.29872997829268289</v>
      </c>
      <c r="W54" s="155">
        <f t="shared" si="11"/>
        <v>-0.22830697066366787</v>
      </c>
      <c r="X54" s="157">
        <f t="shared" si="12"/>
        <v>0.05</v>
      </c>
      <c r="Y54" s="155">
        <f t="shared" si="13"/>
        <v>0.05</v>
      </c>
      <c r="AA54" s="85">
        <f>'Price Deck'!R48/'Price Deck'!M48</f>
        <v>63.292682926829272</v>
      </c>
      <c r="AB54" s="85">
        <f t="shared" si="14"/>
        <v>9906.1692179136844</v>
      </c>
      <c r="AC54" s="85">
        <f t="shared" si="15"/>
        <v>495.30846089568422</v>
      </c>
      <c r="AD54" s="85">
        <f t="shared" si="16"/>
        <v>3.1646341463414638</v>
      </c>
    </row>
    <row r="55" spans="1:30">
      <c r="A55" s="164" t="str">
        <f>'Price Deck'!A49</f>
        <v>11/2022</v>
      </c>
      <c r="B55" s="51">
        <f>'Liquids Type Curve'!A62</f>
        <v>3.3385574654533214</v>
      </c>
      <c r="C55" s="51">
        <f>'Liquids Type Curve'!B62</f>
        <v>40.062689585439855</v>
      </c>
      <c r="D55" s="51">
        <f>'Liquids Type Curve'!C62</f>
        <v>21.851458886857582</v>
      </c>
      <c r="E55" s="51">
        <f>'Liquids Type Curve'!D62</f>
        <v>664.64854114191814</v>
      </c>
      <c r="F55" s="51">
        <f>'Liquids Type Curve'!E62</f>
        <v>71165.510325613432</v>
      </c>
      <c r="G55" s="39"/>
      <c r="H55" s="51">
        <f t="shared" si="0"/>
        <v>3.3385574654533214</v>
      </c>
      <c r="I55" s="39">
        <f t="shared" si="1"/>
        <v>40.062689585439855</v>
      </c>
      <c r="J55" s="51">
        <f t="shared" si="2"/>
        <v>5.0258355439772444</v>
      </c>
      <c r="K55" s="51">
        <f t="shared" si="3"/>
        <v>152.86916446264118</v>
      </c>
      <c r="L55" s="51">
        <f t="shared" si="4"/>
        <v>16368.06737489109</v>
      </c>
      <c r="M55" s="39"/>
      <c r="N55" s="51">
        <f t="shared" si="5"/>
        <v>24.304296553569458</v>
      </c>
      <c r="O55" s="85">
        <f>('Price Deck'!R49/$B$2)/'Price Deck'!M49</f>
        <v>398.09831707317073</v>
      </c>
      <c r="Q55" s="155">
        <f t="shared" si="6"/>
        <v>0.2727035743902439</v>
      </c>
      <c r="R55" s="155">
        <f t="shared" si="7"/>
        <v>0.1</v>
      </c>
      <c r="S55" s="155">
        <f t="shared" si="8"/>
        <v>0.32412740024390246</v>
      </c>
      <c r="T55" s="155">
        <f t="shared" si="9"/>
        <v>0.2727035743902439</v>
      </c>
      <c r="U55" s="155">
        <f t="shared" si="10"/>
        <v>0.29872997829268289</v>
      </c>
      <c r="W55" s="155">
        <f t="shared" si="11"/>
        <v>-0.22908919965268124</v>
      </c>
      <c r="X55" s="157">
        <f t="shared" si="12"/>
        <v>0.05</v>
      </c>
      <c r="Y55" s="155">
        <f t="shared" si="13"/>
        <v>0.05</v>
      </c>
      <c r="AA55" s="85">
        <f>'Price Deck'!R49/'Price Deck'!M49</f>
        <v>63.292682926829272</v>
      </c>
      <c r="AB55" s="85">
        <f t="shared" si="14"/>
        <v>9675.4995556232661</v>
      </c>
      <c r="AC55" s="85">
        <f t="shared" si="15"/>
        <v>483.77497778116333</v>
      </c>
      <c r="AD55" s="85">
        <f t="shared" si="16"/>
        <v>3.1646341463414638</v>
      </c>
    </row>
    <row r="56" spans="1:30">
      <c r="A56" s="164" t="str">
        <f>'Price Deck'!A50</f>
        <v>12/2022</v>
      </c>
      <c r="B56" s="51">
        <f>'Liquids Type Curve'!A63</f>
        <v>3.4218907987866549</v>
      </c>
      <c r="C56" s="51">
        <f>'Liquids Type Curve'!B63</f>
        <v>41.062689585439855</v>
      </c>
      <c r="D56" s="51">
        <f>'Liquids Type Curve'!C63</f>
        <v>21.355039462147872</v>
      </c>
      <c r="E56" s="51">
        <f>'Liquids Type Curve'!D63</f>
        <v>649.54911697366447</v>
      </c>
      <c r="F56" s="51">
        <f>'Liquids Type Curve'!E63</f>
        <v>71815.059442587095</v>
      </c>
      <c r="G56" s="39"/>
      <c r="H56" s="51">
        <f t="shared" si="0"/>
        <v>3.4218907987866549</v>
      </c>
      <c r="I56" s="39">
        <f t="shared" si="1"/>
        <v>41.062689585439855</v>
      </c>
      <c r="J56" s="51">
        <f t="shared" si="2"/>
        <v>4.9116590762940104</v>
      </c>
      <c r="K56" s="51">
        <f t="shared" si="3"/>
        <v>149.39629690394284</v>
      </c>
      <c r="L56" s="51">
        <f t="shared" si="4"/>
        <v>16517.463671795034</v>
      </c>
      <c r="M56" s="39"/>
      <c r="N56" s="51">
        <f t="shared" si="5"/>
        <v>23.752153789300589</v>
      </c>
      <c r="O56" s="85">
        <f>('Price Deck'!R50/$B$2)/'Price Deck'!M50</f>
        <v>398.09831707317073</v>
      </c>
      <c r="Q56" s="155">
        <f t="shared" si="6"/>
        <v>0.2727035743902439</v>
      </c>
      <c r="R56" s="155">
        <f t="shared" si="7"/>
        <v>0.1</v>
      </c>
      <c r="S56" s="155">
        <f t="shared" si="8"/>
        <v>0.32412740024390246</v>
      </c>
      <c r="T56" s="155">
        <f t="shared" si="9"/>
        <v>0.2727035743902439</v>
      </c>
      <c r="U56" s="155">
        <f t="shared" si="10"/>
        <v>0.29872997829268289</v>
      </c>
      <c r="W56" s="155">
        <f t="shared" si="11"/>
        <v>-0.2298345923844442</v>
      </c>
      <c r="X56" s="157">
        <f t="shared" si="12"/>
        <v>0.05</v>
      </c>
      <c r="Y56" s="155">
        <f t="shared" si="13"/>
        <v>0.05</v>
      </c>
      <c r="AA56" s="85">
        <f>'Price Deck'!R50/'Price Deck'!M50</f>
        <v>63.292682926829272</v>
      </c>
      <c r="AB56" s="85">
        <f t="shared" si="14"/>
        <v>9455.6924503836999</v>
      </c>
      <c r="AC56" s="85">
        <f t="shared" si="15"/>
        <v>472.78462251918501</v>
      </c>
      <c r="AD56" s="85">
        <f t="shared" si="16"/>
        <v>3.1646341463414638</v>
      </c>
    </row>
    <row r="57" spans="1:30">
      <c r="A57" s="164" t="str">
        <f>'Price Deck'!A51</f>
        <v>01/2023</v>
      </c>
      <c r="B57" s="51">
        <f>'Liquids Type Curve'!A64</f>
        <v>3.5052241321199884</v>
      </c>
      <c r="C57" s="51">
        <f>'Liquids Type Curve'!B64</f>
        <v>42.062689585439863</v>
      </c>
      <c r="D57" s="51">
        <f>'Liquids Type Curve'!C64</f>
        <v>20.881440894774173</v>
      </c>
      <c r="E57" s="51">
        <f>'Liquids Type Curve'!D64</f>
        <v>635.14382721604773</v>
      </c>
      <c r="F57" s="51">
        <f>'Liquids Type Curve'!E64</f>
        <v>72450.20326980314</v>
      </c>
      <c r="G57" s="39"/>
      <c r="H57" s="51">
        <f t="shared" si="0"/>
        <v>3.5052241321199884</v>
      </c>
      <c r="I57" s="39">
        <f t="shared" si="1"/>
        <v>42.062689585439863</v>
      </c>
      <c r="J57" s="51">
        <f t="shared" si="2"/>
        <v>4.8027314057980597</v>
      </c>
      <c r="K57" s="51">
        <f t="shared" si="3"/>
        <v>146.08308025969097</v>
      </c>
      <c r="L57" s="51">
        <f t="shared" si="4"/>
        <v>16663.546752054724</v>
      </c>
      <c r="M57" s="39"/>
      <c r="N57" s="51">
        <f t="shared" si="5"/>
        <v>23.225393535516389</v>
      </c>
      <c r="O57" s="85">
        <f>('Price Deck'!R51/$B$2)/'Price Deck'!M51</f>
        <v>430.31436585365856</v>
      </c>
      <c r="Q57" s="155">
        <f t="shared" si="6"/>
        <v>0.29042240121951218</v>
      </c>
      <c r="R57" s="155">
        <f t="shared" si="7"/>
        <v>0.1</v>
      </c>
      <c r="S57" s="155">
        <f t="shared" si="8"/>
        <v>0.35666560951219517</v>
      </c>
      <c r="T57" s="155">
        <f t="shared" si="9"/>
        <v>0.29042240121951218</v>
      </c>
      <c r="U57" s="155">
        <f t="shared" si="10"/>
        <v>0.30871695341463412</v>
      </c>
      <c r="W57" s="155">
        <f t="shared" si="11"/>
        <v>-0.2305457187270529</v>
      </c>
      <c r="X57" s="157">
        <f t="shared" si="12"/>
        <v>5.9876682492459282E-2</v>
      </c>
      <c r="Y57" s="155">
        <f t="shared" si="13"/>
        <v>5.9876682492459282E-2</v>
      </c>
      <c r="AA57" s="85">
        <f>'Price Deck'!R51/'Price Deck'!M51</f>
        <v>68.41463414634147</v>
      </c>
      <c r="AB57" s="85">
        <f t="shared" si="14"/>
        <v>9994.2204909373959</v>
      </c>
      <c r="AC57" s="85">
        <f t="shared" si="15"/>
        <v>598.42076709548894</v>
      </c>
      <c r="AD57" s="85">
        <f t="shared" si="16"/>
        <v>4.0964413266182511</v>
      </c>
    </row>
    <row r="58" spans="1:30">
      <c r="A58" s="164" t="str">
        <f>'Price Deck'!A52</f>
        <v>02/2023</v>
      </c>
      <c r="B58" s="51">
        <f>'Liquids Type Curve'!A65</f>
        <v>3.5885574654533219</v>
      </c>
      <c r="C58" s="51">
        <f>'Liquids Type Curve'!B65</f>
        <v>43.062689585439863</v>
      </c>
      <c r="D58" s="51">
        <f>'Liquids Type Curve'!C65</f>
        <v>20.42910809746995</v>
      </c>
      <c r="E58" s="51">
        <f>'Liquids Type Curve'!D65</f>
        <v>621.38537129804433</v>
      </c>
      <c r="F58" s="51">
        <f>'Liquids Type Curve'!E65</f>
        <v>73071.588641101189</v>
      </c>
      <c r="G58" s="39"/>
      <c r="H58" s="51">
        <f t="shared" si="0"/>
        <v>3.5885574654533219</v>
      </c>
      <c r="I58" s="39">
        <f t="shared" si="1"/>
        <v>43.062689585439863</v>
      </c>
      <c r="J58" s="51">
        <f t="shared" si="2"/>
        <v>4.6986948624180886</v>
      </c>
      <c r="K58" s="51">
        <f t="shared" si="3"/>
        <v>142.91863539855021</v>
      </c>
      <c r="L58" s="51">
        <f t="shared" si="4"/>
        <v>16806.465387453274</v>
      </c>
      <c r="M58" s="39"/>
      <c r="N58" s="51">
        <f t="shared" si="5"/>
        <v>22.722286145592896</v>
      </c>
      <c r="O58" s="85">
        <f>('Price Deck'!R52/$B$2)/'Price Deck'!M52</f>
        <v>430.31436585365856</v>
      </c>
      <c r="Q58" s="155">
        <f t="shared" si="6"/>
        <v>0.29042240121951218</v>
      </c>
      <c r="R58" s="155">
        <f t="shared" si="7"/>
        <v>0.1</v>
      </c>
      <c r="S58" s="155">
        <f t="shared" si="8"/>
        <v>0.35666560951219517</v>
      </c>
      <c r="T58" s="155">
        <f t="shared" si="9"/>
        <v>0.29042240121951218</v>
      </c>
      <c r="U58" s="155">
        <f t="shared" si="10"/>
        <v>0.30871695341463412</v>
      </c>
      <c r="W58" s="155">
        <f t="shared" si="11"/>
        <v>-0.23122491370344958</v>
      </c>
      <c r="X58" s="157">
        <f t="shared" si="12"/>
        <v>5.9197487516062602E-2</v>
      </c>
      <c r="Y58" s="155">
        <f t="shared" si="13"/>
        <v>5.9197487516062602E-2</v>
      </c>
      <c r="AA58" s="85">
        <f>'Price Deck'!R52/'Price Deck'!M52</f>
        <v>68.41463414634147</v>
      </c>
      <c r="AB58" s="85">
        <f t="shared" si="14"/>
        <v>9777.7261534861791</v>
      </c>
      <c r="AC58" s="85">
        <f t="shared" si="15"/>
        <v>578.81682190647689</v>
      </c>
      <c r="AD58" s="85">
        <f t="shared" si="16"/>
        <v>4.0499744507940392</v>
      </c>
    </row>
    <row r="59" spans="1:30">
      <c r="A59" s="164" t="str">
        <f>'Price Deck'!A53</f>
        <v>03/2023</v>
      </c>
      <c r="B59" s="51">
        <f>'Liquids Type Curve'!A66</f>
        <v>3.6718907987866554</v>
      </c>
      <c r="C59" s="51">
        <f>'Liquids Type Curve'!B66</f>
        <v>44.062689585439863</v>
      </c>
      <c r="D59" s="51">
        <f>'Liquids Type Curve'!C66</f>
        <v>19.996624865488887</v>
      </c>
      <c r="E59" s="51">
        <f>'Liquids Type Curve'!D66</f>
        <v>608.23067299195361</v>
      </c>
      <c r="F59" s="51">
        <f>'Liquids Type Curve'!E66</f>
        <v>73679.81931409314</v>
      </c>
      <c r="G59" s="39"/>
      <c r="H59" s="51">
        <f t="shared" si="0"/>
        <v>3.6718907987866554</v>
      </c>
      <c r="I59" s="39">
        <f t="shared" si="1"/>
        <v>44.062689585439863</v>
      </c>
      <c r="J59" s="51">
        <f t="shared" si="2"/>
        <v>4.5992237190624445</v>
      </c>
      <c r="K59" s="51">
        <f t="shared" si="3"/>
        <v>139.89305478814933</v>
      </c>
      <c r="L59" s="51">
        <f t="shared" si="4"/>
        <v>16946.358442241424</v>
      </c>
      <c r="M59" s="39"/>
      <c r="N59" s="51">
        <f t="shared" si="5"/>
        <v>22.24125644506174</v>
      </c>
      <c r="O59" s="85">
        <f>('Price Deck'!R53/$B$2)/'Price Deck'!M53</f>
        <v>430.31436585365856</v>
      </c>
      <c r="Q59" s="155">
        <f t="shared" si="6"/>
        <v>0.29042240121951218</v>
      </c>
      <c r="R59" s="155">
        <f t="shared" si="7"/>
        <v>0.1</v>
      </c>
      <c r="S59" s="155">
        <f t="shared" si="8"/>
        <v>0.35666560951219517</v>
      </c>
      <c r="T59" s="155">
        <f t="shared" si="9"/>
        <v>0.29042240121951218</v>
      </c>
      <c r="U59" s="155">
        <f t="shared" si="10"/>
        <v>0.30871695341463412</v>
      </c>
      <c r="W59" s="155">
        <f t="shared" si="11"/>
        <v>-0.23187430379916668</v>
      </c>
      <c r="X59" s="157">
        <f t="shared" si="12"/>
        <v>5.8548097420345502E-2</v>
      </c>
      <c r="Y59" s="155">
        <f t="shared" si="13"/>
        <v>5.8548097420345502E-2</v>
      </c>
      <c r="AA59" s="85">
        <f>'Price Deck'!R53/'Price Deck'!M53</f>
        <v>68.41463414634147</v>
      </c>
      <c r="AB59" s="85">
        <f t="shared" si="14"/>
        <v>9570.73216294534</v>
      </c>
      <c r="AC59" s="85">
        <f t="shared" si="15"/>
        <v>560.34815906015774</v>
      </c>
      <c r="AD59" s="85">
        <f t="shared" si="16"/>
        <v>4.0055466649772962</v>
      </c>
    </row>
    <row r="60" spans="1:30">
      <c r="A60" s="164" t="str">
        <f>'Price Deck'!A54</f>
        <v>04/2023</v>
      </c>
      <c r="B60" s="51">
        <f>'Liquids Type Curve'!A67</f>
        <v>3.7552241321199888</v>
      </c>
      <c r="C60" s="51">
        <f>'Liquids Type Curve'!B67</f>
        <v>45.06268958543987</v>
      </c>
      <c r="D60" s="51">
        <f>'Liquids Type Curve'!C67</f>
        <v>19.582698664276563</v>
      </c>
      <c r="E60" s="51">
        <f>'Liquids Type Curve'!D67</f>
        <v>595.64041770507879</v>
      </c>
      <c r="F60" s="51">
        <f>'Liquids Type Curve'!E67</f>
        <v>74275.459731798212</v>
      </c>
      <c r="G60" s="39"/>
      <c r="H60" s="51">
        <f t="shared" si="0"/>
        <v>3.7552241321199888</v>
      </c>
      <c r="I60" s="39">
        <f t="shared" si="1"/>
        <v>45.06268958543987</v>
      </c>
      <c r="J60" s="51">
        <f t="shared" si="2"/>
        <v>4.5040206927836097</v>
      </c>
      <c r="K60" s="51">
        <f t="shared" si="3"/>
        <v>136.99729607216813</v>
      </c>
      <c r="L60" s="51">
        <f t="shared" si="4"/>
        <v>17083.355738313589</v>
      </c>
      <c r="M60" s="39"/>
      <c r="N60" s="51">
        <f t="shared" si="5"/>
        <v>21.780866811690057</v>
      </c>
      <c r="O60" s="85">
        <f>('Price Deck'!R54/$B$2)/'Price Deck'!M54</f>
        <v>430.31436585365856</v>
      </c>
      <c r="Q60" s="155">
        <f t="shared" si="6"/>
        <v>0.29042240121951218</v>
      </c>
      <c r="R60" s="155">
        <f t="shared" si="7"/>
        <v>0.1</v>
      </c>
      <c r="S60" s="155">
        <f t="shared" si="8"/>
        <v>0.35666560951219517</v>
      </c>
      <c r="T60" s="155">
        <f t="shared" si="9"/>
        <v>0.29042240121951218</v>
      </c>
      <c r="U60" s="155">
        <f t="shared" si="10"/>
        <v>0.30871695341463412</v>
      </c>
      <c r="W60" s="155">
        <f t="shared" si="11"/>
        <v>-0.23249582980421843</v>
      </c>
      <c r="X60" s="157">
        <f t="shared" si="12"/>
        <v>5.7926571415293754E-2</v>
      </c>
      <c r="Y60" s="155">
        <f t="shared" si="13"/>
        <v>5.7926571415293754E-2</v>
      </c>
      <c r="AA60" s="85">
        <f>'Price Deck'!R54/'Price Deck'!M54</f>
        <v>68.41463414634147</v>
      </c>
      <c r="AB60" s="85">
        <f t="shared" si="14"/>
        <v>9372.6198898154053</v>
      </c>
      <c r="AC60" s="85">
        <f t="shared" si="15"/>
        <v>542.92373539579478</v>
      </c>
      <c r="AD60" s="85">
        <f t="shared" si="16"/>
        <v>3.963025190729244</v>
      </c>
    </row>
    <row r="61" spans="1:30">
      <c r="A61" s="164" t="str">
        <f>'Price Deck'!A55</f>
        <v>05/2023</v>
      </c>
      <c r="B61" s="51">
        <f>'Liquids Type Curve'!A68</f>
        <v>3.8385574654533223</v>
      </c>
      <c r="C61" s="51">
        <f>'Liquids Type Curve'!B68</f>
        <v>46.06268958543987</v>
      </c>
      <c r="D61" s="51">
        <f>'Liquids Type Curve'!C68</f>
        <v>19.186147377712356</v>
      </c>
      <c r="E61" s="51">
        <f>'Liquids Type Curve'!D68</f>
        <v>583.57864940541754</v>
      </c>
      <c r="F61" s="51">
        <f>'Liquids Type Curve'!E68</f>
        <v>74859.038381203631</v>
      </c>
      <c r="G61" s="39"/>
      <c r="H61" s="51">
        <f t="shared" si="0"/>
        <v>3.8385574654533223</v>
      </c>
      <c r="I61" s="39">
        <f t="shared" si="1"/>
        <v>46.06268958543987</v>
      </c>
      <c r="J61" s="51">
        <f t="shared" si="2"/>
        <v>4.4128138968738417</v>
      </c>
      <c r="K61" s="51">
        <f t="shared" si="3"/>
        <v>134.22308936324603</v>
      </c>
      <c r="L61" s="51">
        <f t="shared" si="4"/>
        <v>17217.578827676836</v>
      </c>
      <c r="M61" s="39"/>
      <c r="N61" s="51">
        <f t="shared" si="5"/>
        <v>21.339802436205609</v>
      </c>
      <c r="O61" s="85">
        <f>('Price Deck'!R55/$B$2)/'Price Deck'!M55</f>
        <v>430.31436585365856</v>
      </c>
      <c r="Q61" s="155">
        <f t="shared" si="6"/>
        <v>0.29042240121951218</v>
      </c>
      <c r="R61" s="155">
        <f t="shared" si="7"/>
        <v>0.1</v>
      </c>
      <c r="S61" s="155">
        <f t="shared" si="8"/>
        <v>0.35666560951219517</v>
      </c>
      <c r="T61" s="155">
        <f t="shared" si="9"/>
        <v>0.29042240121951218</v>
      </c>
      <c r="U61" s="155">
        <f t="shared" si="10"/>
        <v>0.30871695341463412</v>
      </c>
      <c r="W61" s="155">
        <f t="shared" si="11"/>
        <v>-0.23309126671112243</v>
      </c>
      <c r="X61" s="157">
        <f t="shared" si="12"/>
        <v>5.7331134508389753E-2</v>
      </c>
      <c r="Y61" s="155">
        <f t="shared" si="13"/>
        <v>5.7331134508389753E-2</v>
      </c>
      <c r="AA61" s="85">
        <f>'Price Deck'!R55/'Price Deck'!M55</f>
        <v>68.41463414634147</v>
      </c>
      <c r="AB61" s="85">
        <f t="shared" si="14"/>
        <v>9182.8235527781744</v>
      </c>
      <c r="AC61" s="85">
        <f t="shared" si="15"/>
        <v>526.46169227113501</v>
      </c>
      <c r="AD61" s="85">
        <f t="shared" si="16"/>
        <v>3.9222885925861775</v>
      </c>
    </row>
    <row r="62" spans="1:30">
      <c r="A62" s="164" t="str">
        <f>'Price Deck'!A56</f>
        <v>06/2023</v>
      </c>
      <c r="B62" s="51">
        <f>'Liquids Type Curve'!A69</f>
        <v>3.9218907987866558</v>
      </c>
      <c r="C62" s="51">
        <f>'Liquids Type Curve'!B69</f>
        <v>47.06268958543987</v>
      </c>
      <c r="D62" s="51">
        <f>'Liquids Type Curve'!C69</f>
        <v>18.805887727924883</v>
      </c>
      <c r="E62" s="51">
        <f>'Liquids Type Curve'!D69</f>
        <v>572.01241839104853</v>
      </c>
      <c r="F62" s="51">
        <f>'Liquids Type Curve'!E69</f>
        <v>75431.050799594683</v>
      </c>
      <c r="G62" s="39"/>
      <c r="H62" s="51">
        <f t="shared" si="0"/>
        <v>3.9218907987866558</v>
      </c>
      <c r="I62" s="39">
        <f t="shared" si="1"/>
        <v>47.06268958543987</v>
      </c>
      <c r="J62" s="51">
        <f t="shared" si="2"/>
        <v>4.3253541774227235</v>
      </c>
      <c r="K62" s="51">
        <f t="shared" si="3"/>
        <v>131.56285622994116</v>
      </c>
      <c r="L62" s="51">
        <f t="shared" si="4"/>
        <v>17349.141683906779</v>
      </c>
      <c r="M62" s="39"/>
      <c r="N62" s="51">
        <f t="shared" si="5"/>
        <v>20.916858442230463</v>
      </c>
      <c r="O62" s="85">
        <f>('Price Deck'!R56/$B$2)/'Price Deck'!M56</f>
        <v>430.31436585365856</v>
      </c>
      <c r="Q62" s="155">
        <f t="shared" si="6"/>
        <v>0.29042240121951218</v>
      </c>
      <c r="R62" s="155">
        <f t="shared" si="7"/>
        <v>0.1</v>
      </c>
      <c r="S62" s="155">
        <f t="shared" si="8"/>
        <v>0.35666560951219517</v>
      </c>
      <c r="T62" s="155">
        <f t="shared" si="9"/>
        <v>0.29042240121951218</v>
      </c>
      <c r="U62" s="155">
        <f t="shared" si="10"/>
        <v>0.30871695341463412</v>
      </c>
      <c r="W62" s="155">
        <f t="shared" si="11"/>
        <v>-0.23366224110298886</v>
      </c>
      <c r="X62" s="157">
        <f t="shared" si="12"/>
        <v>5.6760160116523323E-2</v>
      </c>
      <c r="Y62" s="155">
        <f t="shared" si="13"/>
        <v>5.6760160116523323E-2</v>
      </c>
      <c r="AA62" s="85">
        <f>'Price Deck'!R56/'Price Deck'!M56</f>
        <v>68.41463414634147</v>
      </c>
      <c r="AB62" s="85">
        <f t="shared" si="14"/>
        <v>9000.8246762191466</v>
      </c>
      <c r="AC62" s="85">
        <f t="shared" si="15"/>
        <v>510.88824980295294</v>
      </c>
      <c r="AD62" s="85">
        <f t="shared" si="16"/>
        <v>3.8832255884597058</v>
      </c>
    </row>
    <row r="63" spans="1:30">
      <c r="A63" s="164" t="str">
        <f>'Price Deck'!A57</f>
        <v>07/2023</v>
      </c>
      <c r="B63" s="51">
        <f>'Liquids Type Curve'!A70</f>
        <v>4.0052241321199888</v>
      </c>
      <c r="C63" s="51">
        <f>'Liquids Type Curve'!B70</f>
        <v>48.06268958543987</v>
      </c>
      <c r="D63" s="51">
        <f>'Liquids Type Curve'!C70</f>
        <v>18.440925125414772</v>
      </c>
      <c r="E63" s="51">
        <f>'Liquids Type Curve'!D70</f>
        <v>560.91147256469935</v>
      </c>
      <c r="F63" s="51">
        <f>'Liquids Type Curve'!E70</f>
        <v>75991.962272159377</v>
      </c>
      <c r="G63" s="39"/>
      <c r="H63" s="51">
        <f t="shared" si="0"/>
        <v>4.0052241321199888</v>
      </c>
      <c r="I63" s="39">
        <f t="shared" si="1"/>
        <v>48.06268958543987</v>
      </c>
      <c r="J63" s="51">
        <f t="shared" si="2"/>
        <v>4.2414127788453975</v>
      </c>
      <c r="K63" s="51">
        <f t="shared" si="3"/>
        <v>129.00963868988086</v>
      </c>
      <c r="L63" s="51">
        <f t="shared" si="4"/>
        <v>17478.151322596659</v>
      </c>
      <c r="M63" s="39"/>
      <c r="N63" s="51">
        <f t="shared" si="5"/>
        <v>20.510928597074766</v>
      </c>
      <c r="O63" s="85">
        <f>('Price Deck'!R57/$B$2)/'Price Deck'!M57</f>
        <v>430.31436585365856</v>
      </c>
      <c r="Q63" s="155">
        <f t="shared" si="6"/>
        <v>0.29042240121951218</v>
      </c>
      <c r="R63" s="155">
        <f t="shared" si="7"/>
        <v>0.1</v>
      </c>
      <c r="S63" s="155">
        <f t="shared" si="8"/>
        <v>0.35666560951219517</v>
      </c>
      <c r="T63" s="155">
        <f t="shared" si="9"/>
        <v>0.29042240121951218</v>
      </c>
      <c r="U63" s="155">
        <f t="shared" si="10"/>
        <v>0.30871695341463412</v>
      </c>
      <c r="W63" s="155">
        <f t="shared" si="11"/>
        <v>-0.23421024639394905</v>
      </c>
      <c r="X63" s="157">
        <f t="shared" si="12"/>
        <v>5.6212154825563132E-2</v>
      </c>
      <c r="Y63" s="155">
        <f t="shared" si="13"/>
        <v>5.6212154825563132E-2</v>
      </c>
      <c r="AA63" s="85">
        <f>'Price Deck'!R57/'Price Deck'!M57</f>
        <v>68.41463414634147</v>
      </c>
      <c r="AB63" s="85">
        <f t="shared" si="14"/>
        <v>8826.1472323198977</v>
      </c>
      <c r="AC63" s="85">
        <f t="shared" si="15"/>
        <v>496.13675473638165</v>
      </c>
      <c r="AD63" s="85">
        <f t="shared" si="16"/>
        <v>3.8457340069684047</v>
      </c>
    </row>
    <row r="64" spans="1:30">
      <c r="A64" s="164" t="str">
        <f>'Price Deck'!A58</f>
        <v>08/2023</v>
      </c>
      <c r="B64" s="51">
        <f>'Liquids Type Curve'!A71</f>
        <v>4.0885574654533219</v>
      </c>
      <c r="C64" s="51">
        <f>'Liquids Type Curve'!B71</f>
        <v>49.062689585439863</v>
      </c>
      <c r="D64" s="51">
        <f>'Liquids Type Curve'!C71</f>
        <v>18.090344747252011</v>
      </c>
      <c r="E64" s="51">
        <f>'Liquids Type Curve'!D71</f>
        <v>550.24798606224874</v>
      </c>
      <c r="F64" s="51">
        <f>'Liquids Type Curve'!E71</f>
        <v>76542.210258221632</v>
      </c>
      <c r="G64" s="39"/>
      <c r="H64" s="51">
        <f t="shared" si="0"/>
        <v>4.0885574654533219</v>
      </c>
      <c r="I64" s="39">
        <f t="shared" si="1"/>
        <v>49.062689585439863</v>
      </c>
      <c r="J64" s="51">
        <f t="shared" si="2"/>
        <v>4.1607792918679625</v>
      </c>
      <c r="K64" s="51">
        <f t="shared" si="3"/>
        <v>126.55703679431721</v>
      </c>
      <c r="L64" s="51">
        <f t="shared" si="4"/>
        <v>17604.708359390977</v>
      </c>
      <c r="M64" s="39"/>
      <c r="N64" s="51">
        <f t="shared" si="5"/>
        <v>20.120995388457061</v>
      </c>
      <c r="O64" s="85">
        <f>('Price Deck'!R58/$B$2)/'Price Deck'!M58</f>
        <v>430.31436585365856</v>
      </c>
      <c r="Q64" s="155">
        <f t="shared" si="6"/>
        <v>0.29042240121951218</v>
      </c>
      <c r="R64" s="155">
        <f t="shared" si="7"/>
        <v>0.1</v>
      </c>
      <c r="S64" s="155">
        <f t="shared" si="8"/>
        <v>0.35666560951219517</v>
      </c>
      <c r="T64" s="155">
        <f t="shared" si="9"/>
        <v>0.29042240121951218</v>
      </c>
      <c r="U64" s="155">
        <f t="shared" si="10"/>
        <v>0.30871695341463412</v>
      </c>
      <c r="W64" s="155">
        <f t="shared" si="11"/>
        <v>-0.23473665622558298</v>
      </c>
      <c r="X64" s="157">
        <f t="shared" si="12"/>
        <v>5.5685744993929198E-2</v>
      </c>
      <c r="Y64" s="155">
        <f t="shared" si="13"/>
        <v>5.5685744993929198E-2</v>
      </c>
      <c r="AA64" s="85">
        <f>'Price Deck'!R58/'Price Deck'!M58</f>
        <v>68.41463414634147</v>
      </c>
      <c r="AB64" s="85">
        <f t="shared" si="14"/>
        <v>8658.3533709282874</v>
      </c>
      <c r="AC64" s="85">
        <f t="shared" si="15"/>
        <v>482.14685788083989</v>
      </c>
      <c r="AD64" s="85">
        <f t="shared" si="16"/>
        <v>3.809719870926132</v>
      </c>
    </row>
    <row r="65" spans="1:30">
      <c r="A65" s="164" t="str">
        <f>'Price Deck'!A59</f>
        <v>09/2023</v>
      </c>
      <c r="B65" s="51">
        <f>'Liquids Type Curve'!A72</f>
        <v>4.1718907987866549</v>
      </c>
      <c r="C65" s="51">
        <f>'Liquids Type Curve'!B72</f>
        <v>50.062689585439855</v>
      </c>
      <c r="D65" s="51">
        <f>'Liquids Type Curve'!C72</f>
        <v>17.753303673180092</v>
      </c>
      <c r="E65" s="51">
        <f>'Liquids Type Curve'!D72</f>
        <v>539.99632005922786</v>
      </c>
      <c r="F65" s="51">
        <f>'Liquids Type Curve'!E72</f>
        <v>77082.206578280864</v>
      </c>
      <c r="G65" s="39"/>
      <c r="H65" s="51">
        <f t="shared" si="0"/>
        <v>4.1718907987866549</v>
      </c>
      <c r="I65" s="39">
        <f t="shared" si="1"/>
        <v>50.062689585439855</v>
      </c>
      <c r="J65" s="51">
        <f t="shared" si="2"/>
        <v>4.0832598448314217</v>
      </c>
      <c r="K65" s="51">
        <f t="shared" si="3"/>
        <v>124.19915361362241</v>
      </c>
      <c r="L65" s="51">
        <f t="shared" si="4"/>
        <v>17728.9075130046</v>
      </c>
      <c r="M65" s="39"/>
      <c r="N65" s="51">
        <f t="shared" si="5"/>
        <v>19.746121277882033</v>
      </c>
      <c r="O65" s="85">
        <f>('Price Deck'!R59/$B$2)/'Price Deck'!M59</f>
        <v>430.31436585365856</v>
      </c>
      <c r="Q65" s="155">
        <f t="shared" si="6"/>
        <v>0.29042240121951218</v>
      </c>
      <c r="R65" s="155">
        <f t="shared" si="7"/>
        <v>0.1</v>
      </c>
      <c r="S65" s="155">
        <f t="shared" si="8"/>
        <v>0.35666560951219517</v>
      </c>
      <c r="T65" s="155">
        <f t="shared" si="9"/>
        <v>0.29042240121951218</v>
      </c>
      <c r="U65" s="155">
        <f t="shared" si="10"/>
        <v>0.30871695341463412</v>
      </c>
      <c r="W65" s="155">
        <f t="shared" si="11"/>
        <v>-0.23524273627485928</v>
      </c>
      <c r="X65" s="157">
        <f t="shared" si="12"/>
        <v>5.5179664944652901E-2</v>
      </c>
      <c r="Y65" s="155">
        <f t="shared" si="13"/>
        <v>5.5179664944652901E-2</v>
      </c>
      <c r="AA65" s="85">
        <f>'Price Deck'!R59/'Price Deck'!M59</f>
        <v>68.41463414634147</v>
      </c>
      <c r="AB65" s="85">
        <f t="shared" si="14"/>
        <v>8497.0396557612421</v>
      </c>
      <c r="AC65" s="85">
        <f t="shared" si="15"/>
        <v>468.86380122633415</v>
      </c>
      <c r="AD65" s="85">
        <f t="shared" si="16"/>
        <v>3.7750965895061319</v>
      </c>
    </row>
    <row r="66" spans="1:30">
      <c r="A66" s="164" t="str">
        <f>'Price Deck'!A60</f>
        <v>10/2023</v>
      </c>
      <c r="B66" s="51">
        <f>'Liquids Type Curve'!A73</f>
        <v>4.255224132119988</v>
      </c>
      <c r="C66" s="51">
        <f>'Liquids Type Curve'!B73</f>
        <v>51.062689585439855</v>
      </c>
      <c r="D66" s="51">
        <f>'Liquids Type Curve'!C73</f>
        <v>17.429023935911417</v>
      </c>
      <c r="E66" s="51">
        <f>'Liquids Type Curve'!D73</f>
        <v>530.13281138397224</v>
      </c>
      <c r="F66" s="51">
        <f>'Liquids Type Curve'!E73</f>
        <v>77612.339389664834</v>
      </c>
      <c r="G66" s="39"/>
      <c r="H66" s="51">
        <f t="shared" si="0"/>
        <v>4.255224132119988</v>
      </c>
      <c r="I66" s="39">
        <f t="shared" si="1"/>
        <v>51.062689585439855</v>
      </c>
      <c r="J66" s="51">
        <f t="shared" si="2"/>
        <v>4.0086755052596263</v>
      </c>
      <c r="K66" s="51">
        <f t="shared" si="3"/>
        <v>121.93054661831361</v>
      </c>
      <c r="L66" s="51">
        <f t="shared" si="4"/>
        <v>17850.838059622911</v>
      </c>
      <c r="M66" s="39"/>
      <c r="N66" s="51">
        <f t="shared" si="5"/>
        <v>19.385440970827947</v>
      </c>
      <c r="O66" s="85">
        <f>('Price Deck'!R60/$B$2)/'Price Deck'!M60</f>
        <v>430.31436585365856</v>
      </c>
      <c r="Q66" s="155">
        <f t="shared" si="6"/>
        <v>0.29042240121951218</v>
      </c>
      <c r="R66" s="155">
        <f t="shared" si="7"/>
        <v>0.1</v>
      </c>
      <c r="S66" s="155">
        <f t="shared" si="8"/>
        <v>0.35666560951219517</v>
      </c>
      <c r="T66" s="155">
        <f t="shared" si="9"/>
        <v>0.29042240121951218</v>
      </c>
      <c r="U66" s="155">
        <f t="shared" si="10"/>
        <v>0.30871695341463412</v>
      </c>
      <c r="W66" s="155">
        <f t="shared" si="11"/>
        <v>-0.23572965468938228</v>
      </c>
      <c r="X66" s="157">
        <f t="shared" si="12"/>
        <v>5.4692746530129899E-2</v>
      </c>
      <c r="Y66" s="155">
        <f t="shared" si="13"/>
        <v>5.4692746530129899E-2</v>
      </c>
      <c r="AA66" s="85">
        <f>'Price Deck'!R60/'Price Deck'!M60</f>
        <v>68.41463414634147</v>
      </c>
      <c r="AB66" s="85">
        <f t="shared" si="14"/>
        <v>8341.8337381553592</v>
      </c>
      <c r="AC66" s="85">
        <f t="shared" si="15"/>
        <v>456.23779823741705</v>
      </c>
      <c r="AD66" s="85">
        <f t="shared" si="16"/>
        <v>3.7417842443174241</v>
      </c>
    </row>
    <row r="67" spans="1:30">
      <c r="A67" s="164" t="str">
        <f>'Price Deck'!A61</f>
        <v>11/2023</v>
      </c>
      <c r="B67" s="51">
        <f>'Liquids Type Curve'!A74</f>
        <v>4.338557465453321</v>
      </c>
      <c r="C67" s="51">
        <f>'Liquids Type Curve'!B74</f>
        <v>52.062689585439855</v>
      </c>
      <c r="D67" s="51">
        <f>'Liquids Type Curve'!C74</f>
        <v>17.116786363808739</v>
      </c>
      <c r="E67" s="51">
        <f>'Liquids Type Curve'!D74</f>
        <v>520.63558523251584</v>
      </c>
      <c r="F67" s="51">
        <f>'Liquids Type Curve'!E74</f>
        <v>78132.974974897355</v>
      </c>
      <c r="G67" s="39"/>
      <c r="H67" s="51">
        <f t="shared" si="0"/>
        <v>4.338557465453321</v>
      </c>
      <c r="I67" s="39">
        <f t="shared" si="1"/>
        <v>52.062689585439855</v>
      </c>
      <c r="J67" s="51">
        <f t="shared" si="2"/>
        <v>3.9368608636760101</v>
      </c>
      <c r="K67" s="51">
        <f t="shared" si="3"/>
        <v>119.74618460347865</v>
      </c>
      <c r="L67" s="51">
        <f t="shared" si="4"/>
        <v>17970.584244226393</v>
      </c>
      <c r="M67" s="39"/>
      <c r="N67" s="51">
        <f t="shared" si="5"/>
        <v>19.038154568265867</v>
      </c>
      <c r="O67" s="85">
        <f>('Price Deck'!R61/$B$2)/'Price Deck'!M61</f>
        <v>430.31436585365856</v>
      </c>
      <c r="Q67" s="155">
        <f t="shared" si="6"/>
        <v>0.29042240121951218</v>
      </c>
      <c r="R67" s="155">
        <f t="shared" si="7"/>
        <v>0.1</v>
      </c>
      <c r="S67" s="155">
        <f t="shared" si="8"/>
        <v>0.35666560951219517</v>
      </c>
      <c r="T67" s="155">
        <f t="shared" si="9"/>
        <v>0.29042240121951218</v>
      </c>
      <c r="U67" s="155">
        <f t="shared" si="10"/>
        <v>0.30871695341463412</v>
      </c>
      <c r="W67" s="155">
        <f t="shared" si="11"/>
        <v>-0.2361984913328411</v>
      </c>
      <c r="X67" s="157">
        <f t="shared" si="12"/>
        <v>5.4223909886671084E-2</v>
      </c>
      <c r="Y67" s="155">
        <f t="shared" si="13"/>
        <v>5.4223909886671084E-2</v>
      </c>
      <c r="AA67" s="85">
        <f>'Price Deck'!R61/'Price Deck'!M61</f>
        <v>68.41463414634147</v>
      </c>
      <c r="AB67" s="85">
        <f t="shared" si="14"/>
        <v>8192.3914100672591</v>
      </c>
      <c r="AC67" s="85">
        <f t="shared" si="15"/>
        <v>444.22349357582533</v>
      </c>
      <c r="AD67" s="85">
        <f t="shared" si="16"/>
        <v>3.7097089568807902</v>
      </c>
    </row>
    <row r="68" spans="1:30">
      <c r="A68" s="164" t="str">
        <f>'Price Deck'!A62</f>
        <v>12/2023</v>
      </c>
      <c r="B68" s="51">
        <f>'Liquids Type Curve'!A75</f>
        <v>4.421890798786654</v>
      </c>
      <c r="C68" s="51">
        <f>'Liquids Type Curve'!B75</f>
        <v>53.062689585439848</v>
      </c>
      <c r="D68" s="51">
        <f>'Liquids Type Curve'!C75</f>
        <v>16.815925112367772</v>
      </c>
      <c r="E68" s="51">
        <f>'Liquids Type Curve'!D75</f>
        <v>511.48438883451973</v>
      </c>
      <c r="F68" s="51">
        <f>'Liquids Type Curve'!E75</f>
        <v>78644.459363731876</v>
      </c>
      <c r="G68" s="39"/>
      <c r="H68" s="51">
        <f t="shared" si="0"/>
        <v>4.421890798786654</v>
      </c>
      <c r="I68" s="39">
        <f t="shared" si="1"/>
        <v>53.062689585439848</v>
      </c>
      <c r="J68" s="51">
        <f t="shared" si="2"/>
        <v>3.8676627758445878</v>
      </c>
      <c r="K68" s="51">
        <f t="shared" si="3"/>
        <v>117.64140943193955</v>
      </c>
      <c r="L68" s="51">
        <f t="shared" si="4"/>
        <v>18088.225653658334</v>
      </c>
      <c r="M68" s="39"/>
      <c r="N68" s="51">
        <f t="shared" si="5"/>
        <v>18.703521484298317</v>
      </c>
      <c r="O68" s="85">
        <f>('Price Deck'!R62/$B$2)/'Price Deck'!M62</f>
        <v>430.31436585365856</v>
      </c>
      <c r="Q68" s="155">
        <f t="shared" si="6"/>
        <v>0.29042240121951218</v>
      </c>
      <c r="R68" s="155">
        <f t="shared" si="7"/>
        <v>0.1</v>
      </c>
      <c r="S68" s="155">
        <f t="shared" si="8"/>
        <v>0.35666560951219517</v>
      </c>
      <c r="T68" s="155">
        <f t="shared" si="9"/>
        <v>0.29042240121951218</v>
      </c>
      <c r="U68" s="155">
        <f t="shared" si="10"/>
        <v>0.30871695341463412</v>
      </c>
      <c r="W68" s="155">
        <f t="shared" si="11"/>
        <v>-0.2366502459961973</v>
      </c>
      <c r="X68" s="157">
        <f t="shared" si="12"/>
        <v>5.3772155223314883E-2</v>
      </c>
      <c r="Y68" s="155">
        <f t="shared" si="13"/>
        <v>5.3772155223314883E-2</v>
      </c>
      <c r="AA68" s="85">
        <f>'Price Deck'!R62/'Price Deck'!M62</f>
        <v>68.41463414634147</v>
      </c>
      <c r="AB68" s="85">
        <f t="shared" si="14"/>
        <v>8048.3939867461095</v>
      </c>
      <c r="AC68" s="85">
        <f t="shared" si="15"/>
        <v>432.77949075370589</v>
      </c>
      <c r="AD68" s="85">
        <f t="shared" si="16"/>
        <v>3.6788023268633721</v>
      </c>
    </row>
    <row r="69" spans="1:30">
      <c r="A69" s="164" t="str">
        <f>'Price Deck'!A63</f>
        <v>01/2024</v>
      </c>
      <c r="B69" s="51">
        <f>'Liquids Type Curve'!A76</f>
        <v>4.5052241321199871</v>
      </c>
      <c r="C69" s="51">
        <f>'Liquids Type Curve'!B76</f>
        <v>54.062689585439841</v>
      </c>
      <c r="D69" s="51">
        <f>'Liquids Type Curve'!C76</f>
        <v>16.525822796123915</v>
      </c>
      <c r="E69" s="51">
        <f>'Liquids Type Curve'!D76</f>
        <v>502.66044338210241</v>
      </c>
      <c r="F69" s="51">
        <f>'Liquids Type Curve'!E76</f>
        <v>79147.119807113981</v>
      </c>
      <c r="G69" s="39"/>
      <c r="H69" s="51">
        <f t="shared" si="0"/>
        <v>4.5052241321199871</v>
      </c>
      <c r="I69" s="39">
        <f t="shared" si="1"/>
        <v>54.062689585439841</v>
      </c>
      <c r="J69" s="51">
        <f t="shared" si="2"/>
        <v>3.8009392431085005</v>
      </c>
      <c r="K69" s="51">
        <f t="shared" si="3"/>
        <v>115.61190197788356</v>
      </c>
      <c r="L69" s="51">
        <f t="shared" si="4"/>
        <v>18203.837555636215</v>
      </c>
      <c r="M69" s="39"/>
      <c r="N69" s="51">
        <f t="shared" si="5"/>
        <v>18.380855031620012</v>
      </c>
      <c r="O69" s="85">
        <f>('Price Deck'!R63/$B$2)/'Price Deck'!M63</f>
        <v>438.75190243902443</v>
      </c>
      <c r="Q69" s="155">
        <f t="shared" si="6"/>
        <v>0.29506304634146341</v>
      </c>
      <c r="R69" s="155">
        <f t="shared" si="7"/>
        <v>0.1</v>
      </c>
      <c r="S69" s="155">
        <f t="shared" si="8"/>
        <v>0.36518752146341471</v>
      </c>
      <c r="T69" s="155">
        <f t="shared" si="9"/>
        <v>0.29506304634146341</v>
      </c>
      <c r="U69" s="155">
        <f t="shared" si="10"/>
        <v>0.31133258975609757</v>
      </c>
      <c r="W69" s="155">
        <f t="shared" si="11"/>
        <v>-0.237085845707313</v>
      </c>
      <c r="X69" s="157">
        <f t="shared" si="12"/>
        <v>5.7977200634150405E-2</v>
      </c>
      <c r="Y69" s="155">
        <f t="shared" si="13"/>
        <v>5.7977200634150405E-2</v>
      </c>
      <c r="AA69" s="85">
        <f>'Price Deck'!R63/'Price Deck'!M63</f>
        <v>69.756097560975618</v>
      </c>
      <c r="AB69" s="85">
        <f t="shared" si="14"/>
        <v>8064.6351135791956</v>
      </c>
      <c r="AC69" s="85">
        <f t="shared" si="15"/>
        <v>467.56496802119534</v>
      </c>
      <c r="AD69" s="85">
        <f t="shared" si="16"/>
        <v>4.0442632637480527</v>
      </c>
    </row>
    <row r="70" spans="1:30">
      <c r="A70" s="164" t="str">
        <f>'Price Deck'!A64</f>
        <v>02/2024</v>
      </c>
      <c r="B70" s="51">
        <f>'Liquids Type Curve'!A77</f>
        <v>4.5885574654533201</v>
      </c>
      <c r="C70" s="51">
        <f>'Liquids Type Curve'!B77</f>
        <v>55.062689585439841</v>
      </c>
      <c r="D70" s="51">
        <f>'Liquids Type Curve'!C77</f>
        <v>16.245906145345117</v>
      </c>
      <c r="E70" s="51">
        <f>'Liquids Type Curve'!D77</f>
        <v>494.146311920914</v>
      </c>
      <c r="F70" s="51">
        <f>'Liquids Type Curve'!E77</f>
        <v>79641.266119034888</v>
      </c>
      <c r="G70" s="39"/>
      <c r="H70" s="51">
        <f t="shared" si="0"/>
        <v>4.5885574654533201</v>
      </c>
      <c r="I70" s="39">
        <f t="shared" si="1"/>
        <v>55.062689585439841</v>
      </c>
      <c r="J70" s="51">
        <f t="shared" si="2"/>
        <v>3.736558413429377</v>
      </c>
      <c r="K70" s="51">
        <f t="shared" si="3"/>
        <v>113.65365174181022</v>
      </c>
      <c r="L70" s="51">
        <f t="shared" si="4"/>
        <v>18317.491207378025</v>
      </c>
      <c r="M70" s="39"/>
      <c r="N70" s="51">
        <f t="shared" si="5"/>
        <v>18.069517590672234</v>
      </c>
      <c r="O70" s="85">
        <f>('Price Deck'!R64/$B$2)/'Price Deck'!M64</f>
        <v>438.75190243902443</v>
      </c>
      <c r="Q70" s="155">
        <f t="shared" si="6"/>
        <v>0.29506304634146341</v>
      </c>
      <c r="R70" s="155">
        <f t="shared" si="7"/>
        <v>0.1</v>
      </c>
      <c r="S70" s="155">
        <f t="shared" si="8"/>
        <v>0.36518752146341471</v>
      </c>
      <c r="T70" s="155">
        <f t="shared" si="9"/>
        <v>0.29506304634146341</v>
      </c>
      <c r="U70" s="155">
        <f t="shared" si="10"/>
        <v>0.31133258975609757</v>
      </c>
      <c r="W70" s="155">
        <f t="shared" si="11"/>
        <v>-0.2375061512525925</v>
      </c>
      <c r="X70" s="157">
        <f t="shared" si="12"/>
        <v>5.7556895088870907E-2</v>
      </c>
      <c r="Y70" s="155">
        <f t="shared" si="13"/>
        <v>5.7556895088870907E-2</v>
      </c>
      <c r="AA70" s="85">
        <f>'Price Deck'!R64/'Price Deck'!M64</f>
        <v>69.756097560975618</v>
      </c>
      <c r="AB70" s="85">
        <f t="shared" si="14"/>
        <v>7928.0352190628601</v>
      </c>
      <c r="AC70" s="85">
        <f t="shared" si="15"/>
        <v>456.3130913644747</v>
      </c>
      <c r="AD70" s="85">
        <f t="shared" si="16"/>
        <v>4.014944389126117</v>
      </c>
    </row>
    <row r="71" spans="1:30">
      <c r="A71" s="164" t="str">
        <f>'Price Deck'!A65</f>
        <v>03/2024</v>
      </c>
      <c r="B71" s="51">
        <f>'Liquids Type Curve'!A78</f>
        <v>4.6718907987866531</v>
      </c>
      <c r="C71" s="51">
        <f>'Liquids Type Curve'!B78</f>
        <v>56.062689585439841</v>
      </c>
      <c r="D71" s="51">
        <f>'Liquids Type Curve'!C78</f>
        <v>15.975642122581485</v>
      </c>
      <c r="E71" s="51">
        <f>'Liquids Type Curve'!D78</f>
        <v>485.92578122852018</v>
      </c>
      <c r="F71" s="51">
        <f>'Liquids Type Curve'!E78</f>
        <v>80127.191900263409</v>
      </c>
      <c r="G71" s="39"/>
      <c r="H71" s="51">
        <f t="shared" si="0"/>
        <v>4.6718907987866531</v>
      </c>
      <c r="I71" s="39">
        <f t="shared" si="1"/>
        <v>56.062689585439841</v>
      </c>
      <c r="J71" s="51">
        <f t="shared" si="2"/>
        <v>3.6743976881937419</v>
      </c>
      <c r="K71" s="51">
        <f t="shared" si="3"/>
        <v>111.76292968255964</v>
      </c>
      <c r="L71" s="51">
        <f t="shared" si="4"/>
        <v>18429.254137060583</v>
      </c>
      <c r="M71" s="39"/>
      <c r="N71" s="51">
        <f t="shared" si="5"/>
        <v>17.768916290273083</v>
      </c>
      <c r="O71" s="85">
        <f>('Price Deck'!R65/$B$2)/'Price Deck'!M65</f>
        <v>438.75190243902443</v>
      </c>
      <c r="Q71" s="155">
        <f t="shared" si="6"/>
        <v>0.29506304634146341</v>
      </c>
      <c r="R71" s="155">
        <f t="shared" si="7"/>
        <v>0.1</v>
      </c>
      <c r="S71" s="155">
        <f t="shared" si="8"/>
        <v>0.36518752146341471</v>
      </c>
      <c r="T71" s="155">
        <f t="shared" si="9"/>
        <v>0.29506304634146341</v>
      </c>
      <c r="U71" s="155">
        <f t="shared" si="10"/>
        <v>0.31133258975609757</v>
      </c>
      <c r="W71" s="155">
        <f t="shared" si="11"/>
        <v>-0.23791196300813136</v>
      </c>
      <c r="X71" s="157">
        <f t="shared" si="12"/>
        <v>5.7151083333332048E-2</v>
      </c>
      <c r="Y71" s="155">
        <f t="shared" si="13"/>
        <v>5.7151083333332048E-2</v>
      </c>
      <c r="AA71" s="85">
        <f>'Price Deck'!R65/'Price Deck'!M65</f>
        <v>69.756097560975618</v>
      </c>
      <c r="AB71" s="85">
        <f t="shared" si="14"/>
        <v>7796.1458266370882</v>
      </c>
      <c r="AC71" s="85">
        <f t="shared" si="15"/>
        <v>445.55817981694508</v>
      </c>
      <c r="AD71" s="85">
        <f t="shared" si="16"/>
        <v>3.986636544715358</v>
      </c>
    </row>
    <row r="72" spans="1:30">
      <c r="A72" s="164" t="str">
        <f>'Price Deck'!A66</f>
        <v>04/2024</v>
      </c>
      <c r="B72" s="51">
        <f>'Liquids Type Curve'!A79</f>
        <v>4.7552241321199862</v>
      </c>
      <c r="C72" s="51">
        <f>'Liquids Type Curve'!B79</f>
        <v>57.062689585439834</v>
      </c>
      <c r="D72" s="51">
        <f>'Liquids Type Curve'!C79</f>
        <v>15.714534443173346</v>
      </c>
      <c r="E72" s="51">
        <f>'Liquids Type Curve'!D79</f>
        <v>477.98375597985597</v>
      </c>
      <c r="F72" s="51">
        <f>'Liquids Type Curve'!E79</f>
        <v>80605.175656243271</v>
      </c>
      <c r="G72" s="39"/>
      <c r="H72" s="51">
        <f t="shared" si="0"/>
        <v>4.7552241321199862</v>
      </c>
      <c r="I72" s="39">
        <f t="shared" si="1"/>
        <v>57.062689585439834</v>
      </c>
      <c r="J72" s="51">
        <f t="shared" si="2"/>
        <v>3.6143429219298695</v>
      </c>
      <c r="K72" s="51">
        <f t="shared" si="3"/>
        <v>109.93626387536688</v>
      </c>
      <c r="L72" s="51">
        <f t="shared" si="4"/>
        <v>18539.190400935953</v>
      </c>
      <c r="M72" s="39"/>
      <c r="N72" s="51">
        <f t="shared" si="5"/>
        <v>17.478499137550777</v>
      </c>
      <c r="O72" s="85">
        <f>('Price Deck'!R66/$B$2)/'Price Deck'!M66</f>
        <v>438.75190243902443</v>
      </c>
      <c r="Q72" s="155">
        <f t="shared" si="6"/>
        <v>0.29506304634146341</v>
      </c>
      <c r="R72" s="155">
        <f t="shared" si="7"/>
        <v>0.1</v>
      </c>
      <c r="S72" s="155">
        <f t="shared" si="8"/>
        <v>0.36518752146341471</v>
      </c>
      <c r="T72" s="155">
        <f t="shared" si="9"/>
        <v>0.29506304634146341</v>
      </c>
      <c r="U72" s="155">
        <f t="shared" si="10"/>
        <v>0.31133258975609757</v>
      </c>
      <c r="W72" s="155">
        <f t="shared" si="11"/>
        <v>-0.23830402616430646</v>
      </c>
      <c r="X72" s="157">
        <f t="shared" si="12"/>
        <v>5.6759020177156949E-2</v>
      </c>
      <c r="Y72" s="155">
        <f t="shared" si="13"/>
        <v>5.6759020177156949E-2</v>
      </c>
      <c r="AA72" s="85">
        <f>'Price Deck'!R66/'Price Deck'!M66</f>
        <v>69.756097560975618</v>
      </c>
      <c r="AB72" s="85">
        <f t="shared" si="14"/>
        <v>7668.7247483792517</v>
      </c>
      <c r="AC72" s="85">
        <f t="shared" si="15"/>
        <v>435.2693027263208</v>
      </c>
      <c r="AD72" s="85">
        <f t="shared" si="16"/>
        <v>3.9592877489431442</v>
      </c>
    </row>
    <row r="73" spans="1:30">
      <c r="A73" s="164" t="str">
        <f>'Price Deck'!A67</f>
        <v>05/2024</v>
      </c>
      <c r="B73" s="51">
        <f>'Liquids Type Curve'!A80</f>
        <v>4.8385574654533192</v>
      </c>
      <c r="C73" s="51">
        <f>'Liquids Type Curve'!B80</f>
        <v>58.062689585439827</v>
      </c>
      <c r="D73" s="51">
        <f>'Liquids Type Curve'!C80</f>
        <v>15.462120451460358</v>
      </c>
      <c r="E73" s="51">
        <f>'Liquids Type Curve'!D80</f>
        <v>470.30616373191924</v>
      </c>
      <c r="F73" s="51">
        <f>'Liquids Type Curve'!E80</f>
        <v>81075.48181997519</v>
      </c>
      <c r="G73" s="39"/>
      <c r="H73" s="51">
        <f t="shared" si="0"/>
        <v>4.8385574654533192</v>
      </c>
      <c r="I73" s="39">
        <f t="shared" si="1"/>
        <v>58.062689585439827</v>
      </c>
      <c r="J73" s="51">
        <f t="shared" si="2"/>
        <v>3.5562877038358822</v>
      </c>
      <c r="K73" s="51">
        <f t="shared" si="3"/>
        <v>108.17041765834144</v>
      </c>
      <c r="L73" s="51">
        <f t="shared" si="4"/>
        <v>18647.360818594294</v>
      </c>
      <c r="M73" s="39"/>
      <c r="N73" s="51">
        <f t="shared" si="5"/>
        <v>17.197751543505586</v>
      </c>
      <c r="O73" s="85">
        <f>('Price Deck'!R67/$B$2)/'Price Deck'!M67</f>
        <v>438.75190243902443</v>
      </c>
      <c r="Q73" s="155">
        <f t="shared" si="6"/>
        <v>0.29506304634146341</v>
      </c>
      <c r="R73" s="155">
        <f t="shared" si="7"/>
        <v>0.1</v>
      </c>
      <c r="S73" s="155">
        <f t="shared" si="8"/>
        <v>0.36518752146341471</v>
      </c>
      <c r="T73" s="155">
        <f t="shared" si="9"/>
        <v>0.29506304634146341</v>
      </c>
      <c r="U73" s="155">
        <f t="shared" si="10"/>
        <v>0.31133258975609757</v>
      </c>
      <c r="W73" s="155">
        <f t="shared" si="11"/>
        <v>-0.23868303541626748</v>
      </c>
      <c r="X73" s="157">
        <f t="shared" si="12"/>
        <v>5.6380010925195928E-2</v>
      </c>
      <c r="Y73" s="155">
        <f t="shared" si="13"/>
        <v>5.6380010925195928E-2</v>
      </c>
      <c r="AA73" s="85">
        <f>'Price Deck'!R67/'Price Deck'!M67</f>
        <v>69.756097560975618</v>
      </c>
      <c r="AB73" s="85">
        <f t="shared" si="14"/>
        <v>7545.5462073867448</v>
      </c>
      <c r="AC73" s="85">
        <f t="shared" si="15"/>
        <v>425.41797760903535</v>
      </c>
      <c r="AD73" s="85">
        <f t="shared" si="16"/>
        <v>3.9328495425868382</v>
      </c>
    </row>
    <row r="74" spans="1:30">
      <c r="A74" s="164" t="str">
        <f>'Price Deck'!A68</f>
        <v>06/2024</v>
      </c>
      <c r="B74" s="51">
        <f>'Liquids Type Curve'!A81</f>
        <v>4.9218907987866523</v>
      </c>
      <c r="C74" s="51">
        <f>'Liquids Type Curve'!B81</f>
        <v>59.062689585439827</v>
      </c>
      <c r="D74" s="51">
        <f>'Liquids Type Curve'!C81</f>
        <v>15.217968310919023</v>
      </c>
      <c r="E74" s="51">
        <f>'Liquids Type Curve'!D81</f>
        <v>462.87986945712032</v>
      </c>
      <c r="F74" s="51">
        <f>'Liquids Type Curve'!E81</f>
        <v>81538.361689432306</v>
      </c>
      <c r="G74" s="39"/>
      <c r="H74" s="51">
        <f t="shared" si="0"/>
        <v>4.9218907987866523</v>
      </c>
      <c r="I74" s="39">
        <f t="shared" si="1"/>
        <v>59.062689585439827</v>
      </c>
      <c r="J74" s="51">
        <f t="shared" si="2"/>
        <v>3.5001327115113754</v>
      </c>
      <c r="K74" s="51">
        <f t="shared" si="3"/>
        <v>106.46236997513768</v>
      </c>
      <c r="L74" s="51">
        <f t="shared" si="4"/>
        <v>18753.823188569429</v>
      </c>
      <c r="M74" s="39"/>
      <c r="N74" s="51">
        <f t="shared" si="5"/>
        <v>16.926193197738826</v>
      </c>
      <c r="O74" s="85">
        <f>('Price Deck'!R68/$B$2)/'Price Deck'!M68</f>
        <v>438.75190243902443</v>
      </c>
      <c r="Q74" s="155">
        <f t="shared" si="6"/>
        <v>0.29506304634146341</v>
      </c>
      <c r="R74" s="155">
        <f t="shared" si="7"/>
        <v>0.1</v>
      </c>
      <c r="S74" s="155">
        <f t="shared" si="8"/>
        <v>0.36518752146341471</v>
      </c>
      <c r="T74" s="155">
        <f t="shared" si="9"/>
        <v>0.29506304634146341</v>
      </c>
      <c r="U74" s="155">
        <f t="shared" si="10"/>
        <v>0.31133258975609757</v>
      </c>
      <c r="W74" s="155">
        <f t="shared" si="11"/>
        <v>-0.23904963918305261</v>
      </c>
      <c r="X74" s="157">
        <f t="shared" si="12"/>
        <v>5.60134071584108E-2</v>
      </c>
      <c r="Y74" s="155">
        <f t="shared" si="13"/>
        <v>5.60134071584108E-2</v>
      </c>
      <c r="AA74" s="85">
        <f>'Price Deck'!R68/'Price Deck'!M68</f>
        <v>69.756097560975618</v>
      </c>
      <c r="AB74" s="85">
        <f t="shared" si="14"/>
        <v>7426.399466558385</v>
      </c>
      <c r="AC74" s="85">
        <f t="shared" si="15"/>
        <v>415.9779370413396</v>
      </c>
      <c r="AD74" s="85">
        <f t="shared" si="16"/>
        <v>3.9072766944647537</v>
      </c>
    </row>
    <row r="75" spans="1:30">
      <c r="A75" s="164" t="str">
        <f>'Price Deck'!A69</f>
        <v>07/2024</v>
      </c>
      <c r="B75" s="51">
        <f>'Liquids Type Curve'!A82</f>
        <v>5.0052241321199853</v>
      </c>
      <c r="C75" s="51">
        <f>'Liquids Type Curve'!B82</f>
        <v>60.062689585439827</v>
      </c>
      <c r="D75" s="51">
        <f>'Liquids Type Curve'!C82</f>
        <v>14.981674471976095</v>
      </c>
      <c r="E75" s="51">
        <f>'Liquids Type Curve'!D82</f>
        <v>455.69259852260626</v>
      </c>
      <c r="F75" s="51">
        <f>'Liquids Type Curve'!E82</f>
        <v>81994.054287954918</v>
      </c>
      <c r="G75" s="39"/>
      <c r="H75" s="51">
        <f t="shared" si="0"/>
        <v>5.0052241321199853</v>
      </c>
      <c r="I75" s="39">
        <f t="shared" si="1"/>
        <v>60.062689585439827</v>
      </c>
      <c r="J75" s="51">
        <f t="shared" si="2"/>
        <v>3.445785128554502</v>
      </c>
      <c r="K75" s="51">
        <f t="shared" si="3"/>
        <v>104.80929766019945</v>
      </c>
      <c r="L75" s="51">
        <f t="shared" si="4"/>
        <v>18858.632486229631</v>
      </c>
      <c r="M75" s="39"/>
      <c r="N75" s="51">
        <f t="shared" si="5"/>
        <v>16.663375252027002</v>
      </c>
      <c r="O75" s="85">
        <f>('Price Deck'!R69/$B$2)/'Price Deck'!M69</f>
        <v>438.75190243902443</v>
      </c>
      <c r="Q75" s="155">
        <f t="shared" si="6"/>
        <v>0.29506304634146341</v>
      </c>
      <c r="R75" s="155">
        <f t="shared" si="7"/>
        <v>0.1</v>
      </c>
      <c r="S75" s="155">
        <f t="shared" si="8"/>
        <v>0.36518752146341471</v>
      </c>
      <c r="T75" s="155">
        <f t="shared" si="9"/>
        <v>0.29506304634146341</v>
      </c>
      <c r="U75" s="155">
        <f t="shared" si="10"/>
        <v>0.31133258975609757</v>
      </c>
      <c r="W75" s="155">
        <f t="shared" si="11"/>
        <v>-0.23940444340976355</v>
      </c>
      <c r="X75" s="157">
        <f t="shared" si="12"/>
        <v>5.5658602931699858E-2</v>
      </c>
      <c r="Y75" s="155">
        <f t="shared" si="13"/>
        <v>5.5658602931699858E-2</v>
      </c>
      <c r="AA75" s="85">
        <f>'Price Deck'!R69/'Price Deck'!M69</f>
        <v>69.756097560975618</v>
      </c>
      <c r="AB75" s="85">
        <f t="shared" si="14"/>
        <v>7311.0875928822061</v>
      </c>
      <c r="AC75" s="85">
        <f t="shared" si="15"/>
        <v>406.92492133110801</v>
      </c>
      <c r="AD75" s="85">
        <f t="shared" si="16"/>
        <v>3.8825269362112587</v>
      </c>
    </row>
    <row r="76" spans="1:30">
      <c r="A76" s="164" t="str">
        <f>'Price Deck'!A70</f>
        <v>08/2024</v>
      </c>
      <c r="B76" s="51">
        <f>'Liquids Type Curve'!A83</f>
        <v>5.0885574654533183</v>
      </c>
      <c r="C76" s="51">
        <f>'Liquids Type Curve'!B83</f>
        <v>61.06268958543982</v>
      </c>
      <c r="D76" s="51">
        <f>'Liquids Type Curve'!C83</f>
        <v>14.752861385956795</v>
      </c>
      <c r="E76" s="51">
        <f>'Liquids Type Curve'!D83</f>
        <v>448.73286715618588</v>
      </c>
      <c r="F76" s="51">
        <f>'Liquids Type Curve'!E83</f>
        <v>82442.787155111102</v>
      </c>
      <c r="G76" s="39"/>
      <c r="H76" s="51">
        <f t="shared" ref="H76:H139" si="17">B76</f>
        <v>5.0885574654533183</v>
      </c>
      <c r="I76" s="39">
        <f t="shared" ref="I76:I139" si="18">C76</f>
        <v>61.06268958543982</v>
      </c>
      <c r="J76" s="51">
        <f t="shared" ref="J76:J139" si="19">D76*$C$2</f>
        <v>3.3931581187700628</v>
      </c>
      <c r="K76" s="51">
        <f t="shared" ref="K76:K139" si="20">E76*$C$2</f>
        <v>103.20855944592276</v>
      </c>
      <c r="L76" s="51">
        <f t="shared" ref="L76:L139" si="21">F76*$C$2</f>
        <v>18961.841045675556</v>
      </c>
      <c r="M76" s="39"/>
      <c r="N76" s="51">
        <f t="shared" ref="N76:N139" si="22">K76*$B$2</f>
        <v>16.408877777659505</v>
      </c>
      <c r="O76" s="85">
        <f>('Price Deck'!R70/$B$2)/'Price Deck'!M70</f>
        <v>438.75190243902443</v>
      </c>
      <c r="Q76" s="155">
        <f t="shared" ref="Q76:Q139" si="23">MIN(IF(O76&gt;$L$3,U76,IF(O76&gt;$K$3,T76,IF(O76&gt;$J$3,S76))),0.36)</f>
        <v>0.29506304634146341</v>
      </c>
      <c r="R76" s="155">
        <f t="shared" ref="R76:R139" si="24">$E$3</f>
        <v>0.1</v>
      </c>
      <c r="S76" s="155">
        <f t="shared" ref="S76:S139" si="25">((O76-$J$3)*0.00101+0.1)</f>
        <v>0.36518752146341471</v>
      </c>
      <c r="T76" s="155">
        <f t="shared" ref="T76:T139" si="26">((O76-$K$3))*0.00055+0.21122</f>
        <v>0.29506304634146341</v>
      </c>
      <c r="U76" s="155">
        <f t="shared" ref="U76:U139" si="27">((O76-$L$3)*0.00031+0.33235)</f>
        <v>0.31133258975609757</v>
      </c>
      <c r="W76" s="155">
        <f t="shared" ref="W76:W139" si="28">IF(N76&gt;$D$2,0,((N76-$D$2)*0.00135))</f>
        <v>-0.23974801500015966</v>
      </c>
      <c r="X76" s="157">
        <f t="shared" ref="X76:X139" si="29">MAX(0.05,Q76+W76)</f>
        <v>5.531503134130375E-2</v>
      </c>
      <c r="Y76" s="155">
        <f t="shared" ref="Y76:Y139" si="30">IF(C76&gt;$A$5,X76,0.05)</f>
        <v>5.531503134130375E-2</v>
      </c>
      <c r="AA76" s="85">
        <f>'Price Deck'!R70/'Price Deck'!M70</f>
        <v>69.756097560975618</v>
      </c>
      <c r="AB76" s="85">
        <f t="shared" ref="AB76:AB139" si="31">AA76*K76</f>
        <v>7199.4263418375394</v>
      </c>
      <c r="AC76" s="85">
        <f t="shared" ref="AC76:AC139" si="32">AB76*Y76</f>
        <v>398.2364937381513</v>
      </c>
      <c r="AD76" s="85">
        <f t="shared" ref="AD76:AD139" si="33">AC76/K76</f>
        <v>3.8585607228324084</v>
      </c>
    </row>
    <row r="77" spans="1:30">
      <c r="A77" s="164" t="str">
        <f>'Price Deck'!A71</f>
        <v>09/2024</v>
      </c>
      <c r="B77" s="51">
        <f>'Liquids Type Curve'!A84</f>
        <v>5.1718907987866514</v>
      </c>
      <c r="C77" s="51">
        <f>'Liquids Type Curve'!B84</f>
        <v>62.062689585439813</v>
      </c>
      <c r="D77" s="51">
        <f>'Liquids Type Curve'!C84</f>
        <v>14.531175437660563</v>
      </c>
      <c r="E77" s="51">
        <f>'Liquids Type Curve'!D84</f>
        <v>441.98991956217549</v>
      </c>
      <c r="F77" s="51">
        <f>'Liquids Type Curve'!E84</f>
        <v>82884.777074673271</v>
      </c>
      <c r="G77" s="39"/>
      <c r="H77" s="51">
        <f t="shared" si="17"/>
        <v>5.1718907987866514</v>
      </c>
      <c r="I77" s="39">
        <f t="shared" si="18"/>
        <v>62.062689585439813</v>
      </c>
      <c r="J77" s="51">
        <f t="shared" si="19"/>
        <v>3.3421703506619296</v>
      </c>
      <c r="K77" s="51">
        <f t="shared" si="20"/>
        <v>101.65768149930037</v>
      </c>
      <c r="L77" s="51">
        <f t="shared" si="21"/>
        <v>19063.498727174854</v>
      </c>
      <c r="M77" s="39"/>
      <c r="N77" s="51">
        <f t="shared" si="22"/>
        <v>16.16230746594492</v>
      </c>
      <c r="O77" s="85">
        <f>('Price Deck'!R71/$B$2)/'Price Deck'!M71</f>
        <v>438.75190243902443</v>
      </c>
      <c r="Q77" s="155">
        <f t="shared" si="23"/>
        <v>0.29506304634146341</v>
      </c>
      <c r="R77" s="155">
        <f t="shared" si="24"/>
        <v>0.1</v>
      </c>
      <c r="S77" s="155">
        <f t="shared" si="25"/>
        <v>0.36518752146341471</v>
      </c>
      <c r="T77" s="155">
        <f t="shared" si="26"/>
        <v>0.29506304634146341</v>
      </c>
      <c r="U77" s="155">
        <f t="shared" si="27"/>
        <v>0.31133258975609757</v>
      </c>
      <c r="W77" s="155">
        <f t="shared" si="28"/>
        <v>-0.24008088492097435</v>
      </c>
      <c r="X77" s="157">
        <f t="shared" si="29"/>
        <v>5.4982161420489062E-2</v>
      </c>
      <c r="Y77" s="155">
        <f t="shared" si="30"/>
        <v>5.4982161420489062E-2</v>
      </c>
      <c r="AA77" s="85">
        <f>'Price Deck'!R71/'Price Deck'!M71</f>
        <v>69.756097560975618</v>
      </c>
      <c r="AB77" s="85">
        <f t="shared" si="31"/>
        <v>7091.2431484877825</v>
      </c>
      <c r="AC77" s="85">
        <f t="shared" si="32"/>
        <v>389.89187546209234</v>
      </c>
      <c r="AD77" s="85">
        <f t="shared" si="33"/>
        <v>3.8353410161609447</v>
      </c>
    </row>
    <row r="78" spans="1:30">
      <c r="A78" s="164" t="str">
        <f>'Price Deck'!A72</f>
        <v>10/2024</v>
      </c>
      <c r="B78" s="51">
        <f>'Liquids Type Curve'!A85</f>
        <v>5.2552241321199844</v>
      </c>
      <c r="C78" s="51">
        <f>'Liquids Type Curve'!B85</f>
        <v>63.062689585439813</v>
      </c>
      <c r="D78" s="51">
        <f>'Liquids Type Curve'!C85</f>
        <v>14.316285072518946</v>
      </c>
      <c r="E78" s="51">
        <f>'Liquids Type Curve'!D85</f>
        <v>435.45367095578462</v>
      </c>
      <c r="F78" s="51">
        <f>'Liquids Type Curve'!E85</f>
        <v>83320.230745629058</v>
      </c>
      <c r="G78" s="39"/>
      <c r="H78" s="51">
        <f t="shared" si="17"/>
        <v>5.2552241321199844</v>
      </c>
      <c r="I78" s="39">
        <f t="shared" si="18"/>
        <v>63.062689585439813</v>
      </c>
      <c r="J78" s="51">
        <f t="shared" si="19"/>
        <v>3.2927455666793577</v>
      </c>
      <c r="K78" s="51">
        <f t="shared" si="20"/>
        <v>100.15434431983047</v>
      </c>
      <c r="L78" s="51">
        <f t="shared" si="21"/>
        <v>19163.653071494686</v>
      </c>
      <c r="M78" s="39"/>
      <c r="N78" s="51">
        <f t="shared" si="22"/>
        <v>15.923295545141414</v>
      </c>
      <c r="O78" s="85">
        <f>('Price Deck'!R72/$B$2)/'Price Deck'!M72</f>
        <v>438.75190243902443</v>
      </c>
      <c r="Q78" s="155">
        <f t="shared" si="23"/>
        <v>0.29506304634146341</v>
      </c>
      <c r="R78" s="155">
        <f t="shared" si="24"/>
        <v>0.1</v>
      </c>
      <c r="S78" s="155">
        <f t="shared" si="25"/>
        <v>0.36518752146341471</v>
      </c>
      <c r="T78" s="155">
        <f t="shared" si="26"/>
        <v>0.29506304634146341</v>
      </c>
      <c r="U78" s="155">
        <f t="shared" si="27"/>
        <v>0.31133258975609757</v>
      </c>
      <c r="W78" s="155">
        <f t="shared" si="28"/>
        <v>-0.24040355101405914</v>
      </c>
      <c r="X78" s="157">
        <f t="shared" si="29"/>
        <v>5.4659495327404273E-2</v>
      </c>
      <c r="Y78" s="155">
        <f t="shared" si="30"/>
        <v>5.4659495327404273E-2</v>
      </c>
      <c r="AA78" s="85">
        <f>'Price Deck'!R72/'Price Deck'!M72</f>
        <v>69.756097560975618</v>
      </c>
      <c r="AB78" s="85">
        <f t="shared" si="31"/>
        <v>6986.3762135296383</v>
      </c>
      <c r="AC78" s="85">
        <f t="shared" si="32"/>
        <v>381.87179799891163</v>
      </c>
      <c r="AD78" s="85">
        <f t="shared" si="33"/>
        <v>3.8128330886921034</v>
      </c>
    </row>
    <row r="79" spans="1:30">
      <c r="A79" s="164" t="str">
        <f>'Price Deck'!A73</f>
        <v>11/2024</v>
      </c>
      <c r="B79" s="51">
        <f>'Liquids Type Curve'!A86</f>
        <v>5.3385574654533174</v>
      </c>
      <c r="C79" s="51">
        <f>'Liquids Type Curve'!B86</f>
        <v>64.062689585439813</v>
      </c>
      <c r="D79" s="51">
        <f>'Liquids Type Curve'!C86</f>
        <v>14.107879097268537</v>
      </c>
      <c r="E79" s="51">
        <f>'Liquids Type Curve'!D86</f>
        <v>429.11465587525134</v>
      </c>
      <c r="F79" s="51">
        <f>'Liquids Type Curve'!E86</f>
        <v>83749.34540150431</v>
      </c>
      <c r="G79" s="39"/>
      <c r="H79" s="51">
        <f t="shared" si="17"/>
        <v>5.3385574654533174</v>
      </c>
      <c r="I79" s="39">
        <f t="shared" si="18"/>
        <v>64.062689585439813</v>
      </c>
      <c r="J79" s="51">
        <f t="shared" si="19"/>
        <v>3.2448121923717634</v>
      </c>
      <c r="K79" s="51">
        <f t="shared" si="20"/>
        <v>98.696370851307819</v>
      </c>
      <c r="L79" s="51">
        <f t="shared" si="21"/>
        <v>19262.349442345992</v>
      </c>
      <c r="M79" s="39"/>
      <c r="N79" s="51">
        <f t="shared" si="22"/>
        <v>15.691495890379315</v>
      </c>
      <c r="O79" s="85">
        <f>('Price Deck'!R73/$B$2)/'Price Deck'!M73</f>
        <v>438.75190243902443</v>
      </c>
      <c r="Q79" s="155">
        <f t="shared" si="23"/>
        <v>0.29506304634146341</v>
      </c>
      <c r="R79" s="155">
        <f t="shared" si="24"/>
        <v>0.1</v>
      </c>
      <c r="S79" s="155">
        <f t="shared" si="25"/>
        <v>0.36518752146341471</v>
      </c>
      <c r="T79" s="155">
        <f t="shared" si="26"/>
        <v>0.29506304634146341</v>
      </c>
      <c r="U79" s="155">
        <f t="shared" si="27"/>
        <v>0.31133258975609757</v>
      </c>
      <c r="W79" s="155">
        <f t="shared" si="28"/>
        <v>-0.24071648054798794</v>
      </c>
      <c r="X79" s="157">
        <f t="shared" si="29"/>
        <v>5.4346565793475465E-2</v>
      </c>
      <c r="Y79" s="155">
        <f t="shared" si="30"/>
        <v>5.4346565793475465E-2</v>
      </c>
      <c r="AA79" s="85">
        <f>'Price Deck'!R73/'Price Deck'!M73</f>
        <v>69.756097560975618</v>
      </c>
      <c r="AB79" s="85">
        <f t="shared" si="31"/>
        <v>6884.6736740180586</v>
      </c>
      <c r="AC79" s="85">
        <f t="shared" si="32"/>
        <v>374.15837079163089</v>
      </c>
      <c r="AD79" s="85">
        <f t="shared" si="33"/>
        <v>3.7910043455936551</v>
      </c>
    </row>
    <row r="80" spans="1:30">
      <c r="A80" s="164" t="str">
        <f>'Price Deck'!A74</f>
        <v>12/2024</v>
      </c>
      <c r="B80" s="51">
        <f>'Liquids Type Curve'!A87</f>
        <v>5.4218907987866505</v>
      </c>
      <c r="C80" s="51">
        <f>'Liquids Type Curve'!B87</f>
        <v>65.062689585439813</v>
      </c>
      <c r="D80" s="51">
        <f>'Liquids Type Curve'!C87</f>
        <v>13.905665135642371</v>
      </c>
      <c r="E80" s="51">
        <f>'Liquids Type Curve'!D87</f>
        <v>422.96398120912215</v>
      </c>
      <c r="F80" s="51">
        <f>'Liquids Type Curve'!E87</f>
        <v>84172.309382713429</v>
      </c>
      <c r="G80" s="39"/>
      <c r="H80" s="51">
        <f t="shared" si="17"/>
        <v>5.4218907987866505</v>
      </c>
      <c r="I80" s="39">
        <f t="shared" si="18"/>
        <v>65.062689585439813</v>
      </c>
      <c r="J80" s="51">
        <f t="shared" si="19"/>
        <v>3.1983029811977457</v>
      </c>
      <c r="K80" s="51">
        <f t="shared" si="20"/>
        <v>97.281715678098095</v>
      </c>
      <c r="L80" s="51">
        <f t="shared" si="21"/>
        <v>19359.631158024091</v>
      </c>
      <c r="M80" s="39"/>
      <c r="N80" s="51">
        <f t="shared" si="22"/>
        <v>15.466583306003068</v>
      </c>
      <c r="O80" s="85">
        <f>('Price Deck'!R74/$B$2)/'Price Deck'!M74</f>
        <v>438.75190243902443</v>
      </c>
      <c r="Q80" s="155">
        <f t="shared" si="23"/>
        <v>0.29506304634146341</v>
      </c>
      <c r="R80" s="155">
        <f t="shared" si="24"/>
        <v>0.1</v>
      </c>
      <c r="S80" s="155">
        <f t="shared" si="25"/>
        <v>0.36518752146341471</v>
      </c>
      <c r="T80" s="155">
        <f t="shared" si="26"/>
        <v>0.29506304634146341</v>
      </c>
      <c r="U80" s="155">
        <f t="shared" si="27"/>
        <v>0.31133258975609757</v>
      </c>
      <c r="W80" s="155">
        <f t="shared" si="28"/>
        <v>-0.24102011253689587</v>
      </c>
      <c r="X80" s="157">
        <f t="shared" si="29"/>
        <v>5.4042933804567539E-2</v>
      </c>
      <c r="Y80" s="155">
        <f t="shared" si="30"/>
        <v>5.4042933804567539E-2</v>
      </c>
      <c r="AA80" s="85">
        <f>'Price Deck'!R74/'Price Deck'!M74</f>
        <v>69.756097560975618</v>
      </c>
      <c r="AB80" s="85">
        <f t="shared" si="31"/>
        <v>6785.9928497405017</v>
      </c>
      <c r="AC80" s="85">
        <f t="shared" si="32"/>
        <v>366.73496237679456</v>
      </c>
      <c r="AD80" s="85">
        <f t="shared" si="33"/>
        <v>3.76982416295276</v>
      </c>
    </row>
    <row r="81" spans="1:30">
      <c r="A81" s="164" t="str">
        <f>'Price Deck'!A75</f>
        <v>01/2025</v>
      </c>
      <c r="B81" s="51">
        <f>'Liquids Type Curve'!A88</f>
        <v>5.5052241321199835</v>
      </c>
      <c r="C81" s="51">
        <f>'Liquids Type Curve'!B88</f>
        <v>66.062689585439799</v>
      </c>
      <c r="D81" s="51">
        <f>'Liquids Type Curve'!C88</f>
        <v>13.709368222804653</v>
      </c>
      <c r="E81" s="51">
        <f>'Liquids Type Curve'!D88</f>
        <v>416.99328344364153</v>
      </c>
      <c r="F81" s="51">
        <f>'Liquids Type Curve'!E88</f>
        <v>84589.302666157077</v>
      </c>
      <c r="G81" s="39"/>
      <c r="H81" s="51">
        <f t="shared" si="17"/>
        <v>5.5052241321199835</v>
      </c>
      <c r="I81" s="39">
        <f t="shared" si="18"/>
        <v>66.062689585439799</v>
      </c>
      <c r="J81" s="51">
        <f t="shared" si="19"/>
        <v>3.1531546912450703</v>
      </c>
      <c r="K81" s="51">
        <f t="shared" si="20"/>
        <v>95.90845519203755</v>
      </c>
      <c r="L81" s="51">
        <f t="shared" si="21"/>
        <v>19455.53961321613</v>
      </c>
      <c r="M81" s="39"/>
      <c r="N81" s="51">
        <f t="shared" si="22"/>
        <v>15.248251962230524</v>
      </c>
      <c r="O81" s="85">
        <f>('Price Deck'!R75/$B$2)/'Price Deck'!M75</f>
        <v>456.39402439024394</v>
      </c>
      <c r="Q81" s="155">
        <f t="shared" si="23"/>
        <v>0.30476621341463417</v>
      </c>
      <c r="R81" s="155">
        <f t="shared" si="24"/>
        <v>0.1</v>
      </c>
      <c r="S81" s="155">
        <f t="shared" si="25"/>
        <v>0.38300606463414644</v>
      </c>
      <c r="T81" s="155">
        <f t="shared" si="26"/>
        <v>0.30476621341463417</v>
      </c>
      <c r="U81" s="155">
        <f t="shared" si="27"/>
        <v>0.31680164756097562</v>
      </c>
      <c r="W81" s="155">
        <f t="shared" si="28"/>
        <v>-0.24131485985098883</v>
      </c>
      <c r="X81" s="157">
        <f t="shared" si="29"/>
        <v>6.3451353563645341E-2</v>
      </c>
      <c r="Y81" s="155">
        <f t="shared" si="30"/>
        <v>6.3451353563645341E-2</v>
      </c>
      <c r="AA81" s="85">
        <f>'Price Deck'!R75/'Price Deck'!M75</f>
        <v>72.560975609756099</v>
      </c>
      <c r="AB81" s="85">
        <f t="shared" si="31"/>
        <v>6959.211077958822</v>
      </c>
      <c r="AC81" s="85">
        <f t="shared" si="32"/>
        <v>441.57136263160265</v>
      </c>
      <c r="AD81" s="85">
        <f t="shared" si="33"/>
        <v>4.6040921183376806</v>
      </c>
    </row>
    <row r="82" spans="1:30">
      <c r="A82" s="164" t="str">
        <f>'Price Deck'!A76</f>
        <v>02/2025</v>
      </c>
      <c r="B82" s="51">
        <f>'Liquids Type Curve'!A89</f>
        <v>5.5885574654533166</v>
      </c>
      <c r="C82" s="51">
        <f>'Liquids Type Curve'!B89</f>
        <v>67.062689585439799</v>
      </c>
      <c r="D82" s="51">
        <f>'Liquids Type Curve'!C89</f>
        <v>13.518729524179966</v>
      </c>
      <c r="E82" s="51">
        <f>'Liquids Type Curve'!D89</f>
        <v>411.19468969380728</v>
      </c>
      <c r="F82" s="51">
        <f>'Liquids Type Curve'!E89</f>
        <v>85000.497355850879</v>
      </c>
      <c r="G82" s="39"/>
      <c r="H82" s="51">
        <f t="shared" si="17"/>
        <v>5.5885574654533166</v>
      </c>
      <c r="I82" s="39">
        <f t="shared" si="18"/>
        <v>67.062689585439799</v>
      </c>
      <c r="J82" s="51">
        <f t="shared" si="19"/>
        <v>3.1093077905613922</v>
      </c>
      <c r="K82" s="51">
        <f t="shared" si="20"/>
        <v>94.574778629575675</v>
      </c>
      <c r="L82" s="51">
        <f t="shared" si="21"/>
        <v>19550.114391845702</v>
      </c>
      <c r="M82" s="39"/>
      <c r="N82" s="51">
        <f t="shared" si="22"/>
        <v>15.036213970170065</v>
      </c>
      <c r="O82" s="85">
        <f>('Price Deck'!R76/$B$2)/'Price Deck'!M76</f>
        <v>456.39402439024394</v>
      </c>
      <c r="Q82" s="155">
        <f t="shared" si="23"/>
        <v>0.30476621341463417</v>
      </c>
      <c r="R82" s="155">
        <f t="shared" si="24"/>
        <v>0.1</v>
      </c>
      <c r="S82" s="155">
        <f t="shared" si="25"/>
        <v>0.38300606463414644</v>
      </c>
      <c r="T82" s="155">
        <f t="shared" si="26"/>
        <v>0.30476621341463417</v>
      </c>
      <c r="U82" s="155">
        <f t="shared" si="27"/>
        <v>0.31680164756097562</v>
      </c>
      <c r="W82" s="155">
        <f t="shared" si="28"/>
        <v>-0.24160111114027044</v>
      </c>
      <c r="X82" s="157">
        <f t="shared" si="29"/>
        <v>6.3165102274363727E-2</v>
      </c>
      <c r="Y82" s="155">
        <f t="shared" si="30"/>
        <v>6.3165102274363727E-2</v>
      </c>
      <c r="AA82" s="85">
        <f>'Price Deck'!R76/'Price Deck'!M76</f>
        <v>72.560975609756099</v>
      </c>
      <c r="AB82" s="85">
        <f t="shared" si="31"/>
        <v>6862.4382054387233</v>
      </c>
      <c r="AC82" s="85">
        <f t="shared" si="32"/>
        <v>433.46661109803802</v>
      </c>
      <c r="AD82" s="85">
        <f t="shared" si="33"/>
        <v>4.5833214455178561</v>
      </c>
    </row>
    <row r="83" spans="1:30">
      <c r="A83" s="164" t="str">
        <f>'Price Deck'!A77</f>
        <v>03/2025</v>
      </c>
      <c r="B83" s="51">
        <f>'Liquids Type Curve'!A90</f>
        <v>5.6718907987866496</v>
      </c>
      <c r="C83" s="51">
        <f>'Liquids Type Curve'!B90</f>
        <v>68.062689585439799</v>
      </c>
      <c r="D83" s="51">
        <f>'Liquids Type Curve'!C90</f>
        <v>13.333505166001077</v>
      </c>
      <c r="E83" s="51">
        <f>'Liquids Type Curve'!D90</f>
        <v>405.56078213253278</v>
      </c>
      <c r="F83" s="51">
        <f>'Liquids Type Curve'!E90</f>
        <v>85406.058137983418</v>
      </c>
      <c r="G83" s="39"/>
      <c r="H83" s="51">
        <f t="shared" si="17"/>
        <v>5.6718907987866496</v>
      </c>
      <c r="I83" s="39">
        <f t="shared" si="18"/>
        <v>68.062689585439799</v>
      </c>
      <c r="J83" s="51">
        <f t="shared" si="19"/>
        <v>3.0667061881802478</v>
      </c>
      <c r="K83" s="51">
        <f t="shared" si="20"/>
        <v>93.278979890482546</v>
      </c>
      <c r="L83" s="51">
        <f t="shared" si="21"/>
        <v>19643.393371736187</v>
      </c>
      <c r="M83" s="39"/>
      <c r="N83" s="51">
        <f t="shared" si="22"/>
        <v>14.830198081096784</v>
      </c>
      <c r="O83" s="85">
        <f>('Price Deck'!R77/$B$2)/'Price Deck'!M77</f>
        <v>456.39402439024394</v>
      </c>
      <c r="Q83" s="155">
        <f t="shared" si="23"/>
        <v>0.30476621341463417</v>
      </c>
      <c r="R83" s="155">
        <f t="shared" si="24"/>
        <v>0.1</v>
      </c>
      <c r="S83" s="155">
        <f t="shared" si="25"/>
        <v>0.38300606463414644</v>
      </c>
      <c r="T83" s="155">
        <f t="shared" si="26"/>
        <v>0.30476621341463417</v>
      </c>
      <c r="U83" s="155">
        <f t="shared" si="27"/>
        <v>0.31680164756097562</v>
      </c>
      <c r="W83" s="155">
        <f t="shared" si="28"/>
        <v>-0.24187923259051933</v>
      </c>
      <c r="X83" s="157">
        <f t="shared" si="29"/>
        <v>6.2886980824114841E-2</v>
      </c>
      <c r="Y83" s="155">
        <f t="shared" si="30"/>
        <v>6.2886980824114841E-2</v>
      </c>
      <c r="AA83" s="85">
        <f>'Price Deck'!R77/'Price Deck'!M77</f>
        <v>72.560975609756099</v>
      </c>
      <c r="AB83" s="85">
        <f t="shared" si="31"/>
        <v>6768.4137847362335</v>
      </c>
      <c r="AC83" s="85">
        <f t="shared" si="32"/>
        <v>425.64510789038206</v>
      </c>
      <c r="AD83" s="85">
        <f t="shared" si="33"/>
        <v>4.5631406817497959</v>
      </c>
    </row>
    <row r="84" spans="1:30">
      <c r="A84" s="164" t="str">
        <f>'Price Deck'!A78</f>
        <v>04/2025</v>
      </c>
      <c r="B84" s="51">
        <f>'Liquids Type Curve'!A91</f>
        <v>5.7552241321199826</v>
      </c>
      <c r="C84" s="51">
        <f>'Liquids Type Curve'!B91</f>
        <v>69.062689585439784</v>
      </c>
      <c r="D84" s="51">
        <f>'Liquids Type Curve'!C91</f>
        <v>13.153465166356179</v>
      </c>
      <c r="E84" s="51">
        <f>'Liquids Type Curve'!D91</f>
        <v>400.08456547666714</v>
      </c>
      <c r="F84" s="51">
        <f>'Liquids Type Curve'!E91</f>
        <v>85806.142703460078</v>
      </c>
      <c r="G84" s="39"/>
      <c r="H84" s="51">
        <f t="shared" si="17"/>
        <v>5.7552241321199826</v>
      </c>
      <c r="I84" s="39">
        <f t="shared" si="18"/>
        <v>69.062689585439784</v>
      </c>
      <c r="J84" s="51">
        <f t="shared" si="19"/>
        <v>3.0252969882619212</v>
      </c>
      <c r="K84" s="51">
        <f t="shared" si="20"/>
        <v>92.019450059633442</v>
      </c>
      <c r="L84" s="51">
        <f t="shared" si="21"/>
        <v>19735.41282179582</v>
      </c>
      <c r="M84" s="39"/>
      <c r="N84" s="51">
        <f t="shared" si="22"/>
        <v>14.629948497509211</v>
      </c>
      <c r="O84" s="85">
        <f>('Price Deck'!R78/$B$2)/'Price Deck'!M78</f>
        <v>456.39402439024394</v>
      </c>
      <c r="Q84" s="155">
        <f t="shared" si="23"/>
        <v>0.30476621341463417</v>
      </c>
      <c r="R84" s="155">
        <f t="shared" si="24"/>
        <v>0.1</v>
      </c>
      <c r="S84" s="155">
        <f t="shared" si="25"/>
        <v>0.38300606463414644</v>
      </c>
      <c r="T84" s="155">
        <f t="shared" si="26"/>
        <v>0.30476621341463417</v>
      </c>
      <c r="U84" s="155">
        <f t="shared" si="27"/>
        <v>0.31680164756097562</v>
      </c>
      <c r="W84" s="155">
        <f t="shared" si="28"/>
        <v>-0.24214956952836256</v>
      </c>
      <c r="X84" s="157">
        <f t="shared" si="29"/>
        <v>6.2616643886271611E-2</v>
      </c>
      <c r="Y84" s="155">
        <f t="shared" si="30"/>
        <v>6.2616643886271611E-2</v>
      </c>
      <c r="AA84" s="85">
        <f>'Price Deck'!R78/'Price Deck'!M78</f>
        <v>72.560975609756099</v>
      </c>
      <c r="AB84" s="85">
        <f t="shared" si="31"/>
        <v>6677.0210714002314</v>
      </c>
      <c r="AC84" s="85">
        <f t="shared" si="32"/>
        <v>418.09265064900001</v>
      </c>
      <c r="AD84" s="85">
        <f t="shared" si="33"/>
        <v>4.5435247697965373</v>
      </c>
    </row>
    <row r="85" spans="1:30">
      <c r="A85" s="164" t="str">
        <f>'Price Deck'!A79</f>
        <v>05/2025</v>
      </c>
      <c r="B85" s="51">
        <f>'Liquids Type Curve'!A92</f>
        <v>5.8385574654533157</v>
      </c>
      <c r="C85" s="51">
        <f>'Liquids Type Curve'!B92</f>
        <v>70.062689585439784</v>
      </c>
      <c r="D85" s="51">
        <f>'Liquids Type Curve'!C92</f>
        <v>12.978392456787006</v>
      </c>
      <c r="E85" s="51">
        <f>'Liquids Type Curve'!D92</f>
        <v>394.75943722727146</v>
      </c>
      <c r="F85" s="51">
        <f>'Liquids Type Curve'!E92</f>
        <v>86200.902140687351</v>
      </c>
      <c r="G85" s="39"/>
      <c r="H85" s="51">
        <f t="shared" si="17"/>
        <v>5.8385574654533157</v>
      </c>
      <c r="I85" s="39">
        <f t="shared" si="18"/>
        <v>70.062689585439784</v>
      </c>
      <c r="J85" s="51">
        <f t="shared" si="19"/>
        <v>2.9850302650610114</v>
      </c>
      <c r="K85" s="51">
        <f t="shared" si="20"/>
        <v>90.794670562272444</v>
      </c>
      <c r="L85" s="51">
        <f t="shared" si="21"/>
        <v>19826.207492358091</v>
      </c>
      <c r="M85" s="39"/>
      <c r="N85" s="51">
        <f t="shared" si="22"/>
        <v>14.435223784901339</v>
      </c>
      <c r="O85" s="85">
        <f>('Price Deck'!R79/$B$2)/'Price Deck'!M79</f>
        <v>456.39402439024394</v>
      </c>
      <c r="Q85" s="155">
        <f t="shared" si="23"/>
        <v>0.30476621341463417</v>
      </c>
      <c r="R85" s="155">
        <f t="shared" si="24"/>
        <v>0.1</v>
      </c>
      <c r="S85" s="155">
        <f t="shared" si="25"/>
        <v>0.38300606463414644</v>
      </c>
      <c r="T85" s="155">
        <f t="shared" si="26"/>
        <v>0.30476621341463417</v>
      </c>
      <c r="U85" s="155">
        <f t="shared" si="27"/>
        <v>0.31680164756097562</v>
      </c>
      <c r="W85" s="155">
        <f t="shared" si="28"/>
        <v>-0.24241244789038321</v>
      </c>
      <c r="X85" s="157">
        <f t="shared" si="29"/>
        <v>6.2353765524250954E-2</v>
      </c>
      <c r="Y85" s="155">
        <f t="shared" si="30"/>
        <v>6.2353765524250954E-2</v>
      </c>
      <c r="AA85" s="85">
        <f>'Price Deck'!R79/'Price Deck'!M79</f>
        <v>72.560975609756099</v>
      </c>
      <c r="AB85" s="85">
        <f t="shared" si="31"/>
        <v>6588.1498761648909</v>
      </c>
      <c r="AC85" s="85">
        <f t="shared" si="32"/>
        <v>410.79595261700854</v>
      </c>
      <c r="AD85" s="85">
        <f t="shared" si="33"/>
        <v>4.5244500593816239</v>
      </c>
    </row>
    <row r="86" spans="1:30">
      <c r="A86" s="164" t="str">
        <f>'Price Deck'!A80</f>
        <v>06/2025</v>
      </c>
      <c r="B86" s="51">
        <f>'Liquids Type Curve'!A93</f>
        <v>5.9218907987866487</v>
      </c>
      <c r="C86" s="51">
        <f>'Liquids Type Curve'!B93</f>
        <v>71.062689585439784</v>
      </c>
      <c r="D86" s="51">
        <f>'Liquids Type Curve'!C93</f>
        <v>12.808081985600456</v>
      </c>
      <c r="E86" s="51">
        <f>'Liquids Type Curve'!D93</f>
        <v>389.57916039534723</v>
      </c>
      <c r="F86" s="51">
        <f>'Liquids Type Curve'!E93</f>
        <v>86590.481301082691</v>
      </c>
      <c r="G86" s="39"/>
      <c r="H86" s="51">
        <f t="shared" si="17"/>
        <v>5.9218907987866487</v>
      </c>
      <c r="I86" s="39">
        <f t="shared" si="18"/>
        <v>71.062689585439784</v>
      </c>
      <c r="J86" s="51">
        <f t="shared" si="19"/>
        <v>2.9458588566881052</v>
      </c>
      <c r="K86" s="51">
        <f t="shared" si="20"/>
        <v>89.603206890929869</v>
      </c>
      <c r="L86" s="51">
        <f t="shared" si="21"/>
        <v>19915.810699249021</v>
      </c>
      <c r="M86" s="39"/>
      <c r="N86" s="51">
        <f t="shared" si="22"/>
        <v>14.24579587442047</v>
      </c>
      <c r="O86" s="85">
        <f>('Price Deck'!R80/$B$2)/'Price Deck'!M80</f>
        <v>456.39402439024394</v>
      </c>
      <c r="Q86" s="155">
        <f t="shared" si="23"/>
        <v>0.30476621341463417</v>
      </c>
      <c r="R86" s="155">
        <f t="shared" si="24"/>
        <v>0.1</v>
      </c>
      <c r="S86" s="155">
        <f t="shared" si="25"/>
        <v>0.38300606463414644</v>
      </c>
      <c r="T86" s="155">
        <f t="shared" si="26"/>
        <v>0.30476621341463417</v>
      </c>
      <c r="U86" s="155">
        <f t="shared" si="27"/>
        <v>0.31680164756097562</v>
      </c>
      <c r="W86" s="155">
        <f t="shared" si="28"/>
        <v>-0.24266817556953235</v>
      </c>
      <c r="X86" s="157">
        <f t="shared" si="29"/>
        <v>6.2098037845101817E-2</v>
      </c>
      <c r="Y86" s="155">
        <f t="shared" si="30"/>
        <v>6.2098037845101817E-2</v>
      </c>
      <c r="AA86" s="85">
        <f>'Price Deck'!R80/'Price Deck'!M80</f>
        <v>72.560975609756099</v>
      </c>
      <c r="AB86" s="85">
        <f t="shared" si="31"/>
        <v>6501.6961097686917</v>
      </c>
      <c r="AC86" s="85">
        <f t="shared" si="32"/>
        <v>403.74257108176749</v>
      </c>
      <c r="AD86" s="85">
        <f t="shared" si="33"/>
        <v>4.5058942094921441</v>
      </c>
    </row>
    <row r="87" spans="1:30">
      <c r="A87" s="164" t="str">
        <f>'Price Deck'!A81</f>
        <v>07/2025</v>
      </c>
      <c r="B87" s="51">
        <f>'Liquids Type Curve'!A94</f>
        <v>6.0052241321199817</v>
      </c>
      <c r="C87" s="51">
        <f>'Liquids Type Curve'!B94</f>
        <v>72.062689585439784</v>
      </c>
      <c r="D87" s="51">
        <f>'Liquids Type Curve'!C94</f>
        <v>12.642339895029579</v>
      </c>
      <c r="E87" s="51">
        <f>'Liquids Type Curve'!D94</f>
        <v>384.53783847381641</v>
      </c>
      <c r="F87" s="51">
        <f>'Liquids Type Curve'!E94</f>
        <v>86975.019139556505</v>
      </c>
      <c r="G87" s="39"/>
      <c r="H87" s="51">
        <f t="shared" si="17"/>
        <v>6.0052241321199817</v>
      </c>
      <c r="I87" s="39">
        <f t="shared" si="18"/>
        <v>72.062689585439784</v>
      </c>
      <c r="J87" s="51">
        <f t="shared" si="19"/>
        <v>2.9077381758568035</v>
      </c>
      <c r="K87" s="51">
        <f t="shared" si="20"/>
        <v>88.443702848977779</v>
      </c>
      <c r="L87" s="51">
        <f t="shared" si="21"/>
        <v>20004.254402097999</v>
      </c>
      <c r="M87" s="39"/>
      <c r="N87" s="51">
        <f t="shared" si="22"/>
        <v>14.061449147664119</v>
      </c>
      <c r="O87" s="85">
        <f>('Price Deck'!R81/$B$2)/'Price Deck'!M81</f>
        <v>456.39402439024394</v>
      </c>
      <c r="Q87" s="155">
        <f t="shared" si="23"/>
        <v>0.30476621341463417</v>
      </c>
      <c r="R87" s="155">
        <f t="shared" si="24"/>
        <v>0.1</v>
      </c>
      <c r="S87" s="155">
        <f t="shared" si="25"/>
        <v>0.38300606463414644</v>
      </c>
      <c r="T87" s="155">
        <f t="shared" si="26"/>
        <v>0.30476621341463417</v>
      </c>
      <c r="U87" s="155">
        <f t="shared" si="27"/>
        <v>0.31680164756097562</v>
      </c>
      <c r="W87" s="155">
        <f t="shared" si="28"/>
        <v>-0.24291704365065345</v>
      </c>
      <c r="X87" s="157">
        <f t="shared" si="29"/>
        <v>6.1849169763980721E-2</v>
      </c>
      <c r="Y87" s="155">
        <f t="shared" si="30"/>
        <v>6.1849169763980721E-2</v>
      </c>
      <c r="AA87" s="85">
        <f>'Price Deck'!R81/'Price Deck'!M81</f>
        <v>72.560975609756099</v>
      </c>
      <c r="AB87" s="85">
        <f t="shared" si="31"/>
        <v>6417.5613652611928</v>
      </c>
      <c r="AC87" s="85">
        <f t="shared" si="32"/>
        <v>396.92084235080341</v>
      </c>
      <c r="AD87" s="85">
        <f t="shared" si="33"/>
        <v>4.48783609872787</v>
      </c>
    </row>
    <row r="88" spans="1:30">
      <c r="A88" s="164" t="str">
        <f>'Price Deck'!A82</f>
        <v>08/2025</v>
      </c>
      <c r="B88" s="51">
        <f>'Liquids Type Curve'!A95</f>
        <v>6.0885574654533148</v>
      </c>
      <c r="C88" s="51">
        <f>'Liquids Type Curve'!B95</f>
        <v>73.062689585439784</v>
      </c>
      <c r="D88" s="51">
        <f>'Liquids Type Curve'!C95</f>
        <v>12.480982765233662</v>
      </c>
      <c r="E88" s="51">
        <f>'Liquids Type Curve'!D95</f>
        <v>379.6298924425239</v>
      </c>
      <c r="F88" s="51">
        <f>'Liquids Type Curve'!E95</f>
        <v>87354.649031999026</v>
      </c>
      <c r="G88" s="39"/>
      <c r="H88" s="51">
        <f t="shared" si="17"/>
        <v>6.0885574654533148</v>
      </c>
      <c r="I88" s="39">
        <f t="shared" si="18"/>
        <v>73.062689585439784</v>
      </c>
      <c r="J88" s="51">
        <f t="shared" si="19"/>
        <v>2.8706260360037423</v>
      </c>
      <c r="K88" s="51">
        <f t="shared" si="20"/>
        <v>87.3148752617805</v>
      </c>
      <c r="L88" s="51">
        <f t="shared" si="21"/>
        <v>20091.569277359777</v>
      </c>
      <c r="M88" s="39"/>
      <c r="N88" s="51">
        <f t="shared" si="22"/>
        <v>13.881979595818706</v>
      </c>
      <c r="O88" s="85">
        <f>('Price Deck'!R82/$B$2)/'Price Deck'!M82</f>
        <v>456.39402439024394</v>
      </c>
      <c r="Q88" s="155">
        <f t="shared" si="23"/>
        <v>0.30476621341463417</v>
      </c>
      <c r="R88" s="155">
        <f t="shared" si="24"/>
        <v>0.1</v>
      </c>
      <c r="S88" s="155">
        <f t="shared" si="25"/>
        <v>0.38300606463414644</v>
      </c>
      <c r="T88" s="155">
        <f t="shared" si="26"/>
        <v>0.30476621341463417</v>
      </c>
      <c r="U88" s="155">
        <f t="shared" si="27"/>
        <v>0.31680164756097562</v>
      </c>
      <c r="W88" s="155">
        <f t="shared" si="28"/>
        <v>-0.24315932754564476</v>
      </c>
      <c r="X88" s="157">
        <f t="shared" si="29"/>
        <v>6.1606885868989408E-2</v>
      </c>
      <c r="Y88" s="155">
        <f t="shared" si="30"/>
        <v>6.1606885868989408E-2</v>
      </c>
      <c r="AA88" s="85">
        <f>'Price Deck'!R82/'Price Deck'!M82</f>
        <v>72.560975609756099</v>
      </c>
      <c r="AB88" s="85">
        <f t="shared" si="31"/>
        <v>6335.6525342389514</v>
      </c>
      <c r="AC88" s="85">
        <f t="shared" si="32"/>
        <v>390.31982258243261</v>
      </c>
      <c r="AD88" s="85">
        <f t="shared" si="33"/>
        <v>4.4702557429327685</v>
      </c>
    </row>
    <row r="89" spans="1:30">
      <c r="A89" s="164" t="str">
        <f>'Price Deck'!A83</f>
        <v>09/2025</v>
      </c>
      <c r="B89" s="51">
        <f>'Liquids Type Curve'!A96</f>
        <v>6.1718907987866478</v>
      </c>
      <c r="C89" s="51">
        <f>'Liquids Type Curve'!B96</f>
        <v>74.06268958543977</v>
      </c>
      <c r="D89" s="51">
        <f>'Liquids Type Curve'!C96</f>
        <v>12.32383691887879</v>
      </c>
      <c r="E89" s="51">
        <f>'Liquids Type Curve'!D96</f>
        <v>374.85003961589655</v>
      </c>
      <c r="F89" s="51">
        <f>'Liquids Type Curve'!E96</f>
        <v>87729.499071614919</v>
      </c>
      <c r="G89" s="39"/>
      <c r="H89" s="51">
        <f t="shared" si="17"/>
        <v>6.1718907987866478</v>
      </c>
      <c r="I89" s="39">
        <f t="shared" si="18"/>
        <v>74.06268958543977</v>
      </c>
      <c r="J89" s="51">
        <f t="shared" si="19"/>
        <v>2.8344824913421216</v>
      </c>
      <c r="K89" s="51">
        <f t="shared" si="20"/>
        <v>86.215509111656203</v>
      </c>
      <c r="L89" s="51">
        <f t="shared" si="21"/>
        <v>20177.784786471431</v>
      </c>
      <c r="M89" s="39"/>
      <c r="N89" s="51">
        <f t="shared" si="22"/>
        <v>13.707194046178925</v>
      </c>
      <c r="O89" s="85">
        <f>('Price Deck'!R83/$B$2)/'Price Deck'!M83</f>
        <v>456.39402439024394</v>
      </c>
      <c r="Q89" s="155">
        <f t="shared" si="23"/>
        <v>0.30476621341463417</v>
      </c>
      <c r="R89" s="155">
        <f t="shared" si="24"/>
        <v>0.1</v>
      </c>
      <c r="S89" s="155">
        <f t="shared" si="25"/>
        <v>0.38300606463414644</v>
      </c>
      <c r="T89" s="155">
        <f t="shared" si="26"/>
        <v>0.30476621341463417</v>
      </c>
      <c r="U89" s="155">
        <f t="shared" si="27"/>
        <v>0.31680164756097562</v>
      </c>
      <c r="W89" s="155">
        <f t="shared" si="28"/>
        <v>-0.24339528803765847</v>
      </c>
      <c r="X89" s="157">
        <f t="shared" si="29"/>
        <v>6.1370925376975693E-2</v>
      </c>
      <c r="Y89" s="155">
        <f t="shared" si="30"/>
        <v>6.1370925376975693E-2</v>
      </c>
      <c r="AA89" s="85">
        <f>'Price Deck'!R83/'Price Deck'!M83</f>
        <v>72.560975609756099</v>
      </c>
      <c r="AB89" s="85">
        <f t="shared" si="31"/>
        <v>6255.8814538335901</v>
      </c>
      <c r="AC89" s="85">
        <f t="shared" si="32"/>
        <v>383.92923387042748</v>
      </c>
      <c r="AD89" s="85">
        <f t="shared" si="33"/>
        <v>4.4531342194268948</v>
      </c>
    </row>
    <row r="90" spans="1:30">
      <c r="A90" s="164" t="str">
        <f>'Price Deck'!A84</f>
        <v>10/2025</v>
      </c>
      <c r="B90" s="51">
        <f>'Liquids Type Curve'!A97</f>
        <v>6.2552241321199809</v>
      </c>
      <c r="C90" s="51">
        <f>'Liquids Type Curve'!B97</f>
        <v>75.06268958543977</v>
      </c>
      <c r="D90" s="51">
        <f>'Liquids Type Curve'!C97</f>
        <v>12.170737780701495</v>
      </c>
      <c r="E90" s="51">
        <f>'Liquids Type Curve'!D97</f>
        <v>370.19327416300382</v>
      </c>
      <c r="F90" s="51">
        <f>'Liquids Type Curve'!E97</f>
        <v>88099.692345777919</v>
      </c>
      <c r="G90" s="39"/>
      <c r="H90" s="51">
        <f t="shared" si="17"/>
        <v>6.2552241321199809</v>
      </c>
      <c r="I90" s="39">
        <f t="shared" si="18"/>
        <v>75.06268958543977</v>
      </c>
      <c r="J90" s="51">
        <f t="shared" si="19"/>
        <v>2.7992696895613443</v>
      </c>
      <c r="K90" s="51">
        <f t="shared" si="20"/>
        <v>85.144453057490878</v>
      </c>
      <c r="L90" s="51">
        <f t="shared" si="21"/>
        <v>20262.929239528923</v>
      </c>
      <c r="M90" s="39"/>
      <c r="N90" s="51">
        <f t="shared" si="22"/>
        <v>13.536909449822074</v>
      </c>
      <c r="O90" s="85">
        <f>('Price Deck'!R84/$B$2)/'Price Deck'!M84</f>
        <v>456.39402439024394</v>
      </c>
      <c r="Q90" s="155">
        <f t="shared" si="23"/>
        <v>0.30476621341463417</v>
      </c>
      <c r="R90" s="155">
        <f t="shared" si="24"/>
        <v>0.1</v>
      </c>
      <c r="S90" s="155">
        <f t="shared" si="25"/>
        <v>0.38300606463414644</v>
      </c>
      <c r="T90" s="155">
        <f t="shared" si="26"/>
        <v>0.30476621341463417</v>
      </c>
      <c r="U90" s="155">
        <f t="shared" si="27"/>
        <v>0.31680164756097562</v>
      </c>
      <c r="W90" s="155">
        <f t="shared" si="28"/>
        <v>-0.24362517224274022</v>
      </c>
      <c r="X90" s="157">
        <f t="shared" si="29"/>
        <v>6.1141041171893951E-2</v>
      </c>
      <c r="Y90" s="155">
        <f t="shared" si="30"/>
        <v>6.1141041171893951E-2</v>
      </c>
      <c r="AA90" s="85">
        <f>'Price Deck'!R84/'Price Deck'!M84</f>
        <v>72.560975609756099</v>
      </c>
      <c r="AB90" s="85">
        <f t="shared" si="31"/>
        <v>6178.1645816106184</v>
      </c>
      <c r="AC90" s="85">
        <f t="shared" si="32"/>
        <v>377.73941505099179</v>
      </c>
      <c r="AD90" s="85">
        <f t="shared" si="33"/>
        <v>4.4364535972288905</v>
      </c>
    </row>
    <row r="91" spans="1:30">
      <c r="A91" s="164" t="str">
        <f>'Price Deck'!A85</f>
        <v>11/2025</v>
      </c>
      <c r="B91" s="51">
        <f>'Liquids Type Curve'!A98</f>
        <v>6.3385574654533139</v>
      </c>
      <c r="C91" s="51">
        <f>'Liquids Type Curve'!B98</f>
        <v>76.06268958543977</v>
      </c>
      <c r="D91" s="51">
        <f>'Liquids Type Curve'!C98</f>
        <v>12.021529287042206</v>
      </c>
      <c r="E91" s="51">
        <f>'Liquids Type Curve'!D98</f>
        <v>365.65484914753381</v>
      </c>
      <c r="F91" s="51">
        <f>'Liquids Type Curve'!E98</f>
        <v>88465.34719492546</v>
      </c>
      <c r="G91" s="39"/>
      <c r="H91" s="51">
        <f t="shared" si="17"/>
        <v>6.3385574654533139</v>
      </c>
      <c r="I91" s="39">
        <f t="shared" si="18"/>
        <v>76.06268958543977</v>
      </c>
      <c r="J91" s="51">
        <f t="shared" si="19"/>
        <v>2.7649517360197073</v>
      </c>
      <c r="K91" s="51">
        <f t="shared" si="20"/>
        <v>84.100615303932784</v>
      </c>
      <c r="L91" s="51">
        <f t="shared" si="21"/>
        <v>20347.029854832857</v>
      </c>
      <c r="M91" s="39"/>
      <c r="N91" s="51">
        <f t="shared" si="22"/>
        <v>13.370952224861329</v>
      </c>
      <c r="O91" s="85">
        <f>('Price Deck'!R85/$B$2)/'Price Deck'!M85</f>
        <v>456.39402439024394</v>
      </c>
      <c r="Q91" s="155">
        <f t="shared" si="23"/>
        <v>0.30476621341463417</v>
      </c>
      <c r="R91" s="155">
        <f t="shared" si="24"/>
        <v>0.1</v>
      </c>
      <c r="S91" s="155">
        <f t="shared" si="25"/>
        <v>0.38300606463414644</v>
      </c>
      <c r="T91" s="155">
        <f t="shared" si="26"/>
        <v>0.30476621341463417</v>
      </c>
      <c r="U91" s="155">
        <f t="shared" si="27"/>
        <v>0.31680164756097562</v>
      </c>
      <c r="W91" s="155">
        <f t="shared" si="28"/>
        <v>-0.24384921449643723</v>
      </c>
      <c r="X91" s="157">
        <f t="shared" si="29"/>
        <v>6.0916998918196935E-2</v>
      </c>
      <c r="Y91" s="155">
        <f t="shared" si="30"/>
        <v>6.0916998918196935E-2</v>
      </c>
      <c r="AA91" s="85">
        <f>'Price Deck'!R85/'Price Deck'!M85</f>
        <v>72.560975609756099</v>
      </c>
      <c r="AB91" s="85">
        <f t="shared" si="31"/>
        <v>6102.4226958341469</v>
      </c>
      <c r="AC91" s="85">
        <f t="shared" si="32"/>
        <v>371.74127676050915</v>
      </c>
      <c r="AD91" s="85">
        <f t="shared" si="33"/>
        <v>4.4201968727228262</v>
      </c>
    </row>
    <row r="92" spans="1:30">
      <c r="A92" s="164" t="str">
        <f>'Price Deck'!A86</f>
        <v>12/2025</v>
      </c>
      <c r="B92" s="51">
        <f>'Liquids Type Curve'!A99</f>
        <v>6.4218907987866469</v>
      </c>
      <c r="C92" s="51">
        <f>'Liquids Type Curve'!B99</f>
        <v>77.062689585439756</v>
      </c>
      <c r="D92" s="51">
        <f>'Liquids Type Curve'!C99</f>
        <v>11.876063340851779</v>
      </c>
      <c r="E92" s="51">
        <f>'Liquids Type Curve'!D99</f>
        <v>361.23025995090831</v>
      </c>
      <c r="F92" s="51">
        <f>'Liquids Type Curve'!E99</f>
        <v>88826.577454876373</v>
      </c>
      <c r="G92" s="39"/>
      <c r="H92" s="51">
        <f t="shared" si="17"/>
        <v>6.4218907987866469</v>
      </c>
      <c r="I92" s="39">
        <f t="shared" si="18"/>
        <v>77.062689585439756</v>
      </c>
      <c r="J92" s="51">
        <f t="shared" si="19"/>
        <v>2.7314945683959091</v>
      </c>
      <c r="K92" s="51">
        <f t="shared" si="20"/>
        <v>83.082959788708919</v>
      </c>
      <c r="L92" s="51">
        <f t="shared" si="21"/>
        <v>20430.112814621567</v>
      </c>
      <c r="M92" s="39"/>
      <c r="N92" s="51">
        <f t="shared" si="22"/>
        <v>13.209157650276467</v>
      </c>
      <c r="O92" s="85">
        <f>('Price Deck'!R86/$B$2)/'Price Deck'!M86</f>
        <v>456.39402439024394</v>
      </c>
      <c r="Q92" s="155">
        <f t="shared" si="23"/>
        <v>0.30476621341463417</v>
      </c>
      <c r="R92" s="155">
        <f t="shared" si="24"/>
        <v>0.1</v>
      </c>
      <c r="S92" s="155">
        <f t="shared" si="25"/>
        <v>0.38300606463414644</v>
      </c>
      <c r="T92" s="155">
        <f t="shared" si="26"/>
        <v>0.30476621341463417</v>
      </c>
      <c r="U92" s="155">
        <f t="shared" si="27"/>
        <v>0.31680164756097562</v>
      </c>
      <c r="W92" s="155">
        <f t="shared" si="28"/>
        <v>-0.24406763717212679</v>
      </c>
      <c r="X92" s="157">
        <f t="shared" si="29"/>
        <v>6.0698576242507379E-2</v>
      </c>
      <c r="Y92" s="155">
        <f t="shared" si="30"/>
        <v>6.0698576242507379E-2</v>
      </c>
      <c r="AA92" s="85">
        <f>'Price Deck'!R86/'Price Deck'!M86</f>
        <v>72.560975609756099</v>
      </c>
      <c r="AB92" s="85">
        <f t="shared" si="31"/>
        <v>6028.5806188148545</v>
      </c>
      <c r="AC92" s="85">
        <f t="shared" si="32"/>
        <v>365.92626032523577</v>
      </c>
      <c r="AD92" s="85">
        <f t="shared" si="33"/>
        <v>4.4043479102794993</v>
      </c>
    </row>
    <row r="93" spans="1:30">
      <c r="A93" s="164" t="str">
        <f>'Price Deck'!A87</f>
        <v>01/2026</v>
      </c>
      <c r="B93" s="51">
        <f>'Liquids Type Curve'!A100</f>
        <v>6.50522413211998</v>
      </c>
      <c r="C93" s="51">
        <f>'Liquids Type Curve'!B100</f>
        <v>78.062689585439756</v>
      </c>
      <c r="D93" s="51">
        <f>'Liquids Type Curve'!C100</f>
        <v>11.734199308130824</v>
      </c>
      <c r="E93" s="51">
        <f>'Liquids Type Curve'!D100</f>
        <v>356.91522895564594</v>
      </c>
      <c r="F93" s="51">
        <f>'Liquids Type Curve'!E100</f>
        <v>89183.492683832024</v>
      </c>
      <c r="G93" s="39"/>
      <c r="H93" s="51">
        <f t="shared" si="17"/>
        <v>6.50522413211998</v>
      </c>
      <c r="I93" s="39">
        <f t="shared" si="18"/>
        <v>78.062689585439756</v>
      </c>
      <c r="J93" s="51">
        <f t="shared" si="19"/>
        <v>2.6988658408700896</v>
      </c>
      <c r="K93" s="51">
        <f t="shared" si="20"/>
        <v>82.090502659798574</v>
      </c>
      <c r="L93" s="51">
        <f t="shared" si="21"/>
        <v>20512.203317281368</v>
      </c>
      <c r="M93" s="39"/>
      <c r="N93" s="51">
        <f t="shared" si="22"/>
        <v>13.051369305828258</v>
      </c>
      <c r="O93" s="85">
        <f>('Price Deck'!R87/$B$2)/'Price Deck'!M87</f>
        <v>456.39402439024394</v>
      </c>
      <c r="Q93" s="155">
        <f t="shared" si="23"/>
        <v>0.30476621341463417</v>
      </c>
      <c r="R93" s="155">
        <f t="shared" si="24"/>
        <v>0.1</v>
      </c>
      <c r="S93" s="155">
        <f t="shared" si="25"/>
        <v>0.38300606463414644</v>
      </c>
      <c r="T93" s="155">
        <f t="shared" si="26"/>
        <v>0.30476621341463417</v>
      </c>
      <c r="U93" s="155">
        <f t="shared" si="27"/>
        <v>0.31680164756097562</v>
      </c>
      <c r="W93" s="155">
        <f t="shared" si="28"/>
        <v>-0.24428065143713187</v>
      </c>
      <c r="X93" s="157">
        <f t="shared" si="29"/>
        <v>6.0485561977502295E-2</v>
      </c>
      <c r="Y93" s="155">
        <f t="shared" si="30"/>
        <v>6.0485561977502295E-2</v>
      </c>
      <c r="AA93" s="85">
        <f>'Price Deck'!R87/'Price Deck'!M87</f>
        <v>72.560975609756099</v>
      </c>
      <c r="AB93" s="85">
        <f t="shared" si="31"/>
        <v>5956.566961290262</v>
      </c>
      <c r="AC93" s="85">
        <f t="shared" si="32"/>
        <v>360.28630011026468</v>
      </c>
      <c r="AD93" s="85">
        <f t="shared" si="33"/>
        <v>4.3888913873919346</v>
      </c>
    </row>
    <row r="94" spans="1:30">
      <c r="A94" s="164" t="str">
        <f>'Price Deck'!A88</f>
        <v>02/2026</v>
      </c>
      <c r="B94" s="51">
        <f>'Liquids Type Curve'!A101</f>
        <v>6.588557465453313</v>
      </c>
      <c r="C94" s="51">
        <f>'Liquids Type Curve'!B101</f>
        <v>79.062689585439756</v>
      </c>
      <c r="D94" s="51">
        <f>'Liquids Type Curve'!C101</f>
        <v>11.595803552167947</v>
      </c>
      <c r="E94" s="51">
        <f>'Liquids Type Curve'!D101</f>
        <v>352.70569137844171</v>
      </c>
      <c r="F94" s="51">
        <f>'Liquids Type Curve'!E101</f>
        <v>89536.198375210472</v>
      </c>
      <c r="G94" s="39"/>
      <c r="H94" s="51">
        <f t="shared" si="17"/>
        <v>6.588557465453313</v>
      </c>
      <c r="I94" s="39">
        <f t="shared" si="18"/>
        <v>79.062689585439756</v>
      </c>
      <c r="J94" s="51">
        <f t="shared" si="19"/>
        <v>2.667034816998628</v>
      </c>
      <c r="K94" s="51">
        <f t="shared" si="20"/>
        <v>81.122309017041601</v>
      </c>
      <c r="L94" s="51">
        <f t="shared" si="21"/>
        <v>20593.32562629841</v>
      </c>
      <c r="M94" s="39"/>
      <c r="N94" s="51">
        <f t="shared" si="22"/>
        <v>12.897438554014691</v>
      </c>
      <c r="O94" s="85">
        <f>('Price Deck'!R88/$B$2)/'Price Deck'!M88</f>
        <v>456.39402439024394</v>
      </c>
      <c r="Q94" s="155">
        <f t="shared" si="23"/>
        <v>0.30476621341463417</v>
      </c>
      <c r="R94" s="155">
        <f t="shared" si="24"/>
        <v>0.1</v>
      </c>
      <c r="S94" s="155">
        <f t="shared" si="25"/>
        <v>0.38300606463414644</v>
      </c>
      <c r="T94" s="155">
        <f t="shared" si="26"/>
        <v>0.30476621341463417</v>
      </c>
      <c r="U94" s="155">
        <f t="shared" si="27"/>
        <v>0.31680164756097562</v>
      </c>
      <c r="W94" s="155">
        <f t="shared" si="28"/>
        <v>-0.24448845795208018</v>
      </c>
      <c r="X94" s="157">
        <f t="shared" si="29"/>
        <v>6.0277755462553984E-2</v>
      </c>
      <c r="Y94" s="155">
        <f t="shared" si="30"/>
        <v>6.0277755462553984E-2</v>
      </c>
      <c r="AA94" s="85">
        <f>'Price Deck'!R88/'Price Deck'!M88</f>
        <v>72.560975609756099</v>
      </c>
      <c r="AB94" s="85">
        <f t="shared" si="31"/>
        <v>5886.313885992653</v>
      </c>
      <c r="AC94" s="85">
        <f t="shared" si="32"/>
        <v>354.81378899570103</v>
      </c>
      <c r="AD94" s="85">
        <f t="shared" si="33"/>
        <v>4.3738127439292223</v>
      </c>
    </row>
    <row r="95" spans="1:30">
      <c r="A95" s="164" t="str">
        <f>'Price Deck'!A89</f>
        <v>03/2026</v>
      </c>
      <c r="B95" s="51">
        <f>'Liquids Type Curve'!A102</f>
        <v>6.671890798786646</v>
      </c>
      <c r="C95" s="51">
        <f>'Liquids Type Curve'!B102</f>
        <v>80.062689585439756</v>
      </c>
      <c r="D95" s="51">
        <f>'Liquids Type Curve'!C102</f>
        <v>11.460749002302375</v>
      </c>
      <c r="E95" s="51">
        <f>'Liquids Type Curve'!D102</f>
        <v>348.59778215336394</v>
      </c>
      <c r="F95" s="51">
        <f>'Liquids Type Curve'!E102</f>
        <v>89884.796157363831</v>
      </c>
      <c r="G95" s="39"/>
      <c r="H95" s="51">
        <f t="shared" si="17"/>
        <v>6.671890798786646</v>
      </c>
      <c r="I95" s="39">
        <f t="shared" si="18"/>
        <v>80.062689585439756</v>
      </c>
      <c r="J95" s="51">
        <f t="shared" si="19"/>
        <v>2.6359722705295465</v>
      </c>
      <c r="K95" s="51">
        <f t="shared" si="20"/>
        <v>80.177489895273709</v>
      </c>
      <c r="L95" s="51">
        <f t="shared" si="21"/>
        <v>20673.503116193682</v>
      </c>
      <c r="M95" s="39"/>
      <c r="N95" s="51">
        <f t="shared" si="22"/>
        <v>12.747224060426994</v>
      </c>
      <c r="O95" s="85">
        <f>('Price Deck'!R89/$B$2)/'Price Deck'!M89</f>
        <v>456.39402439024394</v>
      </c>
      <c r="Q95" s="155">
        <f t="shared" si="23"/>
        <v>0.30476621341463417</v>
      </c>
      <c r="R95" s="155">
        <f t="shared" si="24"/>
        <v>0.1</v>
      </c>
      <c r="S95" s="155">
        <f t="shared" si="25"/>
        <v>0.38300606463414644</v>
      </c>
      <c r="T95" s="155">
        <f t="shared" si="26"/>
        <v>0.30476621341463417</v>
      </c>
      <c r="U95" s="155">
        <f t="shared" si="27"/>
        <v>0.31680164756097562</v>
      </c>
      <c r="W95" s="155">
        <f t="shared" si="28"/>
        <v>-0.24469124751842358</v>
      </c>
      <c r="X95" s="157">
        <f t="shared" si="29"/>
        <v>6.0074965896210586E-2</v>
      </c>
      <c r="Y95" s="155">
        <f t="shared" si="30"/>
        <v>6.0074965896210586E-2</v>
      </c>
      <c r="AA95" s="85">
        <f>'Price Deck'!R89/'Price Deck'!M89</f>
        <v>72.560975609756099</v>
      </c>
      <c r="AB95" s="85">
        <f t="shared" si="31"/>
        <v>5817.7568887424213</v>
      </c>
      <c r="AC95" s="85">
        <f t="shared" si="32"/>
        <v>349.50154668364519</v>
      </c>
      <c r="AD95" s="85">
        <f t="shared" si="33"/>
        <v>4.3590981351518661</v>
      </c>
    </row>
    <row r="96" spans="1:30">
      <c r="A96" s="164" t="str">
        <f>'Price Deck'!A90</f>
        <v>04/2026</v>
      </c>
      <c r="B96" s="51">
        <f>'Liquids Type Curve'!A103</f>
        <v>6.7552241321199791</v>
      </c>
      <c r="C96" s="51">
        <f>'Liquids Type Curve'!B103</f>
        <v>81.062689585439756</v>
      </c>
      <c r="D96" s="51">
        <f>'Liquids Type Curve'!C103</f>
        <v>11.328914754257504</v>
      </c>
      <c r="E96" s="51">
        <f>'Liquids Type Curve'!D103</f>
        <v>344.58782377533242</v>
      </c>
      <c r="F96" s="51">
        <f>'Liquids Type Curve'!E103</f>
        <v>90229.383981139166</v>
      </c>
      <c r="G96" s="39"/>
      <c r="H96" s="51">
        <f t="shared" si="17"/>
        <v>6.7552241321199791</v>
      </c>
      <c r="I96" s="39">
        <f t="shared" si="18"/>
        <v>81.062689585439756</v>
      </c>
      <c r="J96" s="51">
        <f t="shared" si="19"/>
        <v>2.6056503934792259</v>
      </c>
      <c r="K96" s="51">
        <f t="shared" si="20"/>
        <v>79.255199468326467</v>
      </c>
      <c r="L96" s="51">
        <f t="shared" si="21"/>
        <v>20752.758315662009</v>
      </c>
      <c r="M96" s="39"/>
      <c r="N96" s="51">
        <f t="shared" si="22"/>
        <v>12.6005913492204</v>
      </c>
      <c r="O96" s="85">
        <f>('Price Deck'!R90/$B$2)/'Price Deck'!M90</f>
        <v>456.39402439024394</v>
      </c>
      <c r="Q96" s="155">
        <f t="shared" si="23"/>
        <v>0.30476621341463417</v>
      </c>
      <c r="R96" s="155">
        <f t="shared" si="24"/>
        <v>0.1</v>
      </c>
      <c r="S96" s="155">
        <f t="shared" si="25"/>
        <v>0.38300606463414644</v>
      </c>
      <c r="T96" s="155">
        <f t="shared" si="26"/>
        <v>0.30476621341463417</v>
      </c>
      <c r="U96" s="155">
        <f t="shared" si="27"/>
        <v>0.31680164756097562</v>
      </c>
      <c r="W96" s="155">
        <f t="shared" si="28"/>
        <v>-0.24488920167855249</v>
      </c>
      <c r="X96" s="157">
        <f t="shared" si="29"/>
        <v>5.9877011736081676E-2</v>
      </c>
      <c r="Y96" s="155">
        <f t="shared" si="30"/>
        <v>5.9877011736081676E-2</v>
      </c>
      <c r="AA96" s="85">
        <f>'Price Deck'!R90/'Price Deck'!M90</f>
        <v>72.560975609756099</v>
      </c>
      <c r="AB96" s="85">
        <f t="shared" si="31"/>
        <v>5750.8345955675914</v>
      </c>
      <c r="AC96" s="85">
        <f t="shared" si="32"/>
        <v>344.34279057106517</v>
      </c>
      <c r="AD96" s="85">
        <f t="shared" si="33"/>
        <v>4.3447343881669021</v>
      </c>
    </row>
    <row r="97" spans="1:30">
      <c r="A97" s="164" t="str">
        <f>'Price Deck'!A91</f>
        <v>05/2026</v>
      </c>
      <c r="B97" s="51">
        <f>'Liquids Type Curve'!A104</f>
        <v>6.8385574654533121</v>
      </c>
      <c r="C97" s="51">
        <f>'Liquids Type Curve'!B104</f>
        <v>82.062689585439742</v>
      </c>
      <c r="D97" s="51">
        <f>'Liquids Type Curve'!C104</f>
        <v>11.200185699377407</v>
      </c>
      <c r="E97" s="51">
        <f>'Liquids Type Curve'!D104</f>
        <v>340.67231502272949</v>
      </c>
      <c r="F97" s="51">
        <f>'Liquids Type Curve'!E104</f>
        <v>90570.0562961619</v>
      </c>
      <c r="G97" s="39"/>
      <c r="H97" s="51">
        <f t="shared" si="17"/>
        <v>6.8385574654533121</v>
      </c>
      <c r="I97" s="39">
        <f t="shared" si="18"/>
        <v>82.062689585439742</v>
      </c>
      <c r="J97" s="51">
        <f t="shared" si="19"/>
        <v>2.5760427108568038</v>
      </c>
      <c r="K97" s="51">
        <f t="shared" si="20"/>
        <v>78.354632455227787</v>
      </c>
      <c r="L97" s="51">
        <f t="shared" si="21"/>
        <v>20831.112948117239</v>
      </c>
      <c r="M97" s="39"/>
      <c r="N97" s="51">
        <f t="shared" si="22"/>
        <v>12.457412390732262</v>
      </c>
      <c r="O97" s="85">
        <f>('Price Deck'!R91/$B$2)/'Price Deck'!M91</f>
        <v>456.39402439024394</v>
      </c>
      <c r="Q97" s="155">
        <f t="shared" si="23"/>
        <v>0.30476621341463417</v>
      </c>
      <c r="R97" s="155">
        <f t="shared" si="24"/>
        <v>0.1</v>
      </c>
      <c r="S97" s="155">
        <f t="shared" si="25"/>
        <v>0.38300606463414644</v>
      </c>
      <c r="T97" s="155">
        <f t="shared" si="26"/>
        <v>0.30476621341463417</v>
      </c>
      <c r="U97" s="155">
        <f t="shared" si="27"/>
        <v>0.31680164756097562</v>
      </c>
      <c r="W97" s="155">
        <f t="shared" si="28"/>
        <v>-0.24508249327251147</v>
      </c>
      <c r="X97" s="157">
        <f t="shared" si="29"/>
        <v>5.9683720142122698E-2</v>
      </c>
      <c r="Y97" s="155">
        <f t="shared" si="30"/>
        <v>5.9683720142122698E-2</v>
      </c>
      <c r="AA97" s="85">
        <f>'Price Deck'!R91/'Price Deck'!M91</f>
        <v>72.560975609756099</v>
      </c>
      <c r="AB97" s="85">
        <f t="shared" si="31"/>
        <v>5685.4885744951871</v>
      </c>
      <c r="AC97" s="85">
        <f t="shared" si="32"/>
        <v>339.33110895140686</v>
      </c>
      <c r="AD97" s="85">
        <f t="shared" si="33"/>
        <v>4.330708961532074</v>
      </c>
    </row>
    <row r="98" spans="1:30">
      <c r="A98" s="164" t="str">
        <f>'Price Deck'!A92</f>
        <v>06/2026</v>
      </c>
      <c r="B98" s="51">
        <f>'Liquids Type Curve'!A105</f>
        <v>6.9218907987866451</v>
      </c>
      <c r="C98" s="51">
        <f>'Liquids Type Curve'!B105</f>
        <v>83.062689585439742</v>
      </c>
      <c r="D98" s="51">
        <f>'Liquids Type Curve'!C105</f>
        <v>11.074452180353081</v>
      </c>
      <c r="E98" s="51">
        <f>'Liquids Type Curve'!D105</f>
        <v>336.84792048573956</v>
      </c>
      <c r="F98" s="51">
        <f>'Liquids Type Curve'!E105</f>
        <v>90906.904216647643</v>
      </c>
      <c r="G98" s="39"/>
      <c r="H98" s="51">
        <f t="shared" si="17"/>
        <v>6.9218907987866451</v>
      </c>
      <c r="I98" s="39">
        <f t="shared" si="18"/>
        <v>83.062689585439742</v>
      </c>
      <c r="J98" s="51">
        <f t="shared" si="19"/>
        <v>2.5471240014812087</v>
      </c>
      <c r="K98" s="51">
        <f t="shared" si="20"/>
        <v>77.475021711720103</v>
      </c>
      <c r="L98" s="51">
        <f t="shared" si="21"/>
        <v>20908.587969828957</v>
      </c>
      <c r="M98" s="39"/>
      <c r="N98" s="51">
        <f t="shared" si="22"/>
        <v>12.317565218563404</v>
      </c>
      <c r="O98" s="85">
        <f>('Price Deck'!R92/$B$2)/'Price Deck'!M92</f>
        <v>456.39402439024394</v>
      </c>
      <c r="Q98" s="155">
        <f t="shared" si="23"/>
        <v>0.30476621341463417</v>
      </c>
      <c r="R98" s="155">
        <f t="shared" si="24"/>
        <v>0.1</v>
      </c>
      <c r="S98" s="155">
        <f t="shared" si="25"/>
        <v>0.38300606463414644</v>
      </c>
      <c r="T98" s="155">
        <f t="shared" si="26"/>
        <v>0.30476621341463417</v>
      </c>
      <c r="U98" s="155">
        <f t="shared" si="27"/>
        <v>0.31680164756097562</v>
      </c>
      <c r="W98" s="155">
        <f t="shared" si="28"/>
        <v>-0.24527128695493941</v>
      </c>
      <c r="X98" s="157">
        <f t="shared" si="29"/>
        <v>5.9494926459694758E-2</v>
      </c>
      <c r="Y98" s="155">
        <f t="shared" si="30"/>
        <v>5.9494926459694758E-2</v>
      </c>
      <c r="AA98" s="85">
        <f>'Price Deck'!R92/'Price Deck'!M92</f>
        <v>72.560975609756099</v>
      </c>
      <c r="AB98" s="85">
        <f t="shared" si="31"/>
        <v>5621.6631607894469</v>
      </c>
      <c r="AC98" s="85">
        <f t="shared" si="32"/>
        <v>334.46043633234331</v>
      </c>
      <c r="AD98" s="85">
        <f t="shared" si="33"/>
        <v>4.3170099077461437</v>
      </c>
    </row>
    <row r="99" spans="1:30">
      <c r="A99" s="164" t="str">
        <f>'Price Deck'!A93</f>
        <v>07/2026</v>
      </c>
      <c r="B99" s="51">
        <f>'Liquids Type Curve'!A106</f>
        <v>7.0052241321199782</v>
      </c>
      <c r="C99" s="51">
        <f>'Liquids Type Curve'!B106</f>
        <v>84.062689585439742</v>
      </c>
      <c r="D99" s="51">
        <f>'Liquids Type Curve'!C106</f>
        <v>10.951609671253077</v>
      </c>
      <c r="E99" s="51">
        <f>'Liquids Type Curve'!D106</f>
        <v>333.11146083394777</v>
      </c>
      <c r="F99" s="51">
        <f>'Liquids Type Curve'!E106</f>
        <v>91240.015677481584</v>
      </c>
      <c r="G99" s="39"/>
      <c r="H99" s="51">
        <f t="shared" si="17"/>
        <v>7.0052241321199782</v>
      </c>
      <c r="I99" s="39">
        <f t="shared" si="18"/>
        <v>84.062689585439742</v>
      </c>
      <c r="J99" s="51">
        <f t="shared" si="19"/>
        <v>2.5188702243882077</v>
      </c>
      <c r="K99" s="51">
        <f t="shared" si="20"/>
        <v>76.615635991807991</v>
      </c>
      <c r="L99" s="51">
        <f t="shared" si="21"/>
        <v>20985.203605820767</v>
      </c>
      <c r="M99" s="39"/>
      <c r="N99" s="51">
        <f t="shared" si="22"/>
        <v>12.180933573692007</v>
      </c>
      <c r="O99" s="85">
        <f>('Price Deck'!R93/$B$2)/'Price Deck'!M93</f>
        <v>456.39402439024394</v>
      </c>
      <c r="Q99" s="155">
        <f t="shared" si="23"/>
        <v>0.30476621341463417</v>
      </c>
      <c r="R99" s="155">
        <f t="shared" si="24"/>
        <v>0.1</v>
      </c>
      <c r="S99" s="155">
        <f t="shared" si="25"/>
        <v>0.38300606463414644</v>
      </c>
      <c r="T99" s="155">
        <f t="shared" si="26"/>
        <v>0.30476621341463417</v>
      </c>
      <c r="U99" s="155">
        <f t="shared" si="27"/>
        <v>0.31680164756097562</v>
      </c>
      <c r="W99" s="155">
        <f t="shared" si="28"/>
        <v>-0.24545573967551579</v>
      </c>
      <c r="X99" s="157">
        <f t="shared" si="29"/>
        <v>5.931047373911838E-2</v>
      </c>
      <c r="Y99" s="155">
        <f t="shared" si="30"/>
        <v>5.931047373911838E-2</v>
      </c>
      <c r="AA99" s="85">
        <f>'Price Deck'!R93/'Price Deck'!M93</f>
        <v>72.560975609756099</v>
      </c>
      <c r="AB99" s="85">
        <f t="shared" si="31"/>
        <v>5559.3052945275313</v>
      </c>
      <c r="AC99" s="85">
        <f t="shared" si="32"/>
        <v>329.72503067881689</v>
      </c>
      <c r="AD99" s="85">
        <f t="shared" si="33"/>
        <v>4.3036258383872479</v>
      </c>
    </row>
    <row r="100" spans="1:30">
      <c r="A100" s="164" t="str">
        <f>'Price Deck'!A94</f>
        <v>08/2026</v>
      </c>
      <c r="B100" s="51">
        <f>'Liquids Type Curve'!A107</f>
        <v>7.0885574654533112</v>
      </c>
      <c r="C100" s="51">
        <f>'Liquids Type Curve'!B107</f>
        <v>85.062689585439728</v>
      </c>
      <c r="D100" s="51">
        <f>'Liquids Type Curve'!C107</f>
        <v>10.831558479877252</v>
      </c>
      <c r="E100" s="51">
        <f>'Liquids Type Curve'!D107</f>
        <v>329.4599037629331</v>
      </c>
      <c r="F100" s="51">
        <f>'Liquids Type Curve'!E107</f>
        <v>91569.475581244522</v>
      </c>
      <c r="G100" s="39"/>
      <c r="H100" s="51">
        <f t="shared" si="17"/>
        <v>7.0885574654533112</v>
      </c>
      <c r="I100" s="39">
        <f t="shared" si="18"/>
        <v>85.062689585439728</v>
      </c>
      <c r="J100" s="51">
        <f t="shared" si="19"/>
        <v>2.4912584503717681</v>
      </c>
      <c r="K100" s="51">
        <f t="shared" si="20"/>
        <v>75.775777865474609</v>
      </c>
      <c r="L100" s="51">
        <f t="shared" si="21"/>
        <v>21060.979383686241</v>
      </c>
      <c r="M100" s="39"/>
      <c r="N100" s="51">
        <f t="shared" si="22"/>
        <v>12.047406573416422</v>
      </c>
      <c r="O100" s="85">
        <f>('Price Deck'!R94/$B$2)/'Price Deck'!M94</f>
        <v>456.39402439024394</v>
      </c>
      <c r="Q100" s="155">
        <f t="shared" si="23"/>
        <v>0.30476621341463417</v>
      </c>
      <c r="R100" s="155">
        <f t="shared" si="24"/>
        <v>0.1</v>
      </c>
      <c r="S100" s="155">
        <f t="shared" si="25"/>
        <v>0.38300606463414644</v>
      </c>
      <c r="T100" s="155">
        <f t="shared" si="26"/>
        <v>0.30476621341463417</v>
      </c>
      <c r="U100" s="155">
        <f t="shared" si="27"/>
        <v>0.31680164756097562</v>
      </c>
      <c r="W100" s="155">
        <f t="shared" si="28"/>
        <v>-0.24563600112588785</v>
      </c>
      <c r="X100" s="157">
        <f t="shared" si="29"/>
        <v>5.913021228874632E-2</v>
      </c>
      <c r="Y100" s="155">
        <f t="shared" si="30"/>
        <v>5.913021228874632E-2</v>
      </c>
      <c r="AA100" s="85">
        <f>'Price Deck'!R94/'Price Deck'!M94</f>
        <v>72.560975609756099</v>
      </c>
      <c r="AB100" s="85">
        <f t="shared" si="31"/>
        <v>5498.3643695069995</v>
      </c>
      <c r="AC100" s="85">
        <f t="shared" si="32"/>
        <v>325.11945240982772</v>
      </c>
      <c r="AD100" s="85">
        <f t="shared" si="33"/>
        <v>4.2905458916834229</v>
      </c>
    </row>
    <row r="101" spans="1:30">
      <c r="A101" s="164" t="str">
        <f>'Price Deck'!A95</f>
        <v>09/2026</v>
      </c>
      <c r="B101" s="51">
        <f>'Liquids Type Curve'!A108</f>
        <v>7.1718907987866443</v>
      </c>
      <c r="C101" s="51">
        <f>'Liquids Type Curve'!B108</f>
        <v>86.062689585439728</v>
      </c>
      <c r="D101" s="51">
        <f>'Liquids Type Curve'!C108</f>
        <v>10.714203470634567</v>
      </c>
      <c r="E101" s="51">
        <f>'Liquids Type Curve'!D108</f>
        <v>325.89035556513477</v>
      </c>
      <c r="F101" s="51">
        <f>'Liquids Type Curve'!E108</f>
        <v>91895.365936809656</v>
      </c>
      <c r="G101" s="39"/>
      <c r="H101" s="51">
        <f t="shared" si="17"/>
        <v>7.1718907987866443</v>
      </c>
      <c r="I101" s="39">
        <f t="shared" si="18"/>
        <v>86.062689585439728</v>
      </c>
      <c r="J101" s="51">
        <f t="shared" si="19"/>
        <v>2.4642667982459505</v>
      </c>
      <c r="K101" s="51">
        <f t="shared" si="20"/>
        <v>74.954781779981005</v>
      </c>
      <c r="L101" s="51">
        <f t="shared" si="21"/>
        <v>21135.93416546622</v>
      </c>
      <c r="M101" s="39"/>
      <c r="N101" s="51">
        <f t="shared" si="22"/>
        <v>11.916878403125855</v>
      </c>
      <c r="O101" s="85">
        <f>('Price Deck'!R95/$B$2)/'Price Deck'!M95</f>
        <v>456.39402439024394</v>
      </c>
      <c r="Q101" s="155">
        <f t="shared" si="23"/>
        <v>0.30476621341463417</v>
      </c>
      <c r="R101" s="155">
        <f t="shared" si="24"/>
        <v>0.1</v>
      </c>
      <c r="S101" s="155">
        <f t="shared" si="25"/>
        <v>0.38300606463414644</v>
      </c>
      <c r="T101" s="155">
        <f t="shared" si="26"/>
        <v>0.30476621341463417</v>
      </c>
      <c r="U101" s="155">
        <f t="shared" si="27"/>
        <v>0.31680164756097562</v>
      </c>
      <c r="W101" s="155">
        <f t="shared" si="28"/>
        <v>-0.24581221415578011</v>
      </c>
      <c r="X101" s="157">
        <f t="shared" si="29"/>
        <v>5.8953999258854056E-2</v>
      </c>
      <c r="Y101" s="155">
        <f t="shared" si="30"/>
        <v>5.8953999258854056E-2</v>
      </c>
      <c r="AA101" s="85">
        <f>'Price Deck'!R95/'Price Deck'!M95</f>
        <v>72.560975609756099</v>
      </c>
      <c r="AB101" s="85">
        <f t="shared" si="31"/>
        <v>5438.7920925717926</v>
      </c>
      <c r="AC101" s="85">
        <f t="shared" si="32"/>
        <v>320.63854499453879</v>
      </c>
      <c r="AD101" s="85">
        <f t="shared" si="33"/>
        <v>4.2777597023192886</v>
      </c>
    </row>
    <row r="102" spans="1:30">
      <c r="A102" s="164" t="str">
        <f>'Price Deck'!A96</f>
        <v>10/2026</v>
      </c>
      <c r="B102" s="51">
        <f>'Liquids Type Curve'!A109</f>
        <v>7.2552241321199773</v>
      </c>
      <c r="C102" s="51">
        <f>'Liquids Type Curve'!B109</f>
        <v>87.062689585439728</v>
      </c>
      <c r="D102" s="51">
        <f>'Liquids Type Curve'!C109</f>
        <v>10.599453806310406</v>
      </c>
      <c r="E102" s="51">
        <f>'Liquids Type Curve'!D109</f>
        <v>322.40005327527484</v>
      </c>
      <c r="F102" s="51">
        <f>'Liquids Type Curve'!E109</f>
        <v>92217.765990084925</v>
      </c>
      <c r="G102" s="39"/>
      <c r="H102" s="51">
        <f t="shared" si="17"/>
        <v>7.2552241321199773</v>
      </c>
      <c r="I102" s="39">
        <f t="shared" si="18"/>
        <v>87.062689585439728</v>
      </c>
      <c r="J102" s="51">
        <f t="shared" si="19"/>
        <v>2.4378743754513934</v>
      </c>
      <c r="K102" s="51">
        <f t="shared" si="20"/>
        <v>74.152012253313217</v>
      </c>
      <c r="L102" s="51">
        <f t="shared" si="21"/>
        <v>21210.086177719535</v>
      </c>
      <c r="M102" s="39"/>
      <c r="N102" s="51">
        <f t="shared" si="22"/>
        <v>11.789248029080927</v>
      </c>
      <c r="O102" s="85">
        <f>('Price Deck'!R96/$B$2)/'Price Deck'!M96</f>
        <v>456.39402439024394</v>
      </c>
      <c r="Q102" s="155">
        <f t="shared" si="23"/>
        <v>0.30476621341463417</v>
      </c>
      <c r="R102" s="155">
        <f t="shared" si="24"/>
        <v>0.1</v>
      </c>
      <c r="S102" s="155">
        <f t="shared" si="25"/>
        <v>0.38300606463414644</v>
      </c>
      <c r="T102" s="155">
        <f t="shared" si="26"/>
        <v>0.30476621341463417</v>
      </c>
      <c r="U102" s="155">
        <f t="shared" si="27"/>
        <v>0.31680164756097562</v>
      </c>
      <c r="W102" s="155">
        <f t="shared" si="28"/>
        <v>-0.24598451516074074</v>
      </c>
      <c r="X102" s="157">
        <f t="shared" si="29"/>
        <v>5.8781698253893427E-2</v>
      </c>
      <c r="Y102" s="155">
        <f t="shared" si="30"/>
        <v>5.8781698253893427E-2</v>
      </c>
      <c r="AA102" s="85">
        <f>'Price Deck'!R96/'Price Deck'!M96</f>
        <v>72.560975609756099</v>
      </c>
      <c r="AB102" s="85">
        <f t="shared" si="31"/>
        <v>5380.5423525269953</v>
      </c>
      <c r="AC102" s="85">
        <f t="shared" si="32"/>
        <v>316.27741700853574</v>
      </c>
      <c r="AD102" s="85">
        <f t="shared" si="33"/>
        <v>4.2652573733008037</v>
      </c>
    </row>
    <row r="103" spans="1:30">
      <c r="A103" s="164" t="str">
        <f>'Price Deck'!A97</f>
        <v>11/2026</v>
      </c>
      <c r="B103" s="51">
        <f>'Liquids Type Curve'!A110</f>
        <v>7.3385574654533103</v>
      </c>
      <c r="C103" s="51">
        <f>'Liquids Type Curve'!B110</f>
        <v>88.062689585439728</v>
      </c>
      <c r="D103" s="51">
        <f>'Liquids Type Curve'!C110</f>
        <v>10.487222707235683</v>
      </c>
      <c r="E103" s="51">
        <f>'Liquids Type Curve'!D110</f>
        <v>318.98635734508537</v>
      </c>
      <c r="F103" s="51">
        <f>'Liquids Type Curve'!E110</f>
        <v>92536.752347430011</v>
      </c>
      <c r="G103" s="39"/>
      <c r="H103" s="51">
        <f t="shared" si="17"/>
        <v>7.3385574654533103</v>
      </c>
      <c r="I103" s="39">
        <f t="shared" si="18"/>
        <v>88.062689585439728</v>
      </c>
      <c r="J103" s="51">
        <f t="shared" si="19"/>
        <v>2.4120612226642071</v>
      </c>
      <c r="K103" s="51">
        <f t="shared" si="20"/>
        <v>73.366862189369641</v>
      </c>
      <c r="L103" s="51">
        <f t="shared" si="21"/>
        <v>21283.453039908902</v>
      </c>
      <c r="M103" s="39"/>
      <c r="N103" s="51">
        <f t="shared" si="22"/>
        <v>11.664418930549404</v>
      </c>
      <c r="O103" s="85">
        <f>('Price Deck'!R97/$B$2)/'Price Deck'!M97</f>
        <v>456.39402439024394</v>
      </c>
      <c r="Q103" s="155">
        <f t="shared" si="23"/>
        <v>0.30476621341463417</v>
      </c>
      <c r="R103" s="155">
        <f t="shared" si="24"/>
        <v>0.1</v>
      </c>
      <c r="S103" s="155">
        <f t="shared" si="25"/>
        <v>0.38300606463414644</v>
      </c>
      <c r="T103" s="155">
        <f t="shared" si="26"/>
        <v>0.30476621341463417</v>
      </c>
      <c r="U103" s="155">
        <f t="shared" si="27"/>
        <v>0.31680164756097562</v>
      </c>
      <c r="W103" s="155">
        <f t="shared" si="28"/>
        <v>-0.24615303444375833</v>
      </c>
      <c r="X103" s="157">
        <f t="shared" si="29"/>
        <v>5.861317897087584E-2</v>
      </c>
      <c r="Y103" s="155">
        <f t="shared" si="30"/>
        <v>5.861317897087584E-2</v>
      </c>
      <c r="AA103" s="85">
        <f>'Price Deck'!R97/'Price Deck'!M97</f>
        <v>72.560975609756099</v>
      </c>
      <c r="AB103" s="85">
        <f t="shared" si="31"/>
        <v>5323.5710978871875</v>
      </c>
      <c r="AC103" s="85">
        <f t="shared" si="32"/>
        <v>312.03142552464368</v>
      </c>
      <c r="AD103" s="85">
        <f t="shared" si="33"/>
        <v>4.2530294497159904</v>
      </c>
    </row>
    <row r="104" spans="1:30">
      <c r="A104" s="164" t="str">
        <f>'Price Deck'!A98</f>
        <v>12/2026</v>
      </c>
      <c r="B104" s="51">
        <f>'Liquids Type Curve'!A111</f>
        <v>7.4218907987866434</v>
      </c>
      <c r="C104" s="51">
        <f>'Liquids Type Curve'!B111</f>
        <v>89.062689585439728</v>
      </c>
      <c r="D104" s="51">
        <f>'Liquids Type Curve'!C111</f>
        <v>10.377427226502917</v>
      </c>
      <c r="E104" s="51">
        <f>'Liquids Type Curve'!D111</f>
        <v>315.64674480613041</v>
      </c>
      <c r="F104" s="51">
        <f>'Liquids Type Curve'!E111</f>
        <v>92852.399092236141</v>
      </c>
      <c r="G104" s="39"/>
      <c r="H104" s="51">
        <f t="shared" si="17"/>
        <v>7.4218907987866434</v>
      </c>
      <c r="I104" s="39">
        <f t="shared" si="18"/>
        <v>89.062689585439728</v>
      </c>
      <c r="J104" s="51">
        <f t="shared" si="19"/>
        <v>2.3868082620956708</v>
      </c>
      <c r="K104" s="51">
        <f t="shared" si="20"/>
        <v>72.598751305410005</v>
      </c>
      <c r="L104" s="51">
        <f t="shared" si="21"/>
        <v>21356.051791214315</v>
      </c>
      <c r="M104" s="39"/>
      <c r="N104" s="51">
        <f t="shared" si="22"/>
        <v>11.542298849790138</v>
      </c>
      <c r="O104" s="85">
        <f>('Price Deck'!R98/$B$2)/'Price Deck'!M98</f>
        <v>456.39402439024394</v>
      </c>
      <c r="Q104" s="155">
        <f t="shared" si="23"/>
        <v>0.30476621341463417</v>
      </c>
      <c r="R104" s="155">
        <f t="shared" si="24"/>
        <v>0.1</v>
      </c>
      <c r="S104" s="155">
        <f t="shared" si="25"/>
        <v>0.38300606463414644</v>
      </c>
      <c r="T104" s="155">
        <f t="shared" si="26"/>
        <v>0.30476621341463417</v>
      </c>
      <c r="U104" s="155">
        <f t="shared" si="27"/>
        <v>0.31680164756097562</v>
      </c>
      <c r="W104" s="155">
        <f t="shared" si="28"/>
        <v>-0.24631789655278333</v>
      </c>
      <c r="X104" s="157">
        <f t="shared" si="29"/>
        <v>5.8448316861850841E-2</v>
      </c>
      <c r="Y104" s="155">
        <f t="shared" si="30"/>
        <v>5.8448316861850841E-2</v>
      </c>
      <c r="AA104" s="85">
        <f>'Price Deck'!R98/'Price Deck'!M98</f>
        <v>72.560975609756099</v>
      </c>
      <c r="AB104" s="85">
        <f t="shared" si="31"/>
        <v>5267.8362227706039</v>
      </c>
      <c r="AC104" s="85">
        <f t="shared" si="32"/>
        <v>307.8961607248317</v>
      </c>
      <c r="AD104" s="85">
        <f t="shared" si="33"/>
        <v>4.2410668942440548</v>
      </c>
    </row>
    <row r="105" spans="1:30">
      <c r="A105" s="164" t="str">
        <f>'Price Deck'!A99</f>
        <v>01/2027</v>
      </c>
      <c r="B105" s="51">
        <f>'Liquids Type Curve'!A112</f>
        <v>7.5052241321199764</v>
      </c>
      <c r="C105" s="51">
        <f>'Liquids Type Curve'!B112</f>
        <v>90.062689585439713</v>
      </c>
      <c r="D105" s="51">
        <f>'Liquids Type Curve'!C112</f>
        <v>10.269988039993605</v>
      </c>
      <c r="E105" s="51">
        <f>'Liquids Type Curve'!D112</f>
        <v>312.3788028831388</v>
      </c>
      <c r="F105" s="51">
        <f>'Liquids Type Curve'!E112</f>
        <v>93164.777895119274</v>
      </c>
      <c r="G105" s="39"/>
      <c r="H105" s="51">
        <f t="shared" si="17"/>
        <v>7.5052241321199764</v>
      </c>
      <c r="I105" s="39">
        <f t="shared" si="18"/>
        <v>90.062689585439713</v>
      </c>
      <c r="J105" s="51">
        <f t="shared" si="19"/>
        <v>2.3620972491985293</v>
      </c>
      <c r="K105" s="51">
        <f t="shared" si="20"/>
        <v>71.847124663121932</v>
      </c>
      <c r="L105" s="51">
        <f t="shared" si="21"/>
        <v>21427.898915877435</v>
      </c>
      <c r="M105" s="39"/>
      <c r="N105" s="51">
        <f t="shared" si="22"/>
        <v>11.422799558510912</v>
      </c>
      <c r="O105" s="85">
        <f>('Price Deck'!R99/$B$2)/'Price Deck'!M99</f>
        <v>486.70315154999997</v>
      </c>
      <c r="Q105" s="155">
        <f t="shared" si="23"/>
        <v>0.32143623335249999</v>
      </c>
      <c r="R105" s="155">
        <f t="shared" si="24"/>
        <v>0.1</v>
      </c>
      <c r="S105" s="155">
        <f t="shared" si="25"/>
        <v>0.41361828306549997</v>
      </c>
      <c r="T105" s="155">
        <f t="shared" si="26"/>
        <v>0.32143623335249999</v>
      </c>
      <c r="U105" s="155">
        <f t="shared" si="27"/>
        <v>0.32619747698049995</v>
      </c>
      <c r="W105" s="155">
        <f t="shared" si="28"/>
        <v>-0.24647922059601027</v>
      </c>
      <c r="X105" s="157">
        <f t="shared" si="29"/>
        <v>7.4957012756489722E-2</v>
      </c>
      <c r="Y105" s="155">
        <f t="shared" si="30"/>
        <v>7.4957012756489722E-2</v>
      </c>
      <c r="AA105" s="85">
        <f>'Price Deck'!R99/'Price Deck'!M99</f>
        <v>77.379749999999987</v>
      </c>
      <c r="AB105" s="85">
        <f t="shared" si="31"/>
        <v>5559.5125446512084</v>
      </c>
      <c r="AC105" s="85">
        <f t="shared" si="32"/>
        <v>416.72445272928525</v>
      </c>
      <c r="AD105" s="85">
        <f t="shared" si="33"/>
        <v>5.800154907843984</v>
      </c>
    </row>
    <row r="106" spans="1:30">
      <c r="A106" s="164" t="str">
        <f>'Price Deck'!A100</f>
        <v>02/2027</v>
      </c>
      <c r="B106" s="51">
        <f>'Liquids Type Curve'!A113</f>
        <v>7.5885574654533094</v>
      </c>
      <c r="C106" s="51">
        <f>'Liquids Type Curve'!B113</f>
        <v>91.062689585439713</v>
      </c>
      <c r="D106" s="51">
        <f>'Liquids Type Curve'!C113</f>
        <v>10.164829250088889</v>
      </c>
      <c r="E106" s="51">
        <f>'Liquids Type Curve'!D113</f>
        <v>309.18022302353705</v>
      </c>
      <c r="F106" s="51">
        <f>'Liquids Type Curve'!E113</f>
        <v>93473.958118142808</v>
      </c>
      <c r="G106" s="39"/>
      <c r="H106" s="51">
        <f t="shared" si="17"/>
        <v>7.5885574654533094</v>
      </c>
      <c r="I106" s="39">
        <f t="shared" si="18"/>
        <v>91.062689585439713</v>
      </c>
      <c r="J106" s="51">
        <f t="shared" si="19"/>
        <v>2.3379107275204447</v>
      </c>
      <c r="K106" s="51">
        <f t="shared" si="20"/>
        <v>71.111451295413531</v>
      </c>
      <c r="L106" s="51">
        <f t="shared" si="21"/>
        <v>21499.010367172847</v>
      </c>
      <c r="M106" s="39"/>
      <c r="N106" s="51">
        <f t="shared" si="22"/>
        <v>11.305836639545539</v>
      </c>
      <c r="O106" s="85">
        <f>('Price Deck'!R100/$B$2)/'Price Deck'!M100</f>
        <v>486.70315154999997</v>
      </c>
      <c r="Q106" s="155">
        <f t="shared" si="23"/>
        <v>0.32143623335249999</v>
      </c>
      <c r="R106" s="155">
        <f t="shared" si="24"/>
        <v>0.1</v>
      </c>
      <c r="S106" s="155">
        <f t="shared" si="25"/>
        <v>0.41361828306549997</v>
      </c>
      <c r="T106" s="155">
        <f t="shared" si="26"/>
        <v>0.32143623335249999</v>
      </c>
      <c r="U106" s="155">
        <f t="shared" si="27"/>
        <v>0.32619747698049995</v>
      </c>
      <c r="W106" s="155">
        <f t="shared" si="28"/>
        <v>-0.24663712053661355</v>
      </c>
      <c r="X106" s="157">
        <f t="shared" si="29"/>
        <v>7.4799112815886443E-2</v>
      </c>
      <c r="Y106" s="155">
        <f t="shared" si="30"/>
        <v>7.4799112815886443E-2</v>
      </c>
      <c r="AA106" s="85">
        <f>'Price Deck'!R100/'Price Deck'!M100</f>
        <v>77.379749999999987</v>
      </c>
      <c r="AB106" s="85">
        <f t="shared" si="31"/>
        <v>5502.5863233762739</v>
      </c>
      <c r="AC106" s="85">
        <f t="shared" si="32"/>
        <v>411.58857518137569</v>
      </c>
      <c r="AD106" s="85">
        <f t="shared" si="33"/>
        <v>5.7879366499150873</v>
      </c>
    </row>
    <row r="107" spans="1:30">
      <c r="A107" s="164" t="str">
        <f>'Price Deck'!A101</f>
        <v>03/2027</v>
      </c>
      <c r="B107" s="51">
        <f>'Liquids Type Curve'!A114</f>
        <v>7.6718907987866425</v>
      </c>
      <c r="C107" s="51">
        <f>'Liquids Type Curve'!B114</f>
        <v>92.062689585439713</v>
      </c>
      <c r="D107" s="51">
        <f>'Liquids Type Curve'!C114</f>
        <v>10.061878202033057</v>
      </c>
      <c r="E107" s="51">
        <f>'Liquids Type Curve'!D114</f>
        <v>306.04879531183883</v>
      </c>
      <c r="F107" s="51">
        <f>'Liquids Type Curve'!E114</f>
        <v>93780.00691345465</v>
      </c>
      <c r="G107" s="39"/>
      <c r="H107" s="51">
        <f t="shared" si="17"/>
        <v>7.6718907987866425</v>
      </c>
      <c r="I107" s="39">
        <f t="shared" si="18"/>
        <v>92.062689585439713</v>
      </c>
      <c r="J107" s="51">
        <f t="shared" si="19"/>
        <v>2.3142319864676031</v>
      </c>
      <c r="K107" s="51">
        <f t="shared" si="20"/>
        <v>70.391222921722928</v>
      </c>
      <c r="L107" s="51">
        <f t="shared" si="21"/>
        <v>21569.401590094571</v>
      </c>
      <c r="M107" s="39"/>
      <c r="N107" s="51">
        <f t="shared" si="22"/>
        <v>11.191329282604046</v>
      </c>
      <c r="O107" s="85">
        <f>('Price Deck'!R101/$B$2)/'Price Deck'!M101</f>
        <v>486.70315154999997</v>
      </c>
      <c r="Q107" s="155">
        <f t="shared" si="23"/>
        <v>0.32143623335249999</v>
      </c>
      <c r="R107" s="155">
        <f t="shared" si="24"/>
        <v>0.1</v>
      </c>
      <c r="S107" s="155">
        <f t="shared" si="25"/>
        <v>0.41361828306549997</v>
      </c>
      <c r="T107" s="155">
        <f t="shared" si="26"/>
        <v>0.32143623335249999</v>
      </c>
      <c r="U107" s="155">
        <f t="shared" si="27"/>
        <v>0.32619747698049995</v>
      </c>
      <c r="W107" s="155">
        <f t="shared" si="28"/>
        <v>-0.24679170546848456</v>
      </c>
      <c r="X107" s="157">
        <f t="shared" si="29"/>
        <v>7.4644527884015432E-2</v>
      </c>
      <c r="Y107" s="155">
        <f t="shared" si="30"/>
        <v>7.4644527884015432E-2</v>
      </c>
      <c r="AA107" s="85">
        <f>'Price Deck'!R101/'Price Deck'!M101</f>
        <v>77.379749999999987</v>
      </c>
      <c r="AB107" s="85">
        <f t="shared" si="31"/>
        <v>5446.855231877189</v>
      </c>
      <c r="AC107" s="85">
        <f t="shared" si="32"/>
        <v>406.57793723605215</v>
      </c>
      <c r="AD107" s="85">
        <f t="shared" si="33"/>
        <v>5.7759749065331416</v>
      </c>
    </row>
    <row r="108" spans="1:30">
      <c r="A108" s="164" t="str">
        <f>'Price Deck'!A102</f>
        <v>04/2027</v>
      </c>
      <c r="B108" s="51">
        <f>'Liquids Type Curve'!A115</f>
        <v>7.7552241321199755</v>
      </c>
      <c r="C108" s="51">
        <f>'Liquids Type Curve'!B115</f>
        <v>93.062689585439699</v>
      </c>
      <c r="D108" s="51">
        <f>'Liquids Type Curve'!C115</f>
        <v>9.9610653120067525</v>
      </c>
      <c r="E108" s="51">
        <f>'Liquids Type Curve'!D115</f>
        <v>302.98240324020537</v>
      </c>
      <c r="F108" s="51">
        <f>'Liquids Type Curve'!E115</f>
        <v>94082.98931669486</v>
      </c>
      <c r="G108" s="39"/>
      <c r="H108" s="51">
        <f t="shared" si="17"/>
        <v>7.7552241321199755</v>
      </c>
      <c r="I108" s="39">
        <f t="shared" si="18"/>
        <v>93.062689585439699</v>
      </c>
      <c r="J108" s="51">
        <f t="shared" si="19"/>
        <v>2.291045021761553</v>
      </c>
      <c r="K108" s="51">
        <f t="shared" si="20"/>
        <v>69.685952745247235</v>
      </c>
      <c r="L108" s="51">
        <f t="shared" si="21"/>
        <v>21639.087542839818</v>
      </c>
      <c r="M108" s="39"/>
      <c r="N108" s="51">
        <f t="shared" si="22"/>
        <v>11.079200093047033</v>
      </c>
      <c r="O108" s="85">
        <f>('Price Deck'!R102/$B$2)/'Price Deck'!M102</f>
        <v>486.70315154999997</v>
      </c>
      <c r="Q108" s="155">
        <f t="shared" si="23"/>
        <v>0.32143623335249999</v>
      </c>
      <c r="R108" s="155">
        <f t="shared" si="24"/>
        <v>0.1</v>
      </c>
      <c r="S108" s="155">
        <f t="shared" si="25"/>
        <v>0.41361828306549997</v>
      </c>
      <c r="T108" s="155">
        <f t="shared" si="26"/>
        <v>0.32143623335249999</v>
      </c>
      <c r="U108" s="155">
        <f t="shared" si="27"/>
        <v>0.32619747698049995</v>
      </c>
      <c r="W108" s="155">
        <f t="shared" si="28"/>
        <v>-0.24694307987438652</v>
      </c>
      <c r="X108" s="157">
        <f t="shared" si="29"/>
        <v>7.4493153478113472E-2</v>
      </c>
      <c r="Y108" s="155">
        <f t="shared" si="30"/>
        <v>7.4493153478113472E-2</v>
      </c>
      <c r="AA108" s="85">
        <f>'Price Deck'!R102/'Price Deck'!M102</f>
        <v>77.379749999999987</v>
      </c>
      <c r="AB108" s="85">
        <f t="shared" si="31"/>
        <v>5392.2816019390439</v>
      </c>
      <c r="AC108" s="85">
        <f t="shared" si="32"/>
        <v>401.6880609704528</v>
      </c>
      <c r="AD108" s="85">
        <f t="shared" si="33"/>
        <v>5.7642615928480501</v>
      </c>
    </row>
    <row r="109" spans="1:30">
      <c r="A109" s="164" t="str">
        <f>'Price Deck'!A103</f>
        <v>05/2027</v>
      </c>
      <c r="B109" s="51">
        <f>'Liquids Type Curve'!A116</f>
        <v>7.8385574654533086</v>
      </c>
      <c r="C109" s="51">
        <f>'Liquids Type Curve'!B116</f>
        <v>94.062689585439699</v>
      </c>
      <c r="D109" s="51">
        <f>'Liquids Type Curve'!C116</f>
        <v>9.8623239060467895</v>
      </c>
      <c r="E109" s="51">
        <f>'Liquids Type Curve'!D116</f>
        <v>299.97901880892317</v>
      </c>
      <c r="F109" s="51">
        <f>'Liquids Type Curve'!E116</f>
        <v>94382.968335503785</v>
      </c>
      <c r="G109" s="39"/>
      <c r="H109" s="51">
        <f t="shared" si="17"/>
        <v>7.8385574654533086</v>
      </c>
      <c r="I109" s="39">
        <f t="shared" si="18"/>
        <v>94.062689585439699</v>
      </c>
      <c r="J109" s="51">
        <f t="shared" si="19"/>
        <v>2.2683344983907618</v>
      </c>
      <c r="K109" s="51">
        <f t="shared" si="20"/>
        <v>68.995174326052336</v>
      </c>
      <c r="L109" s="51">
        <f t="shared" si="21"/>
        <v>21708.082717165871</v>
      </c>
      <c r="M109" s="39"/>
      <c r="N109" s="51">
        <f t="shared" si="22"/>
        <v>10.969374912724147</v>
      </c>
      <c r="O109" s="85">
        <f>('Price Deck'!R103/$B$2)/'Price Deck'!M103</f>
        <v>486.70315154999997</v>
      </c>
      <c r="Q109" s="155">
        <f t="shared" si="23"/>
        <v>0.32143623335249999</v>
      </c>
      <c r="R109" s="155">
        <f t="shared" si="24"/>
        <v>0.1</v>
      </c>
      <c r="S109" s="155">
        <f t="shared" si="25"/>
        <v>0.41361828306549997</v>
      </c>
      <c r="T109" s="155">
        <f t="shared" si="26"/>
        <v>0.32143623335249999</v>
      </c>
      <c r="U109" s="155">
        <f t="shared" si="27"/>
        <v>0.32619747698049995</v>
      </c>
      <c r="W109" s="155">
        <f t="shared" si="28"/>
        <v>-0.24709134386782244</v>
      </c>
      <c r="X109" s="157">
        <f t="shared" si="29"/>
        <v>7.4344889484677545E-2</v>
      </c>
      <c r="Y109" s="155">
        <f t="shared" si="30"/>
        <v>7.4344889484677545E-2</v>
      </c>
      <c r="AA109" s="85">
        <f>'Price Deck'!R103/'Price Deck'!M103</f>
        <v>77.379749999999987</v>
      </c>
      <c r="AB109" s="85">
        <f t="shared" si="31"/>
        <v>5338.8293405563472</v>
      </c>
      <c r="AC109" s="85">
        <f t="shared" si="32"/>
        <v>396.91467730121553</v>
      </c>
      <c r="AD109" s="85">
        <f t="shared" si="33"/>
        <v>5.7527889621019765</v>
      </c>
    </row>
    <row r="110" spans="1:30">
      <c r="A110" s="164" t="str">
        <f>'Price Deck'!A104</f>
        <v>06/2027</v>
      </c>
      <c r="B110" s="51">
        <f>'Liquids Type Curve'!A117</f>
        <v>7.9218907987866416</v>
      </c>
      <c r="C110" s="51">
        <f>'Liquids Type Curve'!B117</f>
        <v>95.062689585439699</v>
      </c>
      <c r="D110" s="51">
        <f>'Liquids Type Curve'!C117</f>
        <v>9.7655900690212896</v>
      </c>
      <c r="E110" s="51">
        <f>'Liquids Type Curve'!D117</f>
        <v>297.03669793273093</v>
      </c>
      <c r="F110" s="51">
        <f>'Liquids Type Curve'!E117</f>
        <v>94680.005033436522</v>
      </c>
      <c r="G110" s="39"/>
      <c r="H110" s="51">
        <f t="shared" si="17"/>
        <v>7.9218907987866416</v>
      </c>
      <c r="I110" s="39">
        <f t="shared" si="18"/>
        <v>95.062689585439699</v>
      </c>
      <c r="J110" s="51">
        <f t="shared" si="19"/>
        <v>2.2460857158748966</v>
      </c>
      <c r="K110" s="51">
        <f t="shared" si="20"/>
        <v>68.318440524528114</v>
      </c>
      <c r="L110" s="51">
        <f t="shared" si="21"/>
        <v>21776.401157690401</v>
      </c>
      <c r="M110" s="39"/>
      <c r="N110" s="51">
        <f t="shared" si="22"/>
        <v>10.861782651996585</v>
      </c>
      <c r="O110" s="85">
        <f>('Price Deck'!R104/$B$2)/'Price Deck'!M104</f>
        <v>486.70315154999997</v>
      </c>
      <c r="Q110" s="155">
        <f t="shared" si="23"/>
        <v>0.32143623335249999</v>
      </c>
      <c r="R110" s="155">
        <f t="shared" si="24"/>
        <v>0.1</v>
      </c>
      <c r="S110" s="155">
        <f t="shared" si="25"/>
        <v>0.41361828306549997</v>
      </c>
      <c r="T110" s="155">
        <f t="shared" si="26"/>
        <v>0.32143623335249999</v>
      </c>
      <c r="U110" s="155">
        <f t="shared" si="27"/>
        <v>0.32619747698049995</v>
      </c>
      <c r="W110" s="155">
        <f t="shared" si="28"/>
        <v>-0.24723659341980464</v>
      </c>
      <c r="X110" s="157">
        <f t="shared" si="29"/>
        <v>7.4199639932695349E-2</v>
      </c>
      <c r="Y110" s="155">
        <f t="shared" si="30"/>
        <v>7.4199639932695349E-2</v>
      </c>
      <c r="AA110" s="85">
        <f>'Price Deck'!R104/'Price Deck'!M104</f>
        <v>77.379749999999987</v>
      </c>
      <c r="AB110" s="85">
        <f t="shared" si="31"/>
        <v>5286.4638481778538</v>
      </c>
      <c r="AC110" s="85">
        <f t="shared" si="32"/>
        <v>392.25371405200781</v>
      </c>
      <c r="AD110" s="85">
        <f t="shared" si="33"/>
        <v>5.7415495880819822</v>
      </c>
    </row>
    <row r="111" spans="1:30">
      <c r="A111" s="164" t="str">
        <f>'Price Deck'!A105</f>
        <v>07/2027</v>
      </c>
      <c r="B111" s="51">
        <f>'Liquids Type Curve'!A118</f>
        <v>8.0052241321199755</v>
      </c>
      <c r="C111" s="51">
        <f>'Liquids Type Curve'!B118</f>
        <v>96.062689585439699</v>
      </c>
      <c r="D111" s="51">
        <f>'Liquids Type Curve'!C118</f>
        <v>9.6708025029343307</v>
      </c>
      <c r="E111" s="51">
        <f>'Liquids Type Curve'!D118</f>
        <v>294.15357613091925</v>
      </c>
      <c r="F111" s="51">
        <f>'Liquids Type Curve'!E118</f>
        <v>94974.158609567443</v>
      </c>
      <c r="G111" s="39"/>
      <c r="H111" s="51">
        <f t="shared" si="17"/>
        <v>8.0052241321199755</v>
      </c>
      <c r="I111" s="39">
        <f t="shared" si="18"/>
        <v>96.062689585439699</v>
      </c>
      <c r="J111" s="51">
        <f t="shared" si="19"/>
        <v>2.2242845756748961</v>
      </c>
      <c r="K111" s="51">
        <f t="shared" si="20"/>
        <v>67.655322510111432</v>
      </c>
      <c r="L111" s="51">
        <f t="shared" si="21"/>
        <v>21844.056480200514</v>
      </c>
      <c r="M111" s="39"/>
      <c r="N111" s="51">
        <f t="shared" si="22"/>
        <v>10.756355132136385</v>
      </c>
      <c r="O111" s="85">
        <f>('Price Deck'!R105/$B$2)/'Price Deck'!M105</f>
        <v>486.70315154999997</v>
      </c>
      <c r="Q111" s="155">
        <f t="shared" si="23"/>
        <v>0.32143623335249999</v>
      </c>
      <c r="R111" s="155">
        <f t="shared" si="24"/>
        <v>0.1</v>
      </c>
      <c r="S111" s="155">
        <f t="shared" si="25"/>
        <v>0.41361828306549997</v>
      </c>
      <c r="T111" s="155">
        <f t="shared" si="26"/>
        <v>0.32143623335249999</v>
      </c>
      <c r="U111" s="155">
        <f t="shared" si="27"/>
        <v>0.32619747698049995</v>
      </c>
      <c r="W111" s="155">
        <f t="shared" si="28"/>
        <v>-0.2473789205716159</v>
      </c>
      <c r="X111" s="157">
        <f t="shared" si="29"/>
        <v>7.4057312780884094E-2</v>
      </c>
      <c r="Y111" s="155">
        <f t="shared" si="30"/>
        <v>7.4057312780884094E-2</v>
      </c>
      <c r="AA111" s="85">
        <f>'Price Deck'!R105/'Price Deck'!M105</f>
        <v>77.379749999999987</v>
      </c>
      <c r="AB111" s="85">
        <f t="shared" si="31"/>
        <v>5235.1519420017939</v>
      </c>
      <c r="AC111" s="85">
        <f t="shared" si="32"/>
        <v>387.70128482427964</v>
      </c>
      <c r="AD111" s="85">
        <f t="shared" si="33"/>
        <v>5.7305363486566145</v>
      </c>
    </row>
    <row r="112" spans="1:30">
      <c r="A112" s="164" t="str">
        <f>'Price Deck'!A106</f>
        <v>08/2027</v>
      </c>
      <c r="B112" s="51">
        <f>'Liquids Type Curve'!A119</f>
        <v>8.0885574654533094</v>
      </c>
      <c r="C112" s="51">
        <f>'Liquids Type Curve'!B119</f>
        <v>97.062689585439713</v>
      </c>
      <c r="D112" s="51">
        <f>'Liquids Type Curve'!C119</f>
        <v>9.5779023938933552</v>
      </c>
      <c r="E112" s="51">
        <f>'Liquids Type Curve'!D119</f>
        <v>291.32786448092293</v>
      </c>
      <c r="F112" s="51">
        <f>'Liquids Type Curve'!E119</f>
        <v>95265.486474048361</v>
      </c>
      <c r="G112" s="39"/>
      <c r="H112" s="51">
        <f t="shared" si="17"/>
        <v>8.0885574654533094</v>
      </c>
      <c r="I112" s="39">
        <f t="shared" si="18"/>
        <v>97.062689585439713</v>
      </c>
      <c r="J112" s="51">
        <f t="shared" si="19"/>
        <v>2.2029175505954717</v>
      </c>
      <c r="K112" s="51">
        <f t="shared" si="20"/>
        <v>67.005408830612282</v>
      </c>
      <c r="L112" s="51">
        <f t="shared" si="21"/>
        <v>21911.061889031123</v>
      </c>
      <c r="M112" s="39"/>
      <c r="N112" s="51">
        <f t="shared" si="22"/>
        <v>10.653026937360851</v>
      </c>
      <c r="O112" s="85">
        <f>('Price Deck'!R106/$B$2)/'Price Deck'!M106</f>
        <v>486.70315154999997</v>
      </c>
      <c r="Q112" s="155">
        <f t="shared" si="23"/>
        <v>0.32143623335249999</v>
      </c>
      <c r="R112" s="155">
        <f t="shared" si="24"/>
        <v>0.1</v>
      </c>
      <c r="S112" s="155">
        <f t="shared" si="25"/>
        <v>0.41361828306549997</v>
      </c>
      <c r="T112" s="155">
        <f t="shared" si="26"/>
        <v>0.32143623335249999</v>
      </c>
      <c r="U112" s="155">
        <f t="shared" si="27"/>
        <v>0.32619747698049995</v>
      </c>
      <c r="W112" s="155">
        <f t="shared" si="28"/>
        <v>-0.24751841363456284</v>
      </c>
      <c r="X112" s="157">
        <f t="shared" si="29"/>
        <v>7.391781971793715E-2</v>
      </c>
      <c r="Y112" s="155">
        <f t="shared" si="30"/>
        <v>7.391781971793715E-2</v>
      </c>
      <c r="AA112" s="85">
        <f>'Price Deck'!R106/'Price Deck'!M106</f>
        <v>77.379749999999987</v>
      </c>
      <c r="AB112" s="85">
        <f t="shared" si="31"/>
        <v>5184.8617839605695</v>
      </c>
      <c r="AC112" s="85">
        <f t="shared" si="32"/>
        <v>383.25367860921938</v>
      </c>
      <c r="AD112" s="85">
        <f t="shared" si="33"/>
        <v>5.7197424103190455</v>
      </c>
    </row>
    <row r="113" spans="1:30">
      <c r="A113" s="164" t="str">
        <f>'Price Deck'!A107</f>
        <v>09/2027</v>
      </c>
      <c r="B113" s="51">
        <f>'Liquids Type Curve'!A120</f>
        <v>8.1718907987866434</v>
      </c>
      <c r="C113" s="51">
        <f>'Liquids Type Curve'!B120</f>
        <v>98.062689585439728</v>
      </c>
      <c r="D113" s="51">
        <f>'Liquids Type Curve'!C120</f>
        <v>9.4868332871271193</v>
      </c>
      <c r="E113" s="51">
        <f>'Liquids Type Curve'!D120</f>
        <v>288.55784581678324</v>
      </c>
      <c r="F113" s="51">
        <f>'Liquids Type Curve'!E120</f>
        <v>95554.044319865148</v>
      </c>
      <c r="G113" s="39"/>
      <c r="H113" s="51">
        <f t="shared" si="17"/>
        <v>8.1718907987866434</v>
      </c>
      <c r="I113" s="39">
        <f t="shared" si="18"/>
        <v>98.062689585439728</v>
      </c>
      <c r="J113" s="51">
        <f t="shared" si="19"/>
        <v>2.1819716560392375</v>
      </c>
      <c r="K113" s="51">
        <f t="shared" si="20"/>
        <v>66.368304537860155</v>
      </c>
      <c r="L113" s="51">
        <f t="shared" si="21"/>
        <v>21977.430193568984</v>
      </c>
      <c r="M113" s="39"/>
      <c r="N113" s="51">
        <f t="shared" si="22"/>
        <v>10.551735275821196</v>
      </c>
      <c r="O113" s="85">
        <f>('Price Deck'!R107/$B$2)/'Price Deck'!M107</f>
        <v>486.70315154999997</v>
      </c>
      <c r="Q113" s="155">
        <f t="shared" si="23"/>
        <v>0.32143623335249999</v>
      </c>
      <c r="R113" s="155">
        <f t="shared" si="24"/>
        <v>0.1</v>
      </c>
      <c r="S113" s="155">
        <f t="shared" si="25"/>
        <v>0.41361828306549997</v>
      </c>
      <c r="T113" s="155">
        <f t="shared" si="26"/>
        <v>0.32143623335249999</v>
      </c>
      <c r="U113" s="155">
        <f t="shared" si="27"/>
        <v>0.32619747698049995</v>
      </c>
      <c r="W113" s="155">
        <f t="shared" si="28"/>
        <v>-0.24765515737764141</v>
      </c>
      <c r="X113" s="157">
        <f t="shared" si="29"/>
        <v>7.3781075974858584E-2</v>
      </c>
      <c r="Y113" s="155">
        <f t="shared" si="30"/>
        <v>7.3781075974858584E-2</v>
      </c>
      <c r="AA113" s="85">
        <f>'Price Deck'!R107/'Price Deck'!M107</f>
        <v>77.379749999999987</v>
      </c>
      <c r="AB113" s="85">
        <f t="shared" si="31"/>
        <v>5135.5628130634832</v>
      </c>
      <c r="AC113" s="85">
        <f t="shared" si="32"/>
        <v>378.90735008429533</v>
      </c>
      <c r="AD113" s="85">
        <f t="shared" si="33"/>
        <v>5.7091612136655625</v>
      </c>
    </row>
    <row r="114" spans="1:30">
      <c r="A114" s="164" t="str">
        <f>'Price Deck'!A108</f>
        <v>10/2027</v>
      </c>
      <c r="B114" s="51">
        <f>'Liquids Type Curve'!A121</f>
        <v>8.2552241321199773</v>
      </c>
      <c r="C114" s="51">
        <f>'Liquids Type Curve'!B121</f>
        <v>99.062689585439728</v>
      </c>
      <c r="D114" s="51">
        <f>'Liquids Type Curve'!C121</f>
        <v>9.3975409694902616</v>
      </c>
      <c r="E114" s="51">
        <f>'Liquids Type Curve'!D121</f>
        <v>285.84187115532882</v>
      </c>
      <c r="F114" s="51">
        <f>'Liquids Type Curve'!E121</f>
        <v>95839.886191020472</v>
      </c>
      <c r="G114" s="39"/>
      <c r="H114" s="51">
        <f t="shared" si="17"/>
        <v>8.2552241321199773</v>
      </c>
      <c r="I114" s="39">
        <f t="shared" si="18"/>
        <v>99.062689585439728</v>
      </c>
      <c r="J114" s="51">
        <f t="shared" si="19"/>
        <v>2.1614344229827602</v>
      </c>
      <c r="K114" s="51">
        <f t="shared" si="20"/>
        <v>65.743630365725636</v>
      </c>
      <c r="L114" s="51">
        <f t="shared" si="21"/>
        <v>22043.173823934711</v>
      </c>
      <c r="M114" s="39"/>
      <c r="N114" s="51">
        <f t="shared" si="22"/>
        <v>10.45241984891819</v>
      </c>
      <c r="O114" s="85">
        <f>('Price Deck'!R108/$B$2)/'Price Deck'!M108</f>
        <v>486.70315154999997</v>
      </c>
      <c r="Q114" s="155">
        <f t="shared" si="23"/>
        <v>0.32143623335249999</v>
      </c>
      <c r="R114" s="155">
        <f t="shared" si="24"/>
        <v>0.1</v>
      </c>
      <c r="S114" s="155">
        <f t="shared" si="25"/>
        <v>0.41361828306549997</v>
      </c>
      <c r="T114" s="155">
        <f t="shared" si="26"/>
        <v>0.32143623335249999</v>
      </c>
      <c r="U114" s="155">
        <f t="shared" si="27"/>
        <v>0.32619747698049995</v>
      </c>
      <c r="W114" s="155">
        <f t="shared" si="28"/>
        <v>-0.24778923320396046</v>
      </c>
      <c r="X114" s="157">
        <f t="shared" si="29"/>
        <v>7.3647000148539532E-2</v>
      </c>
      <c r="Y114" s="155">
        <f t="shared" si="30"/>
        <v>7.3647000148539532E-2</v>
      </c>
      <c r="AA114" s="85">
        <f>'Price Deck'!R108/'Price Deck'!M108</f>
        <v>77.379749999999987</v>
      </c>
      <c r="AB114" s="85">
        <f t="shared" si="31"/>
        <v>5087.2256817922571</v>
      </c>
      <c r="AC114" s="85">
        <f t="shared" si="32"/>
        <v>374.65891054260845</v>
      </c>
      <c r="AD114" s="85">
        <f t="shared" si="33"/>
        <v>5.6987864597439497</v>
      </c>
    </row>
    <row r="115" spans="1:30">
      <c r="A115" s="164" t="str">
        <f>'Price Deck'!A109</f>
        <v>11/2027</v>
      </c>
      <c r="B115" s="51">
        <f>'Liquids Type Curve'!A122</f>
        <v>8.3385574654533112</v>
      </c>
      <c r="C115" s="51">
        <f>'Liquids Type Curve'!B122</f>
        <v>100.06268958543973</v>
      </c>
      <c r="D115" s="51">
        <f>'Liquids Type Curve'!C122</f>
        <v>9.3099733589359026</v>
      </c>
      <c r="E115" s="51">
        <f>'Liquids Type Curve'!D122</f>
        <v>283.17835633430036</v>
      </c>
      <c r="F115" s="51">
        <f>'Liquids Type Curve'!E122</f>
        <v>96123.064547354777</v>
      </c>
      <c r="G115" s="39"/>
      <c r="H115" s="51">
        <f t="shared" si="17"/>
        <v>8.3385574654533112</v>
      </c>
      <c r="I115" s="39">
        <f t="shared" si="18"/>
        <v>100.06268958543973</v>
      </c>
      <c r="J115" s="51">
        <f t="shared" si="19"/>
        <v>2.1412938725552575</v>
      </c>
      <c r="K115" s="51">
        <f t="shared" si="20"/>
        <v>65.131021956889086</v>
      </c>
      <c r="L115" s="51">
        <f t="shared" si="21"/>
        <v>22108.304845891598</v>
      </c>
      <c r="M115" s="39"/>
      <c r="N115" s="51">
        <f t="shared" si="22"/>
        <v>10.355022728368006</v>
      </c>
      <c r="O115" s="85">
        <f>('Price Deck'!R109/$B$2)/'Price Deck'!M109</f>
        <v>486.70315154999997</v>
      </c>
      <c r="Q115" s="155">
        <f t="shared" si="23"/>
        <v>0.32143623335249999</v>
      </c>
      <c r="R115" s="155">
        <f t="shared" si="24"/>
        <v>0.1</v>
      </c>
      <c r="S115" s="155">
        <f t="shared" si="25"/>
        <v>0.41361828306549997</v>
      </c>
      <c r="T115" s="155">
        <f t="shared" si="26"/>
        <v>0.32143623335249999</v>
      </c>
      <c r="U115" s="155">
        <f t="shared" si="27"/>
        <v>0.32619747698049995</v>
      </c>
      <c r="W115" s="155">
        <f t="shared" si="28"/>
        <v>-0.2479207193167032</v>
      </c>
      <c r="X115" s="157">
        <f t="shared" si="29"/>
        <v>7.3515514035796786E-2</v>
      </c>
      <c r="Y115" s="155">
        <f t="shared" si="30"/>
        <v>7.3515514035796786E-2</v>
      </c>
      <c r="AA115" s="85">
        <f>'Price Deck'!R109/'Price Deck'!M109</f>
        <v>77.379749999999987</v>
      </c>
      <c r="AB115" s="85">
        <f t="shared" si="31"/>
        <v>5039.8221962685875</v>
      </c>
      <c r="AC115" s="85">
        <f t="shared" si="32"/>
        <v>370.50511940770355</v>
      </c>
      <c r="AD115" s="85">
        <f t="shared" si="33"/>
        <v>5.688612097211446</v>
      </c>
    </row>
    <row r="116" spans="1:30">
      <c r="A116" s="164" t="str">
        <f>'Price Deck'!A110</f>
        <v>12/2027</v>
      </c>
      <c r="B116" s="51">
        <f>'Liquids Type Curve'!A123</f>
        <v>8.4218907987866451</v>
      </c>
      <c r="C116" s="51">
        <f>'Liquids Type Curve'!B123</f>
        <v>101.06268958543974</v>
      </c>
      <c r="D116" s="51">
        <f>'Liquids Type Curve'!C123</f>
        <v>9.2240804004779964</v>
      </c>
      <c r="E116" s="51">
        <f>'Liquids Type Curve'!D123</f>
        <v>280.56577884787242</v>
      </c>
      <c r="F116" s="51">
        <f>'Liquids Type Curve'!E123</f>
        <v>96403.630326202649</v>
      </c>
      <c r="G116" s="39"/>
      <c r="H116" s="51">
        <f t="shared" si="17"/>
        <v>8.4218907987866451</v>
      </c>
      <c r="I116" s="39">
        <f t="shared" si="18"/>
        <v>101.06268958543974</v>
      </c>
      <c r="J116" s="51">
        <f t="shared" si="19"/>
        <v>2.1215384921099392</v>
      </c>
      <c r="K116" s="51">
        <f t="shared" si="20"/>
        <v>64.530129135010654</v>
      </c>
      <c r="L116" s="51">
        <f t="shared" si="21"/>
        <v>22172.83497502661</v>
      </c>
      <c r="M116" s="39"/>
      <c r="N116" s="51">
        <f t="shared" si="22"/>
        <v>10.259488240486288</v>
      </c>
      <c r="O116" s="85">
        <f>('Price Deck'!R110/$B$2)/'Price Deck'!M110</f>
        <v>486.70315154999997</v>
      </c>
      <c r="Q116" s="155">
        <f t="shared" si="23"/>
        <v>0.32143623335249999</v>
      </c>
      <c r="R116" s="155">
        <f t="shared" si="24"/>
        <v>0.1</v>
      </c>
      <c r="S116" s="155">
        <f t="shared" si="25"/>
        <v>0.41361828306549997</v>
      </c>
      <c r="T116" s="155">
        <f t="shared" si="26"/>
        <v>0.32143623335249999</v>
      </c>
      <c r="U116" s="155">
        <f t="shared" si="27"/>
        <v>0.32619747698049995</v>
      </c>
      <c r="W116" s="155">
        <f t="shared" si="28"/>
        <v>-0.24804969087534351</v>
      </c>
      <c r="X116" s="157">
        <f t="shared" si="29"/>
        <v>7.338654247715648E-2</v>
      </c>
      <c r="Y116" s="155">
        <f t="shared" si="30"/>
        <v>7.338654247715648E-2</v>
      </c>
      <c r="AA116" s="85">
        <f>'Price Deck'!R110/'Price Deck'!M110</f>
        <v>77.379749999999987</v>
      </c>
      <c r="AB116" s="85">
        <f t="shared" si="31"/>
        <v>4993.3252599348398</v>
      </c>
      <c r="AC116" s="85">
        <f t="shared" si="32"/>
        <v>366.44287629046653</v>
      </c>
      <c r="AD116" s="85">
        <f t="shared" si="33"/>
        <v>5.6786323102467477</v>
      </c>
    </row>
    <row r="117" spans="1:30">
      <c r="A117" s="164" t="str">
        <f>'Price Deck'!A111</f>
        <v>01/2028</v>
      </c>
      <c r="B117" s="51">
        <f>'Liquids Type Curve'!A124</f>
        <v>8.5052241321199791</v>
      </c>
      <c r="C117" s="51">
        <f>'Liquids Type Curve'!B124</f>
        <v>102.06268958543976</v>
      </c>
      <c r="D117" s="51">
        <f>'Liquids Type Curve'!C124</f>
        <v>9.1398139682027573</v>
      </c>
      <c r="E117" s="51">
        <f>'Liquids Type Curve'!D124</f>
        <v>278.00267486616718</v>
      </c>
      <c r="F117" s="51">
        <f>'Liquids Type Curve'!E124</f>
        <v>96681.633001068811</v>
      </c>
      <c r="G117" s="39"/>
      <c r="H117" s="51">
        <f t="shared" si="17"/>
        <v>8.5052241321199791</v>
      </c>
      <c r="I117" s="39">
        <f t="shared" si="18"/>
        <v>102.06268958543976</v>
      </c>
      <c r="J117" s="51">
        <f t="shared" si="19"/>
        <v>2.1021572126866341</v>
      </c>
      <c r="K117" s="51">
        <f t="shared" si="20"/>
        <v>63.940615219218458</v>
      </c>
      <c r="L117" s="51">
        <f t="shared" si="21"/>
        <v>22236.775590245827</v>
      </c>
      <c r="M117" s="39"/>
      <c r="N117" s="51">
        <f t="shared" si="22"/>
        <v>10.165762857200301</v>
      </c>
      <c r="O117" s="85">
        <f>('Price Deck'!R111/$B$2)/'Price Deck'!M111</f>
        <v>496.43721458099992</v>
      </c>
      <c r="Q117" s="155">
        <f t="shared" si="23"/>
        <v>0.32678996801954996</v>
      </c>
      <c r="R117" s="155">
        <f t="shared" si="24"/>
        <v>0.1</v>
      </c>
      <c r="S117" s="155">
        <f t="shared" si="25"/>
        <v>0.42344968672680994</v>
      </c>
      <c r="T117" s="155">
        <f t="shared" si="26"/>
        <v>0.32678996801954996</v>
      </c>
      <c r="U117" s="155">
        <f t="shared" si="27"/>
        <v>0.32921503652010997</v>
      </c>
      <c r="W117" s="155">
        <f t="shared" si="28"/>
        <v>-0.24817622014277962</v>
      </c>
      <c r="X117" s="157">
        <f t="shared" si="29"/>
        <v>7.8613747876770335E-2</v>
      </c>
      <c r="Y117" s="155">
        <f t="shared" si="30"/>
        <v>7.8613747876770335E-2</v>
      </c>
      <c r="AA117" s="85">
        <f>'Price Deck'!R111/'Price Deck'!M111</f>
        <v>78.927344999999988</v>
      </c>
      <c r="AB117" s="85">
        <f t="shared" si="31"/>
        <v>5046.6629969195055</v>
      </c>
      <c r="AC117" s="85">
        <f t="shared" si="32"/>
        <v>396.73709245885618</v>
      </c>
      <c r="AD117" s="85">
        <f t="shared" si="33"/>
        <v>6.2047744004128695</v>
      </c>
    </row>
    <row r="118" spans="1:30">
      <c r="A118" s="164" t="str">
        <f>'Price Deck'!A112</f>
        <v>02/2028</v>
      </c>
      <c r="B118" s="51">
        <f>'Liquids Type Curve'!A125</f>
        <v>8.588557465453313</v>
      </c>
      <c r="C118" s="51">
        <f>'Liquids Type Curve'!B125</f>
        <v>103.06268958543976</v>
      </c>
      <c r="D118" s="51">
        <f>'Liquids Type Curve'!C125</f>
        <v>9.0571277729217918</v>
      </c>
      <c r="E118" s="51">
        <f>'Liquids Type Curve'!D125</f>
        <v>275.48763642637118</v>
      </c>
      <c r="F118" s="51">
        <f>'Liquids Type Curve'!E125</f>
        <v>96957.120637495187</v>
      </c>
      <c r="G118" s="39"/>
      <c r="H118" s="51">
        <f t="shared" si="17"/>
        <v>8.588557465453313</v>
      </c>
      <c r="I118" s="39">
        <f t="shared" si="18"/>
        <v>103.06268958543976</v>
      </c>
      <c r="J118" s="51">
        <f t="shared" si="19"/>
        <v>2.0831393877720124</v>
      </c>
      <c r="K118" s="51">
        <f t="shared" si="20"/>
        <v>63.362156378065372</v>
      </c>
      <c r="L118" s="51">
        <f t="shared" si="21"/>
        <v>22300.137746623896</v>
      </c>
      <c r="M118" s="39"/>
      <c r="N118" s="51">
        <f t="shared" si="22"/>
        <v>10.073795093336095</v>
      </c>
      <c r="O118" s="85">
        <f>('Price Deck'!R112/$B$2)/'Price Deck'!M112</f>
        <v>496.43721458099992</v>
      </c>
      <c r="Q118" s="155">
        <f t="shared" si="23"/>
        <v>0.32678996801954996</v>
      </c>
      <c r="R118" s="155">
        <f t="shared" si="24"/>
        <v>0.1</v>
      </c>
      <c r="S118" s="155">
        <f t="shared" si="25"/>
        <v>0.42344968672680994</v>
      </c>
      <c r="T118" s="155">
        <f t="shared" si="26"/>
        <v>0.32678996801954996</v>
      </c>
      <c r="U118" s="155">
        <f t="shared" si="27"/>
        <v>0.32921503652010997</v>
      </c>
      <c r="W118" s="155">
        <f t="shared" si="28"/>
        <v>-0.24830037662399629</v>
      </c>
      <c r="X118" s="157">
        <f t="shared" si="29"/>
        <v>7.8489591395553671E-2</v>
      </c>
      <c r="Y118" s="155">
        <f t="shared" si="30"/>
        <v>7.8489591395553671E-2</v>
      </c>
      <c r="AA118" s="85">
        <f>'Price Deck'!R112/'Price Deck'!M112</f>
        <v>78.927344999999988</v>
      </c>
      <c r="AB118" s="85">
        <f t="shared" si="31"/>
        <v>5001.0067763955149</v>
      </c>
      <c r="AC118" s="85">
        <f t="shared" si="32"/>
        <v>392.52697844567899</v>
      </c>
      <c r="AD118" s="85">
        <f t="shared" si="33"/>
        <v>6.1949750589858947</v>
      </c>
    </row>
    <row r="119" spans="1:30">
      <c r="A119" s="164" t="str">
        <f>'Price Deck'!A113</f>
        <v>03/2028</v>
      </c>
      <c r="B119" s="51">
        <f>'Liquids Type Curve'!A126</f>
        <v>8.6718907987866469</v>
      </c>
      <c r="C119" s="51">
        <f>'Liquids Type Curve'!B126</f>
        <v>104.06268958543976</v>
      </c>
      <c r="D119" s="51">
        <f>'Liquids Type Curve'!C126</f>
        <v>8.9759772750913083</v>
      </c>
      <c r="E119" s="51">
        <f>'Liquids Type Curve'!D126</f>
        <v>273.01930878402732</v>
      </c>
      <c r="F119" s="51">
        <f>'Liquids Type Curve'!E126</f>
        <v>97230.139946279218</v>
      </c>
      <c r="G119" s="39"/>
      <c r="H119" s="51">
        <f t="shared" si="17"/>
        <v>8.6718907987866469</v>
      </c>
      <c r="I119" s="39">
        <f t="shared" si="18"/>
        <v>104.06268958543976</v>
      </c>
      <c r="J119" s="51">
        <f t="shared" si="19"/>
        <v>2.0644747732710012</v>
      </c>
      <c r="K119" s="51">
        <f t="shared" si="20"/>
        <v>62.794441020326289</v>
      </c>
      <c r="L119" s="51">
        <f t="shared" si="21"/>
        <v>22362.932187644223</v>
      </c>
      <c r="M119" s="39"/>
      <c r="N119" s="51">
        <f t="shared" si="22"/>
        <v>9.9835354097628368</v>
      </c>
      <c r="O119" s="85">
        <f>('Price Deck'!R113/$B$2)/'Price Deck'!M113</f>
        <v>496.43721458099992</v>
      </c>
      <c r="Q119" s="155">
        <f t="shared" si="23"/>
        <v>0.32678996801954996</v>
      </c>
      <c r="R119" s="155">
        <f t="shared" si="24"/>
        <v>0.1</v>
      </c>
      <c r="S119" s="155">
        <f t="shared" si="25"/>
        <v>0.42344968672680994</v>
      </c>
      <c r="T119" s="155">
        <f t="shared" si="26"/>
        <v>0.32678996801954996</v>
      </c>
      <c r="U119" s="155">
        <f t="shared" si="27"/>
        <v>0.32921503652010997</v>
      </c>
      <c r="W119" s="155">
        <f t="shared" si="28"/>
        <v>-0.24842222719682017</v>
      </c>
      <c r="X119" s="157">
        <f t="shared" si="29"/>
        <v>7.8367740822729792E-2</v>
      </c>
      <c r="Y119" s="155">
        <f t="shared" si="30"/>
        <v>7.8367740822729792E-2</v>
      </c>
      <c r="AA119" s="85">
        <f>'Price Deck'!R113/'Price Deck'!M113</f>
        <v>78.927344999999988</v>
      </c>
      <c r="AB119" s="85">
        <f t="shared" si="31"/>
        <v>4956.1985104934447</v>
      </c>
      <c r="AC119" s="85">
        <f t="shared" si="32"/>
        <v>388.4060803363497</v>
      </c>
      <c r="AD119" s="85">
        <f t="shared" si="33"/>
        <v>6.1853577167861777</v>
      </c>
    </row>
    <row r="120" spans="1:30">
      <c r="A120" s="164" t="str">
        <f>'Price Deck'!A114</f>
        <v>04/2028</v>
      </c>
      <c r="B120" s="51">
        <f>'Liquids Type Curve'!A127</f>
        <v>8.7552241321199809</v>
      </c>
      <c r="C120" s="51">
        <f>'Liquids Type Curve'!B127</f>
        <v>105.06268958543977</v>
      </c>
      <c r="D120" s="51">
        <f>'Liquids Type Curve'!C127</f>
        <v>8.8963196026496991</v>
      </c>
      <c r="E120" s="51">
        <f>'Liquids Type Curve'!D127</f>
        <v>270.59638791392837</v>
      </c>
      <c r="F120" s="51">
        <f>'Liquids Type Curve'!E127</f>
        <v>97500.736334193149</v>
      </c>
      <c r="G120" s="39"/>
      <c r="H120" s="51">
        <f t="shared" si="17"/>
        <v>8.7552241321199809</v>
      </c>
      <c r="I120" s="39">
        <f t="shared" si="18"/>
        <v>105.06268958543977</v>
      </c>
      <c r="J120" s="51">
        <f t="shared" si="19"/>
        <v>2.0461535086094309</v>
      </c>
      <c r="K120" s="51">
        <f t="shared" si="20"/>
        <v>62.237169220203526</v>
      </c>
      <c r="L120" s="51">
        <f t="shared" si="21"/>
        <v>22425.169356864426</v>
      </c>
      <c r="M120" s="39"/>
      <c r="N120" s="51">
        <f t="shared" si="22"/>
        <v>9.8949361220076195</v>
      </c>
      <c r="O120" s="85">
        <f>('Price Deck'!R114/$B$2)/'Price Deck'!M114</f>
        <v>496.43721458099992</v>
      </c>
      <c r="Q120" s="155">
        <f t="shared" si="23"/>
        <v>0.32678996801954996</v>
      </c>
      <c r="R120" s="155">
        <f t="shared" si="24"/>
        <v>0.1</v>
      </c>
      <c r="S120" s="155">
        <f t="shared" si="25"/>
        <v>0.42344968672680994</v>
      </c>
      <c r="T120" s="155">
        <f t="shared" si="26"/>
        <v>0.32678996801954996</v>
      </c>
      <c r="U120" s="155">
        <f t="shared" si="27"/>
        <v>0.32921503652010997</v>
      </c>
      <c r="W120" s="155">
        <f t="shared" si="28"/>
        <v>-0.24854183623528975</v>
      </c>
      <c r="X120" s="157">
        <f t="shared" si="29"/>
        <v>7.8248131784260211E-2</v>
      </c>
      <c r="Y120" s="155">
        <f t="shared" si="30"/>
        <v>7.8248131784260211E-2</v>
      </c>
      <c r="AA120" s="85">
        <f>'Price Deck'!R114/'Price Deck'!M114</f>
        <v>78.927344999999988</v>
      </c>
      <c r="AB120" s="85">
        <f t="shared" si="31"/>
        <v>4912.2145268663844</v>
      </c>
      <c r="AC120" s="85">
        <f t="shared" si="32"/>
        <v>384.37160965079829</v>
      </c>
      <c r="AD120" s="85">
        <f t="shared" si="33"/>
        <v>6.1759172929417714</v>
      </c>
    </row>
    <row r="121" spans="1:30">
      <c r="A121" s="164" t="str">
        <f>'Price Deck'!A115</f>
        <v>05/2028</v>
      </c>
      <c r="B121" s="51">
        <f>'Liquids Type Curve'!A128</f>
        <v>8.8385574654533148</v>
      </c>
      <c r="C121" s="51">
        <f>'Liquids Type Curve'!B128</f>
        <v>106.06268958543978</v>
      </c>
      <c r="D121" s="51">
        <f>'Liquids Type Curve'!C128</f>
        <v>8.8181134734519553</v>
      </c>
      <c r="E121" s="51">
        <f>'Liquids Type Curve'!D128</f>
        <v>268.21761815083033</v>
      </c>
      <c r="F121" s="51">
        <f>'Liquids Type Curve'!E128</f>
        <v>97768.953952343974</v>
      </c>
      <c r="G121" s="39"/>
      <c r="H121" s="51">
        <f t="shared" si="17"/>
        <v>8.8385574654533148</v>
      </c>
      <c r="I121" s="39">
        <f t="shared" si="18"/>
        <v>106.06268958543978</v>
      </c>
      <c r="J121" s="51">
        <f t="shared" si="19"/>
        <v>2.0281660988939496</v>
      </c>
      <c r="K121" s="51">
        <f t="shared" si="20"/>
        <v>61.690052174690976</v>
      </c>
      <c r="L121" s="51">
        <f t="shared" si="21"/>
        <v>22486.859409039116</v>
      </c>
      <c r="M121" s="39"/>
      <c r="N121" s="51">
        <f t="shared" si="22"/>
        <v>9.8079513139831125</v>
      </c>
      <c r="O121" s="85">
        <f>('Price Deck'!R115/$B$2)/'Price Deck'!M115</f>
        <v>496.43721458099992</v>
      </c>
      <c r="Q121" s="155">
        <f t="shared" si="23"/>
        <v>0.32678996801954996</v>
      </c>
      <c r="R121" s="155">
        <f t="shared" si="24"/>
        <v>0.1</v>
      </c>
      <c r="S121" s="155">
        <f t="shared" si="25"/>
        <v>0.42344968672680994</v>
      </c>
      <c r="T121" s="155">
        <f t="shared" si="26"/>
        <v>0.32678996801954996</v>
      </c>
      <c r="U121" s="155">
        <f t="shared" si="27"/>
        <v>0.32921503652010997</v>
      </c>
      <c r="W121" s="155">
        <f t="shared" si="28"/>
        <v>-0.24865926572612279</v>
      </c>
      <c r="X121" s="157">
        <f t="shared" si="29"/>
        <v>7.8130702293427168E-2</v>
      </c>
      <c r="Y121" s="155">
        <f t="shared" si="30"/>
        <v>7.8130702293427168E-2</v>
      </c>
      <c r="AA121" s="85">
        <f>'Price Deck'!R115/'Price Deck'!M115</f>
        <v>78.927344999999988</v>
      </c>
      <c r="AB121" s="85">
        <f t="shared" si="31"/>
        <v>4869.0320310598345</v>
      </c>
      <c r="AC121" s="85">
        <f t="shared" si="32"/>
        <v>380.42089207589697</v>
      </c>
      <c r="AD121" s="85">
        <f t="shared" si="33"/>
        <v>6.1666488950056175</v>
      </c>
    </row>
    <row r="122" spans="1:30">
      <c r="A122" s="164" t="str">
        <f>'Price Deck'!A116</f>
        <v>06/2028</v>
      </c>
      <c r="B122" s="51">
        <f>'Liquids Type Curve'!A129</f>
        <v>8.9218907987866487</v>
      </c>
      <c r="C122" s="51">
        <f>'Liquids Type Curve'!B129</f>
        <v>107.06268958543978</v>
      </c>
      <c r="D122" s="51">
        <f>'Liquids Type Curve'!C129</f>
        <v>8.7413191220031141</v>
      </c>
      <c r="E122" s="51">
        <f>'Liquids Type Curve'!D129</f>
        <v>265.88178996092807</v>
      </c>
      <c r="F122" s="51">
        <f>'Liquids Type Curve'!E129</f>
        <v>98034.835742304902</v>
      </c>
      <c r="G122" s="39"/>
      <c r="H122" s="51">
        <f t="shared" si="17"/>
        <v>8.9218907987866487</v>
      </c>
      <c r="I122" s="39">
        <f t="shared" si="18"/>
        <v>107.06268958543978</v>
      </c>
      <c r="J122" s="51">
        <f t="shared" si="19"/>
        <v>2.0105033980607163</v>
      </c>
      <c r="K122" s="51">
        <f t="shared" si="20"/>
        <v>61.152811691013461</v>
      </c>
      <c r="L122" s="51">
        <f t="shared" si="21"/>
        <v>22548.012220730128</v>
      </c>
      <c r="M122" s="39"/>
      <c r="N122" s="51">
        <f t="shared" si="22"/>
        <v>9.7225367564967815</v>
      </c>
      <c r="O122" s="85">
        <f>('Price Deck'!R116/$B$2)/'Price Deck'!M116</f>
        <v>496.43721458099992</v>
      </c>
      <c r="Q122" s="155">
        <f t="shared" si="23"/>
        <v>0.32678996801954996</v>
      </c>
      <c r="R122" s="155">
        <f t="shared" si="24"/>
        <v>0.1</v>
      </c>
      <c r="S122" s="155">
        <f t="shared" si="25"/>
        <v>0.42344968672680994</v>
      </c>
      <c r="T122" s="155">
        <f t="shared" si="26"/>
        <v>0.32678996801954996</v>
      </c>
      <c r="U122" s="155">
        <f t="shared" si="27"/>
        <v>0.32921503652010997</v>
      </c>
      <c r="W122" s="155">
        <f t="shared" si="28"/>
        <v>-0.24877457537872935</v>
      </c>
      <c r="X122" s="157">
        <f t="shared" si="29"/>
        <v>7.8015392640820608E-2</v>
      </c>
      <c r="Y122" s="155">
        <f t="shared" si="30"/>
        <v>7.8015392640820608E-2</v>
      </c>
      <c r="AA122" s="85">
        <f>'Price Deck'!R116/'Price Deck'!M116</f>
        <v>78.927344999999988</v>
      </c>
      <c r="AB122" s="85">
        <f t="shared" si="31"/>
        <v>4826.6290660566519</v>
      </c>
      <c r="AC122" s="85">
        <f t="shared" si="32"/>
        <v>376.55136172000698</v>
      </c>
      <c r="AD122" s="85">
        <f t="shared" si="33"/>
        <v>6.1575478102725079</v>
      </c>
    </row>
    <row r="123" spans="1:30">
      <c r="A123" s="164" t="str">
        <f>'Price Deck'!A117</f>
        <v>07/2028</v>
      </c>
      <c r="B123" s="51">
        <f>'Liquids Type Curve'!A130</f>
        <v>9.0052241321199826</v>
      </c>
      <c r="C123" s="51">
        <f>'Liquids Type Curve'!B130</f>
        <v>108.06268958543978</v>
      </c>
      <c r="D123" s="51">
        <f>'Liquids Type Curve'!C130</f>
        <v>8.665898230215042</v>
      </c>
      <c r="E123" s="51">
        <f>'Liquids Type Curve'!D130</f>
        <v>263.58773783570751</v>
      </c>
      <c r="F123" s="51">
        <f>'Liquids Type Curve'!E130</f>
        <v>98298.423480140613</v>
      </c>
      <c r="G123" s="39"/>
      <c r="H123" s="51">
        <f t="shared" si="17"/>
        <v>9.0052241321199826</v>
      </c>
      <c r="I123" s="39">
        <f t="shared" si="18"/>
        <v>108.06268958543978</v>
      </c>
      <c r="J123" s="51">
        <f t="shared" si="19"/>
        <v>1.9931565929494597</v>
      </c>
      <c r="K123" s="51">
        <f t="shared" si="20"/>
        <v>60.625179702212733</v>
      </c>
      <c r="L123" s="51">
        <f t="shared" si="21"/>
        <v>22608.637400432341</v>
      </c>
      <c r="M123" s="39"/>
      <c r="N123" s="51">
        <f t="shared" si="22"/>
        <v>9.6386498302350994</v>
      </c>
      <c r="O123" s="85">
        <f>('Price Deck'!R117/$B$2)/'Price Deck'!M117</f>
        <v>496.43721458099992</v>
      </c>
      <c r="Q123" s="155">
        <f t="shared" si="23"/>
        <v>0.32678996801954996</v>
      </c>
      <c r="R123" s="155">
        <f t="shared" si="24"/>
        <v>0.1</v>
      </c>
      <c r="S123" s="155">
        <f t="shared" si="25"/>
        <v>0.42344968672680994</v>
      </c>
      <c r="T123" s="155">
        <f t="shared" si="26"/>
        <v>0.32678996801954996</v>
      </c>
      <c r="U123" s="155">
        <f t="shared" si="27"/>
        <v>0.32921503652010997</v>
      </c>
      <c r="W123" s="155">
        <f t="shared" si="28"/>
        <v>-0.24888782272918264</v>
      </c>
      <c r="X123" s="157">
        <f t="shared" si="29"/>
        <v>7.7902145290367319E-2</v>
      </c>
      <c r="Y123" s="155">
        <f t="shared" si="30"/>
        <v>7.7902145290367319E-2</v>
      </c>
      <c r="AA123" s="85">
        <f>'Price Deck'!R117/'Price Deck'!M117</f>
        <v>78.927344999999988</v>
      </c>
      <c r="AB123" s="85">
        <f t="shared" si="31"/>
        <v>4784.984474043541</v>
      </c>
      <c r="AC123" s="85">
        <f t="shared" si="32"/>
        <v>372.76055570909176</v>
      </c>
      <c r="AD123" s="85">
        <f t="shared" si="33"/>
        <v>6.1486094975729451</v>
      </c>
    </row>
    <row r="124" spans="1:30">
      <c r="A124" s="164" t="str">
        <f>'Price Deck'!A118</f>
        <v>08/2028</v>
      </c>
      <c r="B124" s="51">
        <f>'Liquids Type Curve'!A131</f>
        <v>9.0885574654533166</v>
      </c>
      <c r="C124" s="51">
        <f>'Liquids Type Curve'!B131</f>
        <v>109.0626895854398</v>
      </c>
      <c r="D124" s="51">
        <f>'Liquids Type Curve'!C131</f>
        <v>8.5918138619305733</v>
      </c>
      <c r="E124" s="51">
        <f>'Liquids Type Curve'!D131</f>
        <v>261.33433830038825</v>
      </c>
      <c r="F124" s="51">
        <f>'Liquids Type Curve'!E131</f>
        <v>98559.757818440994</v>
      </c>
      <c r="G124" s="39"/>
      <c r="H124" s="51">
        <f t="shared" si="17"/>
        <v>9.0885574654533166</v>
      </c>
      <c r="I124" s="39">
        <f t="shared" si="18"/>
        <v>109.0626895854398</v>
      </c>
      <c r="J124" s="51">
        <f t="shared" si="19"/>
        <v>1.976117188244032</v>
      </c>
      <c r="K124" s="51">
        <f t="shared" si="20"/>
        <v>60.106897809089304</v>
      </c>
      <c r="L124" s="51">
        <f t="shared" si="21"/>
        <v>22668.744298241429</v>
      </c>
      <c r="M124" s="39"/>
      <c r="N124" s="51">
        <f t="shared" si="22"/>
        <v>9.5562494529379798</v>
      </c>
      <c r="O124" s="85">
        <f>('Price Deck'!R118/$B$2)/'Price Deck'!M118</f>
        <v>496.43721458099992</v>
      </c>
      <c r="Q124" s="155">
        <f t="shared" si="23"/>
        <v>0.32678996801954996</v>
      </c>
      <c r="R124" s="155">
        <f t="shared" si="24"/>
        <v>0.1</v>
      </c>
      <c r="S124" s="155">
        <f t="shared" si="25"/>
        <v>0.42344968672680994</v>
      </c>
      <c r="T124" s="155">
        <f t="shared" si="26"/>
        <v>0.32678996801954996</v>
      </c>
      <c r="U124" s="155">
        <f t="shared" si="27"/>
        <v>0.32921503652010997</v>
      </c>
      <c r="W124" s="155">
        <f t="shared" si="28"/>
        <v>-0.24899906323853374</v>
      </c>
      <c r="X124" s="157">
        <f t="shared" si="29"/>
        <v>7.7790904781016218E-2</v>
      </c>
      <c r="Y124" s="155">
        <f t="shared" si="30"/>
        <v>7.7790904781016218E-2</v>
      </c>
      <c r="AA124" s="85">
        <f>'Price Deck'!R118/'Price Deck'!M118</f>
        <v>78.927344999999988</v>
      </c>
      <c r="AB124" s="85">
        <f t="shared" si="31"/>
        <v>4744.0778602577348</v>
      </c>
      <c r="AC124" s="85">
        <f t="shared" si="32"/>
        <v>369.04610910103662</v>
      </c>
      <c r="AD124" s="85">
        <f t="shared" si="33"/>
        <v>6.1398295795134157</v>
      </c>
    </row>
    <row r="125" spans="1:30">
      <c r="A125" s="164" t="str">
        <f>'Price Deck'!A119</f>
        <v>09/2028</v>
      </c>
      <c r="B125" s="51">
        <f>'Liquids Type Curve'!A132</f>
        <v>9.1718907987866505</v>
      </c>
      <c r="C125" s="51">
        <f>'Liquids Type Curve'!B132</f>
        <v>110.06268958543981</v>
      </c>
      <c r="D125" s="51">
        <f>'Liquids Type Curve'!C132</f>
        <v>8.5190304009777069</v>
      </c>
      <c r="E125" s="51">
        <f>'Liquids Type Curve'!D132</f>
        <v>259.12050802973857</v>
      </c>
      <c r="F125" s="51">
        <f>'Liquids Type Curve'!E132</f>
        <v>98818.878326470731</v>
      </c>
      <c r="G125" s="39"/>
      <c r="H125" s="51">
        <f t="shared" si="17"/>
        <v>9.1718907987866505</v>
      </c>
      <c r="I125" s="39">
        <f t="shared" si="18"/>
        <v>110.06268958543981</v>
      </c>
      <c r="J125" s="51">
        <f t="shared" si="19"/>
        <v>1.9593769922248727</v>
      </c>
      <c r="K125" s="51">
        <f t="shared" si="20"/>
        <v>59.597716846839873</v>
      </c>
      <c r="L125" s="51">
        <f t="shared" si="21"/>
        <v>22728.34201508827</v>
      </c>
      <c r="M125" s="39"/>
      <c r="N125" s="51">
        <f t="shared" si="22"/>
        <v>9.4752960104995179</v>
      </c>
      <c r="O125" s="85">
        <f>('Price Deck'!R119/$B$2)/'Price Deck'!M119</f>
        <v>496.43721458099992</v>
      </c>
      <c r="Q125" s="155">
        <f t="shared" si="23"/>
        <v>0.32678996801954996</v>
      </c>
      <c r="R125" s="155">
        <f t="shared" si="24"/>
        <v>0.1</v>
      </c>
      <c r="S125" s="155">
        <f t="shared" si="25"/>
        <v>0.42344968672680994</v>
      </c>
      <c r="T125" s="155">
        <f t="shared" si="26"/>
        <v>0.32678996801954996</v>
      </c>
      <c r="U125" s="155">
        <f t="shared" si="27"/>
        <v>0.32921503652010997</v>
      </c>
      <c r="W125" s="155">
        <f t="shared" si="28"/>
        <v>-0.24910835038582568</v>
      </c>
      <c r="X125" s="157">
        <f t="shared" si="29"/>
        <v>7.7681617633724276E-2</v>
      </c>
      <c r="Y125" s="155">
        <f t="shared" si="30"/>
        <v>7.7681617633724276E-2</v>
      </c>
      <c r="AA125" s="85">
        <f>'Price Deck'!R119/'Price Deck'!M119</f>
        <v>78.927344999999988</v>
      </c>
      <c r="AB125" s="85">
        <f t="shared" si="31"/>
        <v>4703.889558782842</v>
      </c>
      <c r="AC125" s="85">
        <f t="shared" si="32"/>
        <v>365.40575009663672</v>
      </c>
      <c r="AD125" s="85">
        <f t="shared" si="33"/>
        <v>6.1312038351350386</v>
      </c>
    </row>
    <row r="126" spans="1:30">
      <c r="A126" s="164" t="str">
        <f>'Price Deck'!A120</f>
        <v>10/2028</v>
      </c>
      <c r="B126" s="51">
        <f>'Liquids Type Curve'!A133</f>
        <v>9.2552241321199844</v>
      </c>
      <c r="C126" s="51">
        <f>'Liquids Type Curve'!B133</f>
        <v>111.06268958543981</v>
      </c>
      <c r="D126" s="51">
        <f>'Liquids Type Curve'!C133</f>
        <v>8.4475134925335755</v>
      </c>
      <c r="E126" s="51">
        <f>'Liquids Type Curve'!D133</f>
        <v>256.94520206456292</v>
      </c>
      <c r="F126" s="51">
        <f>'Liquids Type Curve'!E133</f>
        <v>99075.8235285353</v>
      </c>
      <c r="G126" s="39"/>
      <c r="H126" s="51">
        <f t="shared" si="17"/>
        <v>9.2552241321199844</v>
      </c>
      <c r="I126" s="39">
        <f t="shared" si="18"/>
        <v>111.06268958543981</v>
      </c>
      <c r="J126" s="51">
        <f t="shared" si="19"/>
        <v>1.9429281032827224</v>
      </c>
      <c r="K126" s="51">
        <f t="shared" si="20"/>
        <v>59.097396474849475</v>
      </c>
      <c r="L126" s="51">
        <f t="shared" si="21"/>
        <v>22787.439411563118</v>
      </c>
      <c r="M126" s="39"/>
      <c r="N126" s="51">
        <f t="shared" si="22"/>
        <v>9.3957512917500523</v>
      </c>
      <c r="O126" s="85">
        <f>('Price Deck'!R120/$B$2)/'Price Deck'!M120</f>
        <v>496.43721458099992</v>
      </c>
      <c r="Q126" s="155">
        <f t="shared" si="23"/>
        <v>0.32678996801954996</v>
      </c>
      <c r="R126" s="155">
        <f t="shared" si="24"/>
        <v>0.1</v>
      </c>
      <c r="S126" s="155">
        <f t="shared" si="25"/>
        <v>0.42344968672680994</v>
      </c>
      <c r="T126" s="155">
        <f t="shared" si="26"/>
        <v>0.32678996801954996</v>
      </c>
      <c r="U126" s="155">
        <f t="shared" si="27"/>
        <v>0.32921503652010997</v>
      </c>
      <c r="W126" s="155">
        <f t="shared" si="28"/>
        <v>-0.24921573575613742</v>
      </c>
      <c r="X126" s="157">
        <f t="shared" si="29"/>
        <v>7.7574232263412535E-2</v>
      </c>
      <c r="Y126" s="155">
        <f t="shared" si="30"/>
        <v>7.7574232263412535E-2</v>
      </c>
      <c r="AA126" s="85">
        <f>'Price Deck'!R120/'Price Deck'!M120</f>
        <v>78.927344999999988</v>
      </c>
      <c r="AB126" s="85">
        <f t="shared" si="31"/>
        <v>4664.4006001722273</v>
      </c>
      <c r="AC126" s="85">
        <f t="shared" si="32"/>
        <v>361.83729552736116</v>
      </c>
      <c r="AD126" s="85">
        <f t="shared" si="33"/>
        <v>6.1227281929644901</v>
      </c>
    </row>
    <row r="127" spans="1:30">
      <c r="A127" s="164" t="str">
        <f>'Price Deck'!A121</f>
        <v>11/2028</v>
      </c>
      <c r="B127" s="51">
        <f>'Liquids Type Curve'!A134</f>
        <v>9.3385574654533183</v>
      </c>
      <c r="C127" s="51">
        <f>'Liquids Type Curve'!B134</f>
        <v>112.06268958543981</v>
      </c>
      <c r="D127" s="51">
        <f>'Liquids Type Curve'!C134</f>
        <v>8.3772299875931573</v>
      </c>
      <c r="E127" s="51">
        <f>'Liquids Type Curve'!D134</f>
        <v>254.80741212262521</v>
      </c>
      <c r="F127" s="51">
        <f>'Liquids Type Curve'!E134</f>
        <v>99330.630940657924</v>
      </c>
      <c r="G127" s="39"/>
      <c r="H127" s="51">
        <f t="shared" si="17"/>
        <v>9.3385574654533183</v>
      </c>
      <c r="I127" s="39">
        <f t="shared" si="18"/>
        <v>112.06268958543981</v>
      </c>
      <c r="J127" s="51">
        <f t="shared" si="19"/>
        <v>1.9267628971464263</v>
      </c>
      <c r="K127" s="51">
        <f t="shared" si="20"/>
        <v>58.605704788203802</v>
      </c>
      <c r="L127" s="51">
        <f t="shared" si="21"/>
        <v>22846.045116351324</v>
      </c>
      <c r="M127" s="39"/>
      <c r="N127" s="51">
        <f t="shared" si="22"/>
        <v>9.317578426691437</v>
      </c>
      <c r="O127" s="85">
        <f>('Price Deck'!R121/$B$2)/'Price Deck'!M121</f>
        <v>496.43721458099992</v>
      </c>
      <c r="Q127" s="155">
        <f t="shared" si="23"/>
        <v>0.32678996801954996</v>
      </c>
      <c r="R127" s="155">
        <f t="shared" si="24"/>
        <v>0.1</v>
      </c>
      <c r="S127" s="155">
        <f t="shared" si="25"/>
        <v>0.42344968672680994</v>
      </c>
      <c r="T127" s="155">
        <f t="shared" si="26"/>
        <v>0.32678996801954996</v>
      </c>
      <c r="U127" s="155">
        <f t="shared" si="27"/>
        <v>0.32921503652010997</v>
      </c>
      <c r="W127" s="155">
        <f t="shared" si="28"/>
        <v>-0.2493212691239666</v>
      </c>
      <c r="X127" s="157">
        <f t="shared" si="29"/>
        <v>7.746869889558336E-2</v>
      </c>
      <c r="Y127" s="155">
        <f t="shared" si="30"/>
        <v>7.746869889558336E-2</v>
      </c>
      <c r="AA127" s="85">
        <f>'Price Deck'!R121/'Price Deck'!M121</f>
        <v>78.927344999999988</v>
      </c>
      <c r="AB127" s="85">
        <f t="shared" si="31"/>
        <v>4625.5926807867127</v>
      </c>
      <c r="AC127" s="85">
        <f t="shared" si="32"/>
        <v>358.33864660148009</v>
      </c>
      <c r="AD127" s="85">
        <f t="shared" si="33"/>
        <v>6.1143987244328262</v>
      </c>
    </row>
    <row r="128" spans="1:30">
      <c r="A128" s="164" t="str">
        <f>'Price Deck'!A122</f>
        <v>12/2028</v>
      </c>
      <c r="B128" s="51">
        <f>'Liquids Type Curve'!A135</f>
        <v>9.4218907987866523</v>
      </c>
      <c r="C128" s="51">
        <f>'Liquids Type Curve'!B135</f>
        <v>113.06268958543983</v>
      </c>
      <c r="D128" s="51">
        <f>'Liquids Type Curve'!C135</f>
        <v>8.3081478903525152</v>
      </c>
      <c r="E128" s="51">
        <f>'Liquids Type Curve'!D135</f>
        <v>252.70616499822233</v>
      </c>
      <c r="F128" s="51">
        <f>'Liquids Type Curve'!E135</f>
        <v>99583.337105656145</v>
      </c>
      <c r="G128" s="39"/>
      <c r="H128" s="51">
        <f t="shared" si="17"/>
        <v>9.4218907987866523</v>
      </c>
      <c r="I128" s="39">
        <f t="shared" si="18"/>
        <v>113.06268958543983</v>
      </c>
      <c r="J128" s="51">
        <f t="shared" si="19"/>
        <v>1.9108740147810785</v>
      </c>
      <c r="K128" s="51">
        <f t="shared" si="20"/>
        <v>58.122417949591139</v>
      </c>
      <c r="L128" s="51">
        <f t="shared" si="21"/>
        <v>22904.167534300916</v>
      </c>
      <c r="M128" s="39"/>
      <c r="N128" s="51">
        <f t="shared" si="22"/>
        <v>9.240741827974043</v>
      </c>
      <c r="O128" s="85">
        <f>('Price Deck'!R122/$B$2)/'Price Deck'!M122</f>
        <v>496.43721458099992</v>
      </c>
      <c r="Q128" s="155">
        <f t="shared" si="23"/>
        <v>0.32678996801954996</v>
      </c>
      <c r="R128" s="155">
        <f t="shared" si="24"/>
        <v>0.1</v>
      </c>
      <c r="S128" s="155">
        <f t="shared" si="25"/>
        <v>0.42344968672680994</v>
      </c>
      <c r="T128" s="155">
        <f t="shared" si="26"/>
        <v>0.32678996801954996</v>
      </c>
      <c r="U128" s="155">
        <f t="shared" si="27"/>
        <v>0.32921503652010997</v>
      </c>
      <c r="W128" s="155">
        <f t="shared" si="28"/>
        <v>-0.24942499853223507</v>
      </c>
      <c r="X128" s="157">
        <f t="shared" si="29"/>
        <v>7.7364969487314889E-2</v>
      </c>
      <c r="Y128" s="155">
        <f t="shared" si="30"/>
        <v>7.7364969487314889E-2</v>
      </c>
      <c r="AA128" s="85">
        <f>'Price Deck'!R122/'Price Deck'!M122</f>
        <v>78.927344999999988</v>
      </c>
      <c r="AB128" s="85">
        <f t="shared" si="31"/>
        <v>4587.4481337415718</v>
      </c>
      <c r="AC128" s="85">
        <f t="shared" si="32"/>
        <v>354.90778489155633</v>
      </c>
      <c r="AD128" s="85">
        <f t="shared" si="33"/>
        <v>6.1062116376397748</v>
      </c>
    </row>
    <row r="129" spans="1:30">
      <c r="A129" s="164" t="str">
        <f>'Price Deck'!A123</f>
        <v>01/2029</v>
      </c>
      <c r="B129" s="51">
        <f>'Liquids Type Curve'!A136</f>
        <v>9.5052241321199862</v>
      </c>
      <c r="C129" s="51">
        <f>'Liquids Type Curve'!B136</f>
        <v>114.06268958543984</v>
      </c>
      <c r="D129" s="51">
        <f>'Liquids Type Curve'!C136</f>
        <v>8.2402363083293348</v>
      </c>
      <c r="E129" s="51">
        <f>'Liquids Type Curve'!D136</f>
        <v>250.64052104501727</v>
      </c>
      <c r="F129" s="51">
        <f>'Liquids Type Curve'!E136</f>
        <v>99833.977626701162</v>
      </c>
      <c r="G129" s="39"/>
      <c r="H129" s="51">
        <f t="shared" si="17"/>
        <v>9.5052241321199862</v>
      </c>
      <c r="I129" s="39">
        <f t="shared" si="18"/>
        <v>114.06268958543984</v>
      </c>
      <c r="J129" s="51">
        <f t="shared" si="19"/>
        <v>1.8952543509157471</v>
      </c>
      <c r="K129" s="51">
        <f t="shared" si="20"/>
        <v>57.647319840353973</v>
      </c>
      <c r="L129" s="51">
        <f t="shared" si="21"/>
        <v>22961.814854141267</v>
      </c>
      <c r="M129" s="39"/>
      <c r="N129" s="51">
        <f t="shared" si="22"/>
        <v>9.1652071354182922</v>
      </c>
      <c r="O129" s="85">
        <f>('Price Deck'!R123/$B$2)/'Price Deck'!M123</f>
        <v>496.43721458099992</v>
      </c>
      <c r="Q129" s="155">
        <f t="shared" si="23"/>
        <v>0.32678996801954996</v>
      </c>
      <c r="R129" s="155">
        <f t="shared" si="24"/>
        <v>0.1</v>
      </c>
      <c r="S129" s="155">
        <f t="shared" si="25"/>
        <v>0.42344968672680994</v>
      </c>
      <c r="T129" s="155">
        <f t="shared" si="26"/>
        <v>0.32678996801954996</v>
      </c>
      <c r="U129" s="155">
        <f t="shared" si="27"/>
        <v>0.32921503652010997</v>
      </c>
      <c r="W129" s="155">
        <f t="shared" si="28"/>
        <v>-0.24952697036718532</v>
      </c>
      <c r="X129" s="157">
        <f t="shared" si="29"/>
        <v>7.7262997652364634E-2</v>
      </c>
      <c r="Y129" s="155">
        <f t="shared" si="30"/>
        <v>7.7262997652364634E-2</v>
      </c>
      <c r="AA129" s="85">
        <f>'Price Deck'!R123/'Price Deck'!M123</f>
        <v>78.927344999999988</v>
      </c>
      <c r="AB129" s="85">
        <f t="shared" si="31"/>
        <v>4549.949901364962</v>
      </c>
      <c r="AC129" s="85">
        <f t="shared" si="32"/>
        <v>351.54276854753778</v>
      </c>
      <c r="AD129" s="85">
        <f t="shared" si="33"/>
        <v>6.098163271442373</v>
      </c>
    </row>
    <row r="130" spans="1:30">
      <c r="A130" s="164" t="str">
        <f>'Price Deck'!A124</f>
        <v>02/2029</v>
      </c>
      <c r="B130" s="51">
        <f>'Liquids Type Curve'!A137</f>
        <v>9.5885574654533201</v>
      </c>
      <c r="C130" s="51">
        <f>'Liquids Type Curve'!B137</f>
        <v>115.06268958543984</v>
      </c>
      <c r="D130" s="51">
        <f>'Liquids Type Curve'!C137</f>
        <v>8.1734654050556976</v>
      </c>
      <c r="E130" s="51">
        <f>'Liquids Type Curve'!D137</f>
        <v>248.60957273711082</v>
      </c>
      <c r="F130" s="51">
        <f>'Liquids Type Curve'!E137</f>
        <v>100082.58719943828</v>
      </c>
      <c r="G130" s="39"/>
      <c r="H130" s="51">
        <f t="shared" si="17"/>
        <v>9.5885574654533201</v>
      </c>
      <c r="I130" s="39">
        <f t="shared" si="18"/>
        <v>115.06268958543984</v>
      </c>
      <c r="J130" s="51">
        <f t="shared" si="19"/>
        <v>1.8798970431628106</v>
      </c>
      <c r="K130" s="51">
        <f t="shared" si="20"/>
        <v>57.18020172953549</v>
      </c>
      <c r="L130" s="51">
        <f t="shared" si="21"/>
        <v>23018.995055870804</v>
      </c>
      <c r="M130" s="39"/>
      <c r="N130" s="51">
        <f t="shared" si="22"/>
        <v>9.0909411633971651</v>
      </c>
      <c r="O130" s="85">
        <f>('Price Deck'!R124/$B$2)/'Price Deck'!M124</f>
        <v>496.43721458099992</v>
      </c>
      <c r="Q130" s="155">
        <f t="shared" si="23"/>
        <v>0.32678996801954996</v>
      </c>
      <c r="R130" s="155">
        <f t="shared" si="24"/>
        <v>0.1</v>
      </c>
      <c r="S130" s="155">
        <f t="shared" si="25"/>
        <v>0.42344968672680994</v>
      </c>
      <c r="T130" s="155">
        <f t="shared" si="26"/>
        <v>0.32678996801954996</v>
      </c>
      <c r="U130" s="155">
        <f t="shared" si="27"/>
        <v>0.32921503652010997</v>
      </c>
      <c r="W130" s="155">
        <f t="shared" si="28"/>
        <v>-0.24962722942941384</v>
      </c>
      <c r="X130" s="157">
        <f t="shared" si="29"/>
        <v>7.7162738590136115E-2</v>
      </c>
      <c r="Y130" s="155">
        <f t="shared" si="30"/>
        <v>7.7162738590136115E-2</v>
      </c>
      <c r="AA130" s="85">
        <f>'Price Deck'!R124/'Price Deck'!M124</f>
        <v>78.927344999999988</v>
      </c>
      <c r="AB130" s="85">
        <f t="shared" si="31"/>
        <v>4513.0815090766437</v>
      </c>
      <c r="AC130" s="85">
        <f t="shared" si="32"/>
        <v>348.24172872085808</v>
      </c>
      <c r="AD130" s="85">
        <f t="shared" si="33"/>
        <v>6.0902500898484861</v>
      </c>
    </row>
    <row r="131" spans="1:30">
      <c r="A131" s="164" t="str">
        <f>'Price Deck'!A125</f>
        <v>03/2029</v>
      </c>
      <c r="B131" s="51">
        <f>'Liquids Type Curve'!A138</f>
        <v>9.671890798786654</v>
      </c>
      <c r="C131" s="51">
        <f>'Liquids Type Curve'!B138</f>
        <v>116.06268958543984</v>
      </c>
      <c r="D131" s="51">
        <f>'Liquids Type Curve'!C138</f>
        <v>8.1078063551895418</v>
      </c>
      <c r="E131" s="51">
        <f>'Liquids Type Curve'!D138</f>
        <v>246.61244330368191</v>
      </c>
      <c r="F131" s="51">
        <f>'Liquids Type Curve'!E138</f>
        <v>100329.19964274195</v>
      </c>
      <c r="G131" s="39"/>
      <c r="H131" s="51">
        <f t="shared" si="17"/>
        <v>9.671890798786654</v>
      </c>
      <c r="I131" s="39">
        <f t="shared" si="18"/>
        <v>116.06268958543984</v>
      </c>
      <c r="J131" s="51">
        <f t="shared" si="19"/>
        <v>1.8647954616935947</v>
      </c>
      <c r="K131" s="51">
        <f t="shared" si="20"/>
        <v>56.720861959846843</v>
      </c>
      <c r="L131" s="51">
        <f t="shared" si="21"/>
        <v>23075.71591783065</v>
      </c>
      <c r="M131" s="39"/>
      <c r="N131" s="51">
        <f t="shared" si="22"/>
        <v>9.0179118509089076</v>
      </c>
      <c r="O131" s="85">
        <f>('Price Deck'!R125/$B$2)/'Price Deck'!M125</f>
        <v>496.43721458099992</v>
      </c>
      <c r="Q131" s="155">
        <f t="shared" si="23"/>
        <v>0.32678996801954996</v>
      </c>
      <c r="R131" s="155">
        <f t="shared" si="24"/>
        <v>0.1</v>
      </c>
      <c r="S131" s="155">
        <f t="shared" si="25"/>
        <v>0.42344968672680994</v>
      </c>
      <c r="T131" s="155">
        <f t="shared" si="26"/>
        <v>0.32678996801954996</v>
      </c>
      <c r="U131" s="155">
        <f t="shared" si="27"/>
        <v>0.32921503652010997</v>
      </c>
      <c r="W131" s="155">
        <f t="shared" si="28"/>
        <v>-0.24972581900127297</v>
      </c>
      <c r="X131" s="157">
        <f t="shared" si="29"/>
        <v>7.7064149018276989E-2</v>
      </c>
      <c r="Y131" s="155">
        <f t="shared" si="30"/>
        <v>7.7064149018276989E-2</v>
      </c>
      <c r="AA131" s="85">
        <f>'Price Deck'!R125/'Price Deck'!M125</f>
        <v>78.927344999999988</v>
      </c>
      <c r="AB131" s="85">
        <f t="shared" si="31"/>
        <v>4476.8270406022075</v>
      </c>
      <c r="AC131" s="85">
        <f t="shared" si="32"/>
        <v>345.00286618602047</v>
      </c>
      <c r="AD131" s="85">
        <f t="shared" si="33"/>
        <v>6.0824686766969585</v>
      </c>
    </row>
    <row r="132" spans="1:30">
      <c r="A132" s="164" t="str">
        <f>'Price Deck'!A126</f>
        <v>04/2029</v>
      </c>
      <c r="B132" s="51">
        <f>'Liquids Type Curve'!A139</f>
        <v>9.755224132119988</v>
      </c>
      <c r="C132" s="51">
        <f>'Liquids Type Curve'!B139</f>
        <v>117.06268958543986</v>
      </c>
      <c r="D132" s="51">
        <f>'Liquids Type Curve'!C139</f>
        <v>8.0432313019014909</v>
      </c>
      <c r="E132" s="51">
        <f>'Liquids Type Curve'!D139</f>
        <v>244.64828543283701</v>
      </c>
      <c r="F132" s="51">
        <f>'Liquids Type Curve'!E139</f>
        <v>100573.84792817479</v>
      </c>
      <c r="G132" s="39"/>
      <c r="H132" s="51">
        <f t="shared" si="17"/>
        <v>9.755224132119988</v>
      </c>
      <c r="I132" s="39">
        <f t="shared" si="18"/>
        <v>117.06268958543986</v>
      </c>
      <c r="J132" s="51">
        <f t="shared" si="19"/>
        <v>1.849943199437343</v>
      </c>
      <c r="K132" s="51">
        <f t="shared" si="20"/>
        <v>56.269105649552515</v>
      </c>
      <c r="L132" s="51">
        <f t="shared" si="21"/>
        <v>23131.985023480203</v>
      </c>
      <c r="M132" s="39"/>
      <c r="N132" s="51">
        <f t="shared" si="22"/>
        <v>8.9460882141805005</v>
      </c>
      <c r="O132" s="85">
        <f>('Price Deck'!R126/$B$2)/'Price Deck'!M126</f>
        <v>496.43721458099992</v>
      </c>
      <c r="Q132" s="155">
        <f t="shared" si="23"/>
        <v>0.32678996801954996</v>
      </c>
      <c r="R132" s="155">
        <f t="shared" si="24"/>
        <v>0.1</v>
      </c>
      <c r="S132" s="155">
        <f t="shared" si="25"/>
        <v>0.42344968672680994</v>
      </c>
      <c r="T132" s="155">
        <f t="shared" si="26"/>
        <v>0.32678996801954996</v>
      </c>
      <c r="U132" s="155">
        <f t="shared" si="27"/>
        <v>0.32921503652010997</v>
      </c>
      <c r="W132" s="155">
        <f t="shared" si="28"/>
        <v>-0.24982278091085636</v>
      </c>
      <c r="X132" s="157">
        <f t="shared" si="29"/>
        <v>7.6967187108693602E-2</v>
      </c>
      <c r="Y132" s="155">
        <f t="shared" si="30"/>
        <v>7.6967187108693602E-2</v>
      </c>
      <c r="AA132" s="85">
        <f>'Price Deck'!R126/'Price Deck'!M126</f>
        <v>78.927344999999988</v>
      </c>
      <c r="AB132" s="85">
        <f t="shared" si="31"/>
        <v>4441.1711144436795</v>
      </c>
      <c r="AC132" s="85">
        <f t="shared" si="32"/>
        <v>341.82444814711198</v>
      </c>
      <c r="AD132" s="85">
        <f t="shared" si="33"/>
        <v>6.0748157306074111</v>
      </c>
    </row>
    <row r="133" spans="1:30">
      <c r="A133" s="164" t="str">
        <f>'Price Deck'!A127</f>
        <v>05/2029</v>
      </c>
      <c r="B133" s="51">
        <f>'Liquids Type Curve'!A140</f>
        <v>9.8385574654533219</v>
      </c>
      <c r="C133" s="51">
        <f>'Liquids Type Curve'!B140</f>
        <v>118.06268958543987</v>
      </c>
      <c r="D133" s="51">
        <f>'Liquids Type Curve'!C140</f>
        <v>7.9797133164033838</v>
      </c>
      <c r="E133" s="51">
        <f>'Liquids Type Curve'!D140</f>
        <v>242.71628004060292</v>
      </c>
      <c r="F133" s="51">
        <f>'Liquids Type Curve'!E140</f>
        <v>100816.56420821539</v>
      </c>
      <c r="G133" s="39"/>
      <c r="H133" s="51">
        <f t="shared" si="17"/>
        <v>9.8385574654533219</v>
      </c>
      <c r="I133" s="39">
        <f t="shared" si="18"/>
        <v>118.06268958543987</v>
      </c>
      <c r="J133" s="51">
        <f t="shared" si="19"/>
        <v>1.8353340627727783</v>
      </c>
      <c r="K133" s="51">
        <f t="shared" si="20"/>
        <v>55.824744409338678</v>
      </c>
      <c r="L133" s="51">
        <f t="shared" si="21"/>
        <v>23187.809767889543</v>
      </c>
      <c r="M133" s="39"/>
      <c r="N133" s="51">
        <f t="shared" si="22"/>
        <v>8.8754403016532599</v>
      </c>
      <c r="O133" s="85">
        <f>('Price Deck'!R127/$B$2)/'Price Deck'!M127</f>
        <v>496.43721458099992</v>
      </c>
      <c r="Q133" s="155">
        <f t="shared" si="23"/>
        <v>0.32678996801954996</v>
      </c>
      <c r="R133" s="155">
        <f t="shared" si="24"/>
        <v>0.1</v>
      </c>
      <c r="S133" s="155">
        <f t="shared" si="25"/>
        <v>0.42344968672680994</v>
      </c>
      <c r="T133" s="155">
        <f t="shared" si="26"/>
        <v>0.32678996801954996</v>
      </c>
      <c r="U133" s="155">
        <f t="shared" si="27"/>
        <v>0.32921503652010997</v>
      </c>
      <c r="W133" s="155">
        <f t="shared" si="28"/>
        <v>-0.24991815559276809</v>
      </c>
      <c r="X133" s="157">
        <f t="shared" si="29"/>
        <v>7.6871812426781871E-2</v>
      </c>
      <c r="Y133" s="155">
        <f t="shared" si="30"/>
        <v>7.6871812426781871E-2</v>
      </c>
      <c r="AA133" s="85">
        <f>'Price Deck'!R127/'Price Deck'!M127</f>
        <v>78.927344999999988</v>
      </c>
      <c r="AB133" s="85">
        <f t="shared" si="31"/>
        <v>4406.0988615326942</v>
      </c>
      <c r="AC133" s="85">
        <f t="shared" si="32"/>
        <v>338.70480521759839</v>
      </c>
      <c r="AD133" s="85">
        <f t="shared" si="33"/>
        <v>6.0672880601838983</v>
      </c>
    </row>
    <row r="134" spans="1:30">
      <c r="A134" s="164" t="str">
        <f>'Price Deck'!A128</f>
        <v>06/2029</v>
      </c>
      <c r="B134" s="51">
        <f>'Liquids Type Curve'!A141</f>
        <v>9.9218907987866558</v>
      </c>
      <c r="C134" s="51">
        <f>'Liquids Type Curve'!B141</f>
        <v>119.06268958543987</v>
      </c>
      <c r="D134" s="51">
        <f>'Liquids Type Curve'!C141</f>
        <v>7.9172263594938022</v>
      </c>
      <c r="E134" s="51">
        <f>'Liquids Type Curve'!D141</f>
        <v>240.81563510126983</v>
      </c>
      <c r="F134" s="51">
        <f>'Liquids Type Curve'!E141</f>
        <v>101057.37984331667</v>
      </c>
      <c r="G134" s="39"/>
      <c r="H134" s="51">
        <f t="shared" si="17"/>
        <v>9.9218907987866558</v>
      </c>
      <c r="I134" s="39">
        <f t="shared" si="18"/>
        <v>119.06268958543987</v>
      </c>
      <c r="J134" s="51">
        <f t="shared" si="19"/>
        <v>1.8209620626835745</v>
      </c>
      <c r="K134" s="51">
        <f t="shared" si="20"/>
        <v>55.387596073292066</v>
      </c>
      <c r="L134" s="51">
        <f t="shared" si="21"/>
        <v>23243.197363962834</v>
      </c>
      <c r="M134" s="39"/>
      <c r="N134" s="51">
        <f t="shared" si="22"/>
        <v>8.8059391512118133</v>
      </c>
      <c r="O134" s="85">
        <f>('Price Deck'!R128/$B$2)/'Price Deck'!M128</f>
        <v>496.43721458099992</v>
      </c>
      <c r="Q134" s="155">
        <f t="shared" si="23"/>
        <v>0.32678996801954996</v>
      </c>
      <c r="R134" s="155">
        <f t="shared" si="24"/>
        <v>0.1</v>
      </c>
      <c r="S134" s="155">
        <f t="shared" si="25"/>
        <v>0.42344968672680994</v>
      </c>
      <c r="T134" s="155">
        <f t="shared" si="26"/>
        <v>0.32678996801954996</v>
      </c>
      <c r="U134" s="155">
        <f t="shared" si="27"/>
        <v>0.32921503652010997</v>
      </c>
      <c r="W134" s="155">
        <f t="shared" si="28"/>
        <v>-0.25001198214586406</v>
      </c>
      <c r="X134" s="157">
        <f t="shared" si="29"/>
        <v>7.6777985873685894E-2</v>
      </c>
      <c r="Y134" s="155">
        <f t="shared" si="30"/>
        <v>7.6777985873685894E-2</v>
      </c>
      <c r="AA134" s="85">
        <f>'Price Deck'!R128/'Price Deck'!M128</f>
        <v>78.927344999999988</v>
      </c>
      <c r="AB134" s="85">
        <f t="shared" si="31"/>
        <v>4371.5959039973677</v>
      </c>
      <c r="AC134" s="85">
        <f t="shared" si="32"/>
        <v>335.64232856257303</v>
      </c>
      <c r="AD134" s="85">
        <f t="shared" si="33"/>
        <v>6.0598825794575326</v>
      </c>
    </row>
    <row r="135" spans="1:30">
      <c r="A135" s="164" t="str">
        <f>'Price Deck'!A129</f>
        <v>07/2029</v>
      </c>
      <c r="B135" s="51">
        <f>'Liquids Type Curve'!A142</f>
        <v>10.00522413211999</v>
      </c>
      <c r="C135" s="51">
        <f>'Liquids Type Curve'!B142</f>
        <v>120.06268958543987</v>
      </c>
      <c r="D135" s="51">
        <f>'Liquids Type Curve'!C142</f>
        <v>7.8557452450041731</v>
      </c>
      <c r="E135" s="51">
        <f>'Liquids Type Curve'!D142</f>
        <v>238.94558453554362</v>
      </c>
      <c r="F135" s="51">
        <f>'Liquids Type Curve'!E142</f>
        <v>101296.32542785221</v>
      </c>
      <c r="G135" s="39"/>
      <c r="H135" s="51">
        <f t="shared" si="17"/>
        <v>10.00522413211999</v>
      </c>
      <c r="I135" s="39">
        <f t="shared" si="18"/>
        <v>120.06268958543987</v>
      </c>
      <c r="J135" s="51">
        <f t="shared" si="19"/>
        <v>1.80682140635096</v>
      </c>
      <c r="K135" s="51">
        <f t="shared" si="20"/>
        <v>54.957484443175034</v>
      </c>
      <c r="L135" s="51">
        <f t="shared" si="21"/>
        <v>23298.154848406008</v>
      </c>
      <c r="M135" s="39"/>
      <c r="N135" s="51">
        <f t="shared" si="22"/>
        <v>8.7375567495270179</v>
      </c>
      <c r="O135" s="85">
        <f>('Price Deck'!R129/$B$2)/'Price Deck'!M129</f>
        <v>496.43721458099992</v>
      </c>
      <c r="Q135" s="155">
        <f t="shared" si="23"/>
        <v>0.32678996801954996</v>
      </c>
      <c r="R135" s="155">
        <f t="shared" si="24"/>
        <v>0.1</v>
      </c>
      <c r="S135" s="155">
        <f t="shared" si="25"/>
        <v>0.42344968672680994</v>
      </c>
      <c r="T135" s="155">
        <f t="shared" si="26"/>
        <v>0.32678996801954996</v>
      </c>
      <c r="U135" s="155">
        <f t="shared" si="27"/>
        <v>0.32921503652010997</v>
      </c>
      <c r="W135" s="155">
        <f t="shared" si="28"/>
        <v>-0.25010429838813852</v>
      </c>
      <c r="X135" s="157">
        <f t="shared" si="29"/>
        <v>7.6685669631411435E-2</v>
      </c>
      <c r="Y135" s="155">
        <f t="shared" si="30"/>
        <v>7.6685669631411435E-2</v>
      </c>
      <c r="AA135" s="85">
        <f>'Price Deck'!R129/'Price Deck'!M129</f>
        <v>78.927344999999988</v>
      </c>
      <c r="AB135" s="85">
        <f t="shared" si="31"/>
        <v>4337.6483349786085</v>
      </c>
      <c r="AC135" s="85">
        <f t="shared" si="32"/>
        <v>332.63546719341144</v>
      </c>
      <c r="AD135" s="85">
        <f t="shared" si="33"/>
        <v>6.0525963035544326</v>
      </c>
    </row>
    <row r="136" spans="1:30">
      <c r="A136" s="164" t="str">
        <f>'Price Deck'!A130</f>
        <v>08/2029</v>
      </c>
      <c r="B136" s="51">
        <f>'Liquids Type Curve'!A143</f>
        <v>10.088557465453324</v>
      </c>
      <c r="C136" s="51">
        <f>'Liquids Type Curve'!B143</f>
        <v>121.06268958543988</v>
      </c>
      <c r="D136" s="51">
        <f>'Liquids Type Curve'!C143</f>
        <v>7.7952456050364054</v>
      </c>
      <c r="E136" s="51">
        <f>'Liquids Type Curve'!D143</f>
        <v>237.10538715319066</v>
      </c>
      <c r="F136" s="51">
        <f>'Liquids Type Curve'!E143</f>
        <v>101533.4308150054</v>
      </c>
      <c r="G136" s="39"/>
      <c r="H136" s="51">
        <f t="shared" si="17"/>
        <v>10.088557465453324</v>
      </c>
      <c r="I136" s="39">
        <f t="shared" si="18"/>
        <v>121.06268958543988</v>
      </c>
      <c r="J136" s="51">
        <f t="shared" si="19"/>
        <v>1.7929064891583733</v>
      </c>
      <c r="K136" s="51">
        <f t="shared" si="20"/>
        <v>54.534239045233853</v>
      </c>
      <c r="L136" s="51">
        <f t="shared" si="21"/>
        <v>23352.689087451243</v>
      </c>
      <c r="M136" s="39"/>
      <c r="N136" s="51">
        <f t="shared" si="22"/>
        <v>8.6702659933914994</v>
      </c>
      <c r="O136" s="85">
        <f>('Price Deck'!R130/$B$2)/'Price Deck'!M130</f>
        <v>496.43721458099992</v>
      </c>
      <c r="Q136" s="155">
        <f t="shared" si="23"/>
        <v>0.32678996801954996</v>
      </c>
      <c r="R136" s="155">
        <f t="shared" si="24"/>
        <v>0.1</v>
      </c>
      <c r="S136" s="155">
        <f t="shared" si="25"/>
        <v>0.42344968672680994</v>
      </c>
      <c r="T136" s="155">
        <f t="shared" si="26"/>
        <v>0.32678996801954996</v>
      </c>
      <c r="U136" s="155">
        <f t="shared" si="27"/>
        <v>0.32921503652010997</v>
      </c>
      <c r="W136" s="155">
        <f t="shared" si="28"/>
        <v>-0.25019514090892148</v>
      </c>
      <c r="X136" s="157">
        <f t="shared" si="29"/>
        <v>7.6594827110628483E-2</v>
      </c>
      <c r="Y136" s="155">
        <f t="shared" si="30"/>
        <v>7.6594827110628483E-2</v>
      </c>
      <c r="AA136" s="85">
        <f>'Price Deck'!R130/'Price Deck'!M130</f>
        <v>78.927344999999988</v>
      </c>
      <c r="AB136" s="85">
        <f t="shared" si="31"/>
        <v>4304.242699435642</v>
      </c>
      <c r="AC136" s="85">
        <f t="shared" si="32"/>
        <v>329.68272540545786</v>
      </c>
      <c r="AD136" s="85">
        <f t="shared" si="33"/>
        <v>6.0454263445759269</v>
      </c>
    </row>
    <row r="137" spans="1:30">
      <c r="A137" s="164" t="str">
        <f>'Price Deck'!A131</f>
        <v>09/2029</v>
      </c>
      <c r="B137" s="51">
        <f>'Liquids Type Curve'!A144</f>
        <v>10.171890798786658</v>
      </c>
      <c r="C137" s="51">
        <f>'Liquids Type Curve'!B144</f>
        <v>122.0626895854399</v>
      </c>
      <c r="D137" s="51">
        <f>'Liquids Type Curve'!C144</f>
        <v>7.7357038568905256</v>
      </c>
      <c r="E137" s="51">
        <f>'Liquids Type Curve'!D144</f>
        <v>235.29432564708682</v>
      </c>
      <c r="F137" s="51">
        <f>'Liquids Type Curve'!E144</f>
        <v>101768.72514065249</v>
      </c>
      <c r="G137" s="39"/>
      <c r="H137" s="51">
        <f t="shared" si="17"/>
        <v>10.171890798786658</v>
      </c>
      <c r="I137" s="39">
        <f t="shared" si="18"/>
        <v>122.0626895854399</v>
      </c>
      <c r="J137" s="51">
        <f t="shared" si="19"/>
        <v>1.779211887084821</v>
      </c>
      <c r="K137" s="51">
        <f t="shared" si="20"/>
        <v>54.117694898829974</v>
      </c>
      <c r="L137" s="51">
        <f t="shared" si="21"/>
        <v>23406.806782350075</v>
      </c>
      <c r="M137" s="39"/>
      <c r="N137" s="51">
        <f t="shared" si="22"/>
        <v>8.6040406529349056</v>
      </c>
      <c r="O137" s="85">
        <f>('Price Deck'!R131/$B$2)/'Price Deck'!M131</f>
        <v>496.43721458099992</v>
      </c>
      <c r="Q137" s="155">
        <f t="shared" si="23"/>
        <v>0.32678996801954996</v>
      </c>
      <c r="R137" s="155">
        <f t="shared" si="24"/>
        <v>0.1</v>
      </c>
      <c r="S137" s="155">
        <f t="shared" si="25"/>
        <v>0.42344968672680994</v>
      </c>
      <c r="T137" s="155">
        <f t="shared" si="26"/>
        <v>0.32678996801954996</v>
      </c>
      <c r="U137" s="155">
        <f t="shared" si="27"/>
        <v>0.32921503652010997</v>
      </c>
      <c r="W137" s="155">
        <f t="shared" si="28"/>
        <v>-0.25028454511853787</v>
      </c>
      <c r="X137" s="157">
        <f t="shared" si="29"/>
        <v>7.6505422901012088E-2</v>
      </c>
      <c r="Y137" s="155">
        <f t="shared" si="30"/>
        <v>7.6505422901012088E-2</v>
      </c>
      <c r="AA137" s="85">
        <f>'Price Deck'!R131/'Price Deck'!M131</f>
        <v>78.927344999999988</v>
      </c>
      <c r="AB137" s="85">
        <f t="shared" si="31"/>
        <v>4271.3659758846925</v>
      </c>
      <c r="AC137" s="85">
        <f t="shared" si="32"/>
        <v>326.78266035005259</v>
      </c>
      <c r="AD137" s="85">
        <f t="shared" si="33"/>
        <v>6.0383699076790807</v>
      </c>
    </row>
    <row r="138" spans="1:30">
      <c r="A138" s="164" t="str">
        <f>'Price Deck'!A132</f>
        <v>10/2029</v>
      </c>
      <c r="B138" s="51">
        <f>'Liquids Type Curve'!A145</f>
        <v>10.255224132119992</v>
      </c>
      <c r="C138" s="51">
        <f>'Liquids Type Curve'!B145</f>
        <v>123.0626895854399</v>
      </c>
      <c r="D138" s="51">
        <f>'Liquids Type Curve'!C145</f>
        <v>7.6770971715868761</v>
      </c>
      <c r="E138" s="51">
        <f>'Liquids Type Curve'!D145</f>
        <v>233.5117056357675</v>
      </c>
      <c r="F138" s="51">
        <f>'Liquids Type Curve'!E145</f>
        <v>102002.23684628826</v>
      </c>
      <c r="G138" s="39"/>
      <c r="H138" s="51">
        <f t="shared" si="17"/>
        <v>10.255224132119992</v>
      </c>
      <c r="I138" s="39">
        <f t="shared" si="18"/>
        <v>123.0626895854399</v>
      </c>
      <c r="J138" s="51">
        <f t="shared" si="19"/>
        <v>1.7657323494649815</v>
      </c>
      <c r="K138" s="51">
        <f t="shared" si="20"/>
        <v>53.707692296226526</v>
      </c>
      <c r="L138" s="51">
        <f t="shared" si="21"/>
        <v>23460.514474646301</v>
      </c>
      <c r="M138" s="39"/>
      <c r="N138" s="51">
        <f t="shared" si="22"/>
        <v>8.5388553366126949</v>
      </c>
      <c r="O138" s="85">
        <f>('Price Deck'!R132/$B$2)/'Price Deck'!M132</f>
        <v>496.43721458099992</v>
      </c>
      <c r="Q138" s="155">
        <f t="shared" si="23"/>
        <v>0.32678996801954996</v>
      </c>
      <c r="R138" s="155">
        <f t="shared" si="24"/>
        <v>0.1</v>
      </c>
      <c r="S138" s="155">
        <f t="shared" si="25"/>
        <v>0.42344968672680994</v>
      </c>
      <c r="T138" s="155">
        <f t="shared" si="26"/>
        <v>0.32678996801954996</v>
      </c>
      <c r="U138" s="155">
        <f t="shared" si="27"/>
        <v>0.32921503652010997</v>
      </c>
      <c r="W138" s="155">
        <f t="shared" si="28"/>
        <v>-0.25037254529557285</v>
      </c>
      <c r="X138" s="157">
        <f t="shared" si="29"/>
        <v>7.6417422723977113E-2</v>
      </c>
      <c r="Y138" s="155">
        <f t="shared" si="30"/>
        <v>7.6417422723977113E-2</v>
      </c>
      <c r="AA138" s="85">
        <f>'Price Deck'!R132/'Price Deck'!M132</f>
        <v>78.927344999999988</v>
      </c>
      <c r="AB138" s="85">
        <f t="shared" si="31"/>
        <v>4239.0055590181128</v>
      </c>
      <c r="AC138" s="85">
        <f t="shared" si="32"/>
        <v>323.93387973277606</v>
      </c>
      <c r="AD138" s="85">
        <f t="shared" si="33"/>
        <v>6.031424287346181</v>
      </c>
    </row>
    <row r="139" spans="1:30">
      <c r="A139" s="164" t="str">
        <f>'Price Deck'!A133</f>
        <v>11/2029</v>
      </c>
      <c r="B139" s="51">
        <f>'Liquids Type Curve'!A146</f>
        <v>10.338557465453325</v>
      </c>
      <c r="C139" s="51">
        <f>'Liquids Type Curve'!B146</f>
        <v>124.0626895854399</v>
      </c>
      <c r="D139" s="51">
        <f>'Liquids Type Curve'!C146</f>
        <v>7.6194034438939058</v>
      </c>
      <c r="E139" s="51">
        <f>'Liquids Type Curve'!D146</f>
        <v>231.75685475177298</v>
      </c>
      <c r="F139" s="51">
        <f>'Liquids Type Curve'!E146</f>
        <v>102233.99370104003</v>
      </c>
      <c r="G139" s="39"/>
      <c r="H139" s="51">
        <f t="shared" si="17"/>
        <v>10.338557465453325</v>
      </c>
      <c r="I139" s="39">
        <f t="shared" si="18"/>
        <v>124.0626895854399</v>
      </c>
      <c r="J139" s="51">
        <f t="shared" si="19"/>
        <v>1.7524627920955984</v>
      </c>
      <c r="K139" s="51">
        <f t="shared" si="20"/>
        <v>53.304076592907784</v>
      </c>
      <c r="L139" s="51">
        <f t="shared" si="21"/>
        <v>23513.818551239208</v>
      </c>
      <c r="M139" s="39"/>
      <c r="N139" s="51">
        <f t="shared" si="22"/>
        <v>8.4746854578695316</v>
      </c>
      <c r="O139" s="85">
        <f>('Price Deck'!R133/$B$2)/'Price Deck'!M133</f>
        <v>496.43721458099992</v>
      </c>
      <c r="Q139" s="155">
        <f t="shared" si="23"/>
        <v>0.32678996801954996</v>
      </c>
      <c r="R139" s="155">
        <f t="shared" si="24"/>
        <v>0.1</v>
      </c>
      <c r="S139" s="155">
        <f t="shared" si="25"/>
        <v>0.42344968672680994</v>
      </c>
      <c r="T139" s="155">
        <f t="shared" si="26"/>
        <v>0.32678996801954996</v>
      </c>
      <c r="U139" s="155">
        <f t="shared" si="27"/>
        <v>0.32921503652010997</v>
      </c>
      <c r="W139" s="155">
        <f t="shared" si="28"/>
        <v>-0.25045917463187617</v>
      </c>
      <c r="X139" s="157">
        <f t="shared" si="29"/>
        <v>7.633079338767379E-2</v>
      </c>
      <c r="Y139" s="155">
        <f t="shared" si="30"/>
        <v>7.633079338767379E-2</v>
      </c>
      <c r="AA139" s="85">
        <f>'Price Deck'!R133/'Price Deck'!M133</f>
        <v>78.927344999999988</v>
      </c>
      <c r="AB139" s="85">
        <f t="shared" si="31"/>
        <v>4207.1492431548568</v>
      </c>
      <c r="AC139" s="85">
        <f t="shared" si="32"/>
        <v>321.13503963036152</v>
      </c>
      <c r="AD139" s="85">
        <f t="shared" si="33"/>
        <v>6.0245868638326474</v>
      </c>
    </row>
    <row r="140" spans="1:30">
      <c r="A140" s="164" t="str">
        <f>'Price Deck'!A134</f>
        <v>12/2029</v>
      </c>
      <c r="B140" s="51">
        <f>'Liquids Type Curve'!A147</f>
        <v>10.421890798786659</v>
      </c>
      <c r="C140" s="51">
        <f>'Liquids Type Curve'!B147</f>
        <v>125.06268958543991</v>
      </c>
      <c r="D140" s="51">
        <f>'Liquids Type Curve'!C147</f>
        <v>7.5626012637779692</v>
      </c>
      <c r="E140" s="51">
        <f>'Liquids Type Curve'!D147</f>
        <v>230.02912177324657</v>
      </c>
      <c r="F140" s="51">
        <f>'Liquids Type Curve'!E147</f>
        <v>102464.02282281328</v>
      </c>
      <c r="G140" s="39"/>
      <c r="H140" s="51">
        <f t="shared" ref="H140:H203" si="34">B140</f>
        <v>10.421890798786659</v>
      </c>
      <c r="I140" s="39">
        <f t="shared" ref="I140:I203" si="35">C140</f>
        <v>125.06268958543991</v>
      </c>
      <c r="J140" s="51">
        <f t="shared" ref="J140:J203" si="36">D140*$C$2</f>
        <v>1.7393982906689329</v>
      </c>
      <c r="K140" s="51">
        <f t="shared" ref="K140:K203" si="37">E140*$C$2</f>
        <v>52.906698007846714</v>
      </c>
      <c r="L140" s="51">
        <f t="shared" ref="L140:L203" si="38">F140*$C$2</f>
        <v>23566.725249247054</v>
      </c>
      <c r="M140" s="39"/>
      <c r="N140" s="51">
        <f t="shared" ref="N140:N203" si="39">K140*$B$2</f>
        <v>8.411507203384323</v>
      </c>
      <c r="O140" s="85">
        <f>('Price Deck'!R134/$B$2)/'Price Deck'!M134</f>
        <v>496.43721458099992</v>
      </c>
      <c r="Q140" s="155">
        <f t="shared" ref="Q140:Q203" si="40">MIN(IF(O140&gt;$L$3,U140,IF(O140&gt;$K$3,T140,IF(O140&gt;$J$3,S140))),0.36)</f>
        <v>0.32678996801954996</v>
      </c>
      <c r="R140" s="155">
        <f t="shared" ref="R140:R203" si="41">$E$3</f>
        <v>0.1</v>
      </c>
      <c r="S140" s="155">
        <f t="shared" ref="S140:S203" si="42">((O140-$J$3)*0.00101+0.1)</f>
        <v>0.42344968672680994</v>
      </c>
      <c r="T140" s="155">
        <f t="shared" ref="T140:T203" si="43">((O140-$K$3))*0.00055+0.21122</f>
        <v>0.32678996801954996</v>
      </c>
      <c r="U140" s="155">
        <f t="shared" ref="U140:U203" si="44">((O140-$L$3)*0.00031+0.33235)</f>
        <v>0.32921503652010997</v>
      </c>
      <c r="W140" s="155">
        <f t="shared" ref="W140:W203" si="45">IF(N140&gt;$D$2,0,((N140-$D$2)*0.00135))</f>
        <v>-0.25054446527543117</v>
      </c>
      <c r="X140" s="157">
        <f t="shared" ref="X140:X203" si="46">MAX(0.05,Q140+W140)</f>
        <v>7.6245502744118787E-2</v>
      </c>
      <c r="Y140" s="155">
        <f t="shared" ref="Y140:Y203" si="47">IF(C140&gt;$A$5,X140,0.05)</f>
        <v>7.6245502744118787E-2</v>
      </c>
      <c r="AA140" s="85">
        <f>'Price Deck'!R134/'Price Deck'!M134</f>
        <v>78.927344999999988</v>
      </c>
      <c r="AB140" s="85">
        <f t="shared" ref="AB140:AB203" si="48">AA140*K140</f>
        <v>4175.78520647613</v>
      </c>
      <c r="AC140" s="85">
        <f t="shared" ref="AC140:AC203" si="49">AB140*Y140</f>
        <v>318.3848424192264</v>
      </c>
      <c r="AD140" s="85">
        <f t="shared" ref="AD140:AD203" si="50">AC140/K140</f>
        <v>6.0178550997835094</v>
      </c>
    </row>
    <row r="141" spans="1:30">
      <c r="A141" s="164" t="str">
        <f>'Price Deck'!A135</f>
        <v>01/2030</v>
      </c>
      <c r="B141" s="51">
        <f>'Liquids Type Curve'!A148</f>
        <v>10.505224132119993</v>
      </c>
      <c r="C141" s="51">
        <f>'Liquids Type Curve'!B148</f>
        <v>126.06268958543993</v>
      </c>
      <c r="D141" s="51">
        <f>'Liquids Type Curve'!C148</f>
        <v>7.5066698891970427</v>
      </c>
      <c r="E141" s="51">
        <f>'Liquids Type Curve'!D148</f>
        <v>228.32787579641007</v>
      </c>
      <c r="F141" s="51">
        <f>'Liquids Type Curve'!E148</f>
        <v>102692.35069860969</v>
      </c>
      <c r="G141" s="39"/>
      <c r="H141" s="51">
        <f t="shared" si="34"/>
        <v>10.505224132119993</v>
      </c>
      <c r="I141" s="39">
        <f t="shared" si="35"/>
        <v>126.06268958543993</v>
      </c>
      <c r="J141" s="51">
        <f t="shared" si="36"/>
        <v>1.7265340745153199</v>
      </c>
      <c r="K141" s="51">
        <f t="shared" si="37"/>
        <v>52.515411433174322</v>
      </c>
      <c r="L141" s="51">
        <f t="shared" si="38"/>
        <v>23619.240660680229</v>
      </c>
      <c r="M141" s="39"/>
      <c r="N141" s="51">
        <f t="shared" si="39"/>
        <v>8.3492975028099981</v>
      </c>
      <c r="O141" s="85">
        <f>('Price Deck'!R135/$B$2)/'Price Deck'!M135</f>
        <v>496.43721458099992</v>
      </c>
      <c r="Q141" s="155">
        <f t="shared" si="40"/>
        <v>0.32678996801954996</v>
      </c>
      <c r="R141" s="155">
        <f t="shared" si="41"/>
        <v>0.1</v>
      </c>
      <c r="S141" s="155">
        <f t="shared" si="42"/>
        <v>0.42344968672680994</v>
      </c>
      <c r="T141" s="155">
        <f t="shared" si="43"/>
        <v>0.32678996801954996</v>
      </c>
      <c r="U141" s="155">
        <f t="shared" si="44"/>
        <v>0.32921503652010997</v>
      </c>
      <c r="W141" s="155">
        <f t="shared" si="45"/>
        <v>-0.25062844837120651</v>
      </c>
      <c r="X141" s="157">
        <f t="shared" si="46"/>
        <v>7.6161519648343445E-2</v>
      </c>
      <c r="Y141" s="155">
        <f t="shared" si="47"/>
        <v>7.6161519648343445E-2</v>
      </c>
      <c r="AA141" s="85">
        <f>'Price Deck'!R135/'Price Deck'!M135</f>
        <v>78.927344999999988</v>
      </c>
      <c r="AB141" s="85">
        <f t="shared" si="48"/>
        <v>4144.9019960030937</v>
      </c>
      <c r="AC141" s="85">
        <f t="shared" si="49"/>
        <v>315.68203480904759</v>
      </c>
      <c r="AD141" s="85">
        <f t="shared" si="50"/>
        <v>6.0112265370090814</v>
      </c>
    </row>
    <row r="142" spans="1:30">
      <c r="A142" s="164" t="str">
        <f>'Price Deck'!A136</f>
        <v>02/2030</v>
      </c>
      <c r="B142" s="51">
        <f>'Liquids Type Curve'!A149</f>
        <v>10.588557465453327</v>
      </c>
      <c r="C142" s="51">
        <f>'Liquids Type Curve'!B149</f>
        <v>127.06268958543993</v>
      </c>
      <c r="D142" s="51">
        <f>'Liquids Type Curve'!C149</f>
        <v>7.4515892201648501</v>
      </c>
      <c r="E142" s="51">
        <f>'Liquids Type Curve'!D149</f>
        <v>226.65250544668086</v>
      </c>
      <c r="F142" s="51">
        <f>'Liquids Type Curve'!E149</f>
        <v>102919.00320405637</v>
      </c>
      <c r="G142" s="39"/>
      <c r="H142" s="51">
        <f t="shared" si="34"/>
        <v>10.588557465453327</v>
      </c>
      <c r="I142" s="39">
        <f t="shared" si="35"/>
        <v>127.06268958543993</v>
      </c>
      <c r="J142" s="51">
        <f t="shared" si="36"/>
        <v>1.7138655206379156</v>
      </c>
      <c r="K142" s="51">
        <f t="shared" si="37"/>
        <v>52.1300762527366</v>
      </c>
      <c r="L142" s="51">
        <f t="shared" si="38"/>
        <v>23671.370736932964</v>
      </c>
      <c r="M142" s="39"/>
      <c r="N142" s="51">
        <f t="shared" si="39"/>
        <v>8.2880339999263253</v>
      </c>
      <c r="O142" s="85">
        <f>('Price Deck'!R136/$B$2)/'Price Deck'!M136</f>
        <v>496.43721458099992</v>
      </c>
      <c r="Q142" s="155">
        <f t="shared" si="40"/>
        <v>0.32678996801954996</v>
      </c>
      <c r="R142" s="155">
        <f t="shared" si="41"/>
        <v>0.1</v>
      </c>
      <c r="S142" s="155">
        <f t="shared" si="42"/>
        <v>0.42344968672680994</v>
      </c>
      <c r="T142" s="155">
        <f t="shared" si="43"/>
        <v>0.32678996801954996</v>
      </c>
      <c r="U142" s="155">
        <f t="shared" si="44"/>
        <v>0.32921503652010997</v>
      </c>
      <c r="W142" s="155">
        <f t="shared" si="45"/>
        <v>-0.25071115410009948</v>
      </c>
      <c r="X142" s="157">
        <f t="shared" si="46"/>
        <v>7.6078813919450483E-2</v>
      </c>
      <c r="Y142" s="155">
        <f t="shared" si="47"/>
        <v>7.6078813919450483E-2</v>
      </c>
      <c r="AA142" s="85">
        <f>'Price Deck'!R136/'Price Deck'!M136</f>
        <v>78.927344999999988</v>
      </c>
      <c r="AB142" s="85">
        <f t="shared" si="48"/>
        <v>4114.4885132760483</v>
      </c>
      <c r="AC142" s="85">
        <f t="shared" si="49"/>
        <v>313.02540597524495</v>
      </c>
      <c r="AD142" s="85">
        <f t="shared" si="50"/>
        <v>6.0046987934112694</v>
      </c>
    </row>
    <row r="143" spans="1:30">
      <c r="A143" s="164" t="str">
        <f>'Price Deck'!A137</f>
        <v>03/2030</v>
      </c>
      <c r="B143" s="51">
        <f>'Liquids Type Curve'!A150</f>
        <v>10.671890798786661</v>
      </c>
      <c r="C143" s="51">
        <f>'Liquids Type Curve'!B150</f>
        <v>128.06268958543993</v>
      </c>
      <c r="D143" s="51">
        <f>'Liquids Type Curve'!C150</f>
        <v>7.3973397740167597</v>
      </c>
      <c r="E143" s="51">
        <f>'Liquids Type Curve'!D150</f>
        <v>225.00241812634312</v>
      </c>
      <c r="F143" s="51">
        <f>'Liquids Type Curve'!E150</f>
        <v>103144.00562218271</v>
      </c>
      <c r="G143" s="39"/>
      <c r="H143" s="51">
        <f t="shared" si="34"/>
        <v>10.671890798786661</v>
      </c>
      <c r="I143" s="39">
        <f t="shared" si="35"/>
        <v>128.06268958543993</v>
      </c>
      <c r="J143" s="51">
        <f t="shared" si="36"/>
        <v>1.7013881480238549</v>
      </c>
      <c r="K143" s="51">
        <f t="shared" si="37"/>
        <v>51.750556169058918</v>
      </c>
      <c r="L143" s="51">
        <f t="shared" si="38"/>
        <v>23723.121293102024</v>
      </c>
      <c r="M143" s="39"/>
      <c r="N143" s="51">
        <f t="shared" si="39"/>
        <v>8.2276950251294032</v>
      </c>
      <c r="O143" s="85">
        <f>('Price Deck'!R137/$B$2)/'Price Deck'!M137</f>
        <v>496.43721458099992</v>
      </c>
      <c r="Q143" s="155">
        <f t="shared" si="40"/>
        <v>0.32678996801954996</v>
      </c>
      <c r="R143" s="155">
        <f t="shared" si="41"/>
        <v>0.1</v>
      </c>
      <c r="S143" s="155">
        <f t="shared" si="42"/>
        <v>0.42344968672680994</v>
      </c>
      <c r="T143" s="155">
        <f t="shared" si="43"/>
        <v>0.32678996801954996</v>
      </c>
      <c r="U143" s="155">
        <f t="shared" si="44"/>
        <v>0.32921503652010997</v>
      </c>
      <c r="W143" s="155">
        <f t="shared" si="45"/>
        <v>-0.25079261171607531</v>
      </c>
      <c r="X143" s="157">
        <f t="shared" si="46"/>
        <v>7.599735630347465E-2</v>
      </c>
      <c r="Y143" s="155">
        <f t="shared" si="47"/>
        <v>7.599735630347465E-2</v>
      </c>
      <c r="AA143" s="85">
        <f>'Price Deck'!R137/'Price Deck'!M137</f>
        <v>78.927344999999988</v>
      </c>
      <c r="AB143" s="85">
        <f t="shared" si="48"/>
        <v>4084.534000697191</v>
      </c>
      <c r="AC143" s="85">
        <f t="shared" si="49"/>
        <v>310.41378578464122</v>
      </c>
      <c r="AD143" s="85">
        <f t="shared" si="50"/>
        <v>5.9982695600522682</v>
      </c>
    </row>
    <row r="144" spans="1:30">
      <c r="A144" s="164" t="str">
        <f>'Price Deck'!A138</f>
        <v>04/2030</v>
      </c>
      <c r="B144" s="51">
        <f>'Liquids Type Curve'!A151</f>
        <v>10.755224132119995</v>
      </c>
      <c r="C144" s="51">
        <f>'Liquids Type Curve'!B151</f>
        <v>129.06268958543995</v>
      </c>
      <c r="D144" s="51">
        <f>'Liquids Type Curve'!C151</f>
        <v>7.3439026618128231</v>
      </c>
      <c r="E144" s="51">
        <f>'Liquids Type Curve'!D151</f>
        <v>223.37703929680671</v>
      </c>
      <c r="F144" s="51">
        <f>'Liquids Type Curve'!E151</f>
        <v>103367.38266147951</v>
      </c>
      <c r="G144" s="39"/>
      <c r="H144" s="51">
        <f t="shared" si="34"/>
        <v>10.755224132119995</v>
      </c>
      <c r="I144" s="39">
        <f t="shared" si="35"/>
        <v>129.06268958543995</v>
      </c>
      <c r="J144" s="51">
        <f t="shared" si="36"/>
        <v>1.6890976122169494</v>
      </c>
      <c r="K144" s="51">
        <f t="shared" si="37"/>
        <v>51.376719038265549</v>
      </c>
      <c r="L144" s="51">
        <f t="shared" si="38"/>
        <v>23774.498012140288</v>
      </c>
      <c r="M144" s="39"/>
      <c r="N144" s="51">
        <f t="shared" si="39"/>
        <v>8.1682595691859117</v>
      </c>
      <c r="O144" s="85">
        <f>('Price Deck'!R138/$B$2)/'Price Deck'!M138</f>
        <v>496.43721458099992</v>
      </c>
      <c r="Q144" s="155">
        <f t="shared" si="40"/>
        <v>0.32678996801954996</v>
      </c>
      <c r="R144" s="155">
        <f t="shared" si="41"/>
        <v>0.1</v>
      </c>
      <c r="S144" s="155">
        <f t="shared" si="42"/>
        <v>0.42344968672680994</v>
      </c>
      <c r="T144" s="155">
        <f t="shared" si="43"/>
        <v>0.32678996801954996</v>
      </c>
      <c r="U144" s="155">
        <f t="shared" si="44"/>
        <v>0.32921503652010997</v>
      </c>
      <c r="W144" s="155">
        <f t="shared" si="45"/>
        <v>-0.250872849581599</v>
      </c>
      <c r="X144" s="157">
        <f t="shared" si="46"/>
        <v>7.5917118437950959E-2</v>
      </c>
      <c r="Y144" s="155">
        <f t="shared" si="47"/>
        <v>7.5917118437950959E-2</v>
      </c>
      <c r="AA144" s="85">
        <f>'Price Deck'!R138/'Price Deck'!M138</f>
        <v>78.927344999999988</v>
      </c>
      <c r="AB144" s="85">
        <f t="shared" si="48"/>
        <v>4055.0280285012527</v>
      </c>
      <c r="AC144" s="85">
        <f t="shared" si="49"/>
        <v>307.84604310894036</v>
      </c>
      <c r="AD144" s="85">
        <f t="shared" si="50"/>
        <v>5.9919365983580155</v>
      </c>
    </row>
    <row r="145" spans="1:30">
      <c r="A145" s="164" t="str">
        <f>'Price Deck'!A139</f>
        <v>05/2030</v>
      </c>
      <c r="B145" s="51">
        <f>'Liquids Type Curve'!A152</f>
        <v>10.838557465453329</v>
      </c>
      <c r="C145" s="51">
        <f>'Liquids Type Curve'!B152</f>
        <v>130.06268958543995</v>
      </c>
      <c r="D145" s="51">
        <f>'Liquids Type Curve'!C152</f>
        <v>7.2912595658173158</v>
      </c>
      <c r="E145" s="51">
        <f>'Liquids Type Curve'!D152</f>
        <v>221.77581179361002</v>
      </c>
      <c r="F145" s="51">
        <f>'Liquids Type Curve'!E152</f>
        <v>103589.15847327311</v>
      </c>
      <c r="G145" s="39"/>
      <c r="H145" s="51">
        <f t="shared" si="34"/>
        <v>10.838557465453329</v>
      </c>
      <c r="I145" s="39">
        <f t="shared" si="35"/>
        <v>130.06268958543995</v>
      </c>
      <c r="J145" s="51">
        <f t="shared" si="36"/>
        <v>1.6769897001379828</v>
      </c>
      <c r="K145" s="51">
        <f t="shared" si="37"/>
        <v>51.008436712530305</v>
      </c>
      <c r="L145" s="51">
        <f t="shared" si="38"/>
        <v>23825.506448852819</v>
      </c>
      <c r="M145" s="39"/>
      <c r="N145" s="51">
        <f t="shared" si="39"/>
        <v>8.1097072581847289</v>
      </c>
      <c r="O145" s="85">
        <f>('Price Deck'!R139/$B$2)/'Price Deck'!M139</f>
        <v>496.43721458099992</v>
      </c>
      <c r="Q145" s="155">
        <f t="shared" si="40"/>
        <v>0.32678996801954996</v>
      </c>
      <c r="R145" s="155">
        <f t="shared" si="41"/>
        <v>0.1</v>
      </c>
      <c r="S145" s="155">
        <f t="shared" si="42"/>
        <v>0.42344968672680994</v>
      </c>
      <c r="T145" s="155">
        <f t="shared" si="43"/>
        <v>0.32678996801954996</v>
      </c>
      <c r="U145" s="155">
        <f t="shared" si="44"/>
        <v>0.32921503652010997</v>
      </c>
      <c r="W145" s="155">
        <f t="shared" si="45"/>
        <v>-0.25095189520145061</v>
      </c>
      <c r="X145" s="157">
        <f t="shared" si="46"/>
        <v>7.5838072818099345E-2</v>
      </c>
      <c r="Y145" s="155">
        <f t="shared" si="47"/>
        <v>7.5838072818099345E-2</v>
      </c>
      <c r="AA145" s="85">
        <f>'Price Deck'!R139/'Price Deck'!M139</f>
        <v>78.927344999999988</v>
      </c>
      <c r="AB145" s="85">
        <f t="shared" si="48"/>
        <v>4025.9604823205445</v>
      </c>
      <c r="AC145" s="85">
        <f t="shared" si="49"/>
        <v>305.32108422101584</v>
      </c>
      <c r="AD145" s="85">
        <f t="shared" si="50"/>
        <v>5.9856977374492484</v>
      </c>
    </row>
    <row r="146" spans="1:30">
      <c r="A146" s="164" t="str">
        <f>'Price Deck'!A140</f>
        <v>06/2030</v>
      </c>
      <c r="B146" s="51">
        <f>'Liquids Type Curve'!A153</f>
        <v>10.921890798786663</v>
      </c>
      <c r="C146" s="51">
        <f>'Liquids Type Curve'!B153</f>
        <v>131.06268958543995</v>
      </c>
      <c r="D146" s="51">
        <f>'Liquids Type Curve'!C153</f>
        <v>7.2393927179979238</v>
      </c>
      <c r="E146" s="51">
        <f>'Liquids Type Curve'!D153</f>
        <v>220.19819517243687</v>
      </c>
      <c r="F146" s="51">
        <f>'Liquids Type Curve'!E153</f>
        <v>103809.35666844554</v>
      </c>
      <c r="G146" s="39"/>
      <c r="H146" s="51">
        <f t="shared" si="34"/>
        <v>10.921890798786663</v>
      </c>
      <c r="I146" s="39">
        <f t="shared" si="35"/>
        <v>131.06268958543995</v>
      </c>
      <c r="J146" s="51">
        <f t="shared" si="36"/>
        <v>1.6650603251395226</v>
      </c>
      <c r="K146" s="51">
        <f t="shared" si="37"/>
        <v>50.645584889660483</v>
      </c>
      <c r="L146" s="51">
        <f t="shared" si="38"/>
        <v>23876.152033742477</v>
      </c>
      <c r="M146" s="39"/>
      <c r="N146" s="51">
        <f t="shared" si="39"/>
        <v>8.0520183296226406</v>
      </c>
      <c r="O146" s="85">
        <f>('Price Deck'!R140/$B$2)/'Price Deck'!M140</f>
        <v>496.43721458099992</v>
      </c>
      <c r="Q146" s="155">
        <f t="shared" si="40"/>
        <v>0.32678996801954996</v>
      </c>
      <c r="R146" s="155">
        <f t="shared" si="41"/>
        <v>0.1</v>
      </c>
      <c r="S146" s="155">
        <f t="shared" si="42"/>
        <v>0.42344968672680994</v>
      </c>
      <c r="T146" s="155">
        <f t="shared" si="43"/>
        <v>0.32678996801954996</v>
      </c>
      <c r="U146" s="155">
        <f t="shared" si="44"/>
        <v>0.32921503652010997</v>
      </c>
      <c r="W146" s="155">
        <f t="shared" si="45"/>
        <v>-0.25102977525500947</v>
      </c>
      <c r="X146" s="157">
        <f t="shared" si="46"/>
        <v>7.576019276454049E-2</v>
      </c>
      <c r="Y146" s="155">
        <f t="shared" si="47"/>
        <v>7.576019276454049E-2</v>
      </c>
      <c r="AA146" s="85">
        <f>'Price Deck'!R140/'Price Deck'!M140</f>
        <v>78.927344999999988</v>
      </c>
      <c r="AB146" s="85">
        <f t="shared" si="48"/>
        <v>3997.3215513130194</v>
      </c>
      <c r="AC146" s="85">
        <f t="shared" si="49"/>
        <v>302.83785126932639</v>
      </c>
      <c r="AD146" s="85">
        <f t="shared" si="50"/>
        <v>5.9795508715933909</v>
      </c>
    </row>
    <row r="147" spans="1:30">
      <c r="A147" s="164" t="str">
        <f>'Price Deck'!A141</f>
        <v>07/2030</v>
      </c>
      <c r="B147" s="51">
        <f>'Liquids Type Curve'!A154</f>
        <v>11.005224132119997</v>
      </c>
      <c r="C147" s="51">
        <f>'Liquids Type Curve'!B154</f>
        <v>132.06268958543995</v>
      </c>
      <c r="D147" s="51">
        <f>'Liquids Type Curve'!C154</f>
        <v>7.1882848794908654</v>
      </c>
      <c r="E147" s="51">
        <f>'Liquids Type Curve'!D154</f>
        <v>218.64366508451383</v>
      </c>
      <c r="F147" s="51">
        <f>'Liquids Type Curve'!E154</f>
        <v>104028.00033353006</v>
      </c>
      <c r="G147" s="39"/>
      <c r="H147" s="51">
        <f t="shared" si="34"/>
        <v>11.005224132119997</v>
      </c>
      <c r="I147" s="39">
        <f t="shared" si="35"/>
        <v>132.06268958543995</v>
      </c>
      <c r="J147" s="51">
        <f t="shared" si="36"/>
        <v>1.6533055222828992</v>
      </c>
      <c r="K147" s="51">
        <f t="shared" si="37"/>
        <v>50.28804296943818</v>
      </c>
      <c r="L147" s="51">
        <f t="shared" si="38"/>
        <v>23926.440076711915</v>
      </c>
      <c r="M147" s="39"/>
      <c r="N147" s="51">
        <f t="shared" si="39"/>
        <v>7.9951736095644028</v>
      </c>
      <c r="O147" s="85">
        <f>('Price Deck'!R141/$B$2)/'Price Deck'!M141</f>
        <v>496.43721458099992</v>
      </c>
      <c r="Q147" s="155">
        <f t="shared" si="40"/>
        <v>0.32678996801954996</v>
      </c>
      <c r="R147" s="155">
        <f t="shared" si="41"/>
        <v>0.1</v>
      </c>
      <c r="S147" s="155">
        <f t="shared" si="42"/>
        <v>0.42344968672680994</v>
      </c>
      <c r="T147" s="155">
        <f t="shared" si="43"/>
        <v>0.32678996801954996</v>
      </c>
      <c r="U147" s="155">
        <f t="shared" si="44"/>
        <v>0.32921503652010997</v>
      </c>
      <c r="W147" s="155">
        <f t="shared" si="45"/>
        <v>-0.25110651562708808</v>
      </c>
      <c r="X147" s="157">
        <f t="shared" si="46"/>
        <v>7.5683452392461881E-2</v>
      </c>
      <c r="Y147" s="155">
        <f t="shared" si="47"/>
        <v>7.5683452392461881E-2</v>
      </c>
      <c r="AA147" s="85">
        <f>'Price Deck'!R141/'Price Deck'!M141</f>
        <v>78.927344999999988</v>
      </c>
      <c r="AB147" s="85">
        <f t="shared" si="48"/>
        <v>3969.1017168236713</v>
      </c>
      <c r="AC147" s="85">
        <f t="shared" si="49"/>
        <v>300.39532082606303</v>
      </c>
      <c r="AD147" s="85">
        <f t="shared" si="50"/>
        <v>5.9734939577709136</v>
      </c>
    </row>
    <row r="148" spans="1:30">
      <c r="A148" s="164" t="str">
        <f>'Price Deck'!A142</f>
        <v>08/2030</v>
      </c>
      <c r="B148" s="51">
        <f>'Liquids Type Curve'!A155</f>
        <v>11.088557465453331</v>
      </c>
      <c r="C148" s="51">
        <f>'Liquids Type Curve'!B155</f>
        <v>133.06268958543995</v>
      </c>
      <c r="D148" s="51">
        <f>'Liquids Type Curve'!C155</f>
        <v>7.1379193209817853</v>
      </c>
      <c r="E148" s="51">
        <f>'Liquids Type Curve'!D155</f>
        <v>217.11171267986265</v>
      </c>
      <c r="F148" s="51">
        <f>'Liquids Type Curve'!E155</f>
        <v>104245.11204620992</v>
      </c>
      <c r="G148" s="39"/>
      <c r="H148" s="51">
        <f t="shared" si="34"/>
        <v>11.088557465453331</v>
      </c>
      <c r="I148" s="39">
        <f t="shared" si="35"/>
        <v>133.06268958543995</v>
      </c>
      <c r="J148" s="51">
        <f t="shared" si="36"/>
        <v>1.6417214438258108</v>
      </c>
      <c r="K148" s="51">
        <f t="shared" si="37"/>
        <v>49.935693916368415</v>
      </c>
      <c r="L148" s="51">
        <f t="shared" si="38"/>
        <v>23976.375770628281</v>
      </c>
      <c r="M148" s="39"/>
      <c r="N148" s="51">
        <f t="shared" si="39"/>
        <v>7.9391544908213953</v>
      </c>
      <c r="O148" s="85">
        <f>('Price Deck'!R142/$B$2)/'Price Deck'!M142</f>
        <v>496.43721458099992</v>
      </c>
      <c r="Q148" s="155">
        <f t="shared" si="40"/>
        <v>0.32678996801954996</v>
      </c>
      <c r="R148" s="155">
        <f t="shared" si="41"/>
        <v>0.1</v>
      </c>
      <c r="S148" s="155">
        <f t="shared" si="42"/>
        <v>0.42344968672680994</v>
      </c>
      <c r="T148" s="155">
        <f t="shared" si="43"/>
        <v>0.32678996801954996</v>
      </c>
      <c r="U148" s="155">
        <f t="shared" si="44"/>
        <v>0.32921503652010997</v>
      </c>
      <c r="W148" s="155">
        <f t="shared" si="45"/>
        <v>-0.25118214143739109</v>
      </c>
      <c r="X148" s="157">
        <f t="shared" si="46"/>
        <v>7.5607826582158866E-2</v>
      </c>
      <c r="Y148" s="155">
        <f t="shared" si="47"/>
        <v>7.5607826582158866E-2</v>
      </c>
      <c r="AA148" s="85">
        <f>'Price Deck'!R142/'Price Deck'!M142</f>
        <v>78.927344999999988</v>
      </c>
      <c r="AB148" s="85">
        <f t="shared" si="48"/>
        <v>3941.2917415516104</v>
      </c>
      <c r="AC148" s="85">
        <f t="shared" si="49"/>
        <v>297.99250250492906</v>
      </c>
      <c r="AD148" s="85">
        <f t="shared" si="50"/>
        <v>5.9675250133502225</v>
      </c>
    </row>
    <row r="149" spans="1:30">
      <c r="A149" s="164" t="str">
        <f>'Price Deck'!A143</f>
        <v>09/2030</v>
      </c>
      <c r="B149" s="51">
        <f>'Liquids Type Curve'!A156</f>
        <v>11.171890798786665</v>
      </c>
      <c r="C149" s="51">
        <f>'Liquids Type Curve'!B156</f>
        <v>134.06268958543998</v>
      </c>
      <c r="D149" s="51">
        <f>'Liquids Type Curve'!C156</f>
        <v>7.0882798039549755</v>
      </c>
      <c r="E149" s="51">
        <f>'Liquids Type Curve'!D156</f>
        <v>215.60184403696385</v>
      </c>
      <c r="F149" s="51">
        <f>'Liquids Type Curve'!E156</f>
        <v>104460.71389024689</v>
      </c>
      <c r="G149" s="39"/>
      <c r="H149" s="51">
        <f t="shared" si="34"/>
        <v>11.171890798786665</v>
      </c>
      <c r="I149" s="39">
        <f t="shared" si="35"/>
        <v>134.06268958543998</v>
      </c>
      <c r="J149" s="51">
        <f t="shared" si="36"/>
        <v>1.6303043549096445</v>
      </c>
      <c r="K149" s="51">
        <f t="shared" si="37"/>
        <v>49.588424128501686</v>
      </c>
      <c r="L149" s="51">
        <f t="shared" si="38"/>
        <v>24025.964194756783</v>
      </c>
      <c r="M149" s="39"/>
      <c r="N149" s="51">
        <f t="shared" si="39"/>
        <v>7.8839429120960425</v>
      </c>
      <c r="O149" s="85">
        <f>('Price Deck'!R143/$B$2)/'Price Deck'!M143</f>
        <v>496.43721458099992</v>
      </c>
      <c r="Q149" s="155">
        <f t="shared" si="40"/>
        <v>0.32678996801954996</v>
      </c>
      <c r="R149" s="155">
        <f t="shared" si="41"/>
        <v>0.1</v>
      </c>
      <c r="S149" s="155">
        <f t="shared" si="42"/>
        <v>0.42344968672680994</v>
      </c>
      <c r="T149" s="155">
        <f t="shared" si="43"/>
        <v>0.32678996801954996</v>
      </c>
      <c r="U149" s="155">
        <f t="shared" si="44"/>
        <v>0.32921503652010997</v>
      </c>
      <c r="W149" s="155">
        <f t="shared" si="45"/>
        <v>-0.25125667706867033</v>
      </c>
      <c r="X149" s="157">
        <f t="shared" si="46"/>
        <v>7.5533290950879628E-2</v>
      </c>
      <c r="Y149" s="155">
        <f t="shared" si="47"/>
        <v>7.5533290950879628E-2</v>
      </c>
      <c r="AA149" s="85">
        <f>'Price Deck'!R143/'Price Deck'!M143</f>
        <v>78.927344999999988</v>
      </c>
      <c r="AB149" s="85">
        <f t="shared" si="48"/>
        <v>3913.8826591965762</v>
      </c>
      <c r="AC149" s="85">
        <f t="shared" si="49"/>
        <v>295.62843764469744</v>
      </c>
      <c r="AD149" s="85">
        <f t="shared" si="50"/>
        <v>5.9616421138654534</v>
      </c>
    </row>
    <row r="150" spans="1:30">
      <c r="A150" s="164" t="str">
        <f>'Price Deck'!A144</f>
        <v>10/2030</v>
      </c>
      <c r="B150" s="51">
        <f>'Liquids Type Curve'!A157</f>
        <v>11.255224132119999</v>
      </c>
      <c r="C150" s="51">
        <f>'Liquids Type Curve'!B157</f>
        <v>135.06268958543998</v>
      </c>
      <c r="D150" s="51">
        <f>'Liquids Type Curve'!C157</f>
        <v>7.0393505627663586</v>
      </c>
      <c r="E150" s="51">
        <f>'Liquids Type Curve'!D157</f>
        <v>214.11357961747674</v>
      </c>
      <c r="F150" s="51">
        <f>'Liquids Type Curve'!E157</f>
        <v>104674.82746986437</v>
      </c>
      <c r="G150" s="39"/>
      <c r="H150" s="51">
        <f t="shared" si="34"/>
        <v>11.255224132119999</v>
      </c>
      <c r="I150" s="39">
        <f t="shared" si="35"/>
        <v>135.06268958543998</v>
      </c>
      <c r="J150" s="51">
        <f t="shared" si="36"/>
        <v>1.6190506294362625</v>
      </c>
      <c r="K150" s="51">
        <f t="shared" si="37"/>
        <v>49.246123312019655</v>
      </c>
      <c r="L150" s="51">
        <f t="shared" si="38"/>
        <v>24075.210318068806</v>
      </c>
      <c r="M150" s="39"/>
      <c r="N150" s="51">
        <f t="shared" si="39"/>
        <v>7.8295213380424906</v>
      </c>
      <c r="O150" s="85">
        <f>('Price Deck'!R144/$B$2)/'Price Deck'!M144</f>
        <v>496.43721458099992</v>
      </c>
      <c r="Q150" s="155">
        <f t="shared" si="40"/>
        <v>0.32678996801954996</v>
      </c>
      <c r="R150" s="155">
        <f t="shared" si="41"/>
        <v>0.1</v>
      </c>
      <c r="S150" s="155">
        <f t="shared" si="42"/>
        <v>0.42344968672680994</v>
      </c>
      <c r="T150" s="155">
        <f t="shared" si="43"/>
        <v>0.32678996801954996</v>
      </c>
      <c r="U150" s="155">
        <f t="shared" si="44"/>
        <v>0.32921503652010997</v>
      </c>
      <c r="W150" s="155">
        <f t="shared" si="45"/>
        <v>-0.25133014619364263</v>
      </c>
      <c r="X150" s="157">
        <f t="shared" si="46"/>
        <v>7.5459821825907325E-2</v>
      </c>
      <c r="Y150" s="155">
        <f t="shared" si="47"/>
        <v>7.5459821825907325E-2</v>
      </c>
      <c r="AA150" s="85">
        <f>'Price Deck'!R144/'Price Deck'!M144</f>
        <v>78.927344999999988</v>
      </c>
      <c r="AB150" s="85">
        <f t="shared" si="48"/>
        <v>3886.8657645603175</v>
      </c>
      <c r="AC150" s="85">
        <f t="shared" si="49"/>
        <v>293.30219805494062</v>
      </c>
      <c r="AD150" s="85">
        <f t="shared" si="50"/>
        <v>5.9558433908919168</v>
      </c>
    </row>
    <row r="151" spans="1:30">
      <c r="A151" s="164" t="str">
        <f>'Price Deck'!A145</f>
        <v>11/2030</v>
      </c>
      <c r="B151" s="51">
        <f>'Liquids Type Curve'!A158</f>
        <v>11.338557465453333</v>
      </c>
      <c r="C151" s="51">
        <f>'Liquids Type Curve'!B158</f>
        <v>136.06268958543998</v>
      </c>
      <c r="D151" s="51">
        <f>'Liquids Type Curve'!C158</f>
        <v>6.9911162874982287</v>
      </c>
      <c r="E151" s="51">
        <f>'Liquids Type Curve'!D158</f>
        <v>212.64645374473778</v>
      </c>
      <c r="F151" s="51">
        <f>'Liquids Type Curve'!E158</f>
        <v>104887.4739236091</v>
      </c>
      <c r="G151" s="39"/>
      <c r="H151" s="51">
        <f t="shared" si="34"/>
        <v>11.338557465453333</v>
      </c>
      <c r="I151" s="39">
        <f t="shared" si="35"/>
        <v>136.06268958543998</v>
      </c>
      <c r="J151" s="51">
        <f t="shared" si="36"/>
        <v>1.6079567461245927</v>
      </c>
      <c r="K151" s="51">
        <f t="shared" si="37"/>
        <v>48.908684361289694</v>
      </c>
      <c r="L151" s="51">
        <f t="shared" si="38"/>
        <v>24124.119002430092</v>
      </c>
      <c r="M151" s="39"/>
      <c r="N151" s="51">
        <f t="shared" si="39"/>
        <v>7.7758727401967782</v>
      </c>
      <c r="O151" s="85">
        <f>('Price Deck'!R145/$B$2)/'Price Deck'!M145</f>
        <v>496.43721458099992</v>
      </c>
      <c r="Q151" s="155">
        <f t="shared" si="40"/>
        <v>0.32678996801954996</v>
      </c>
      <c r="R151" s="155">
        <f t="shared" si="41"/>
        <v>0.1</v>
      </c>
      <c r="S151" s="155">
        <f t="shared" si="42"/>
        <v>0.42344968672680994</v>
      </c>
      <c r="T151" s="155">
        <f t="shared" si="43"/>
        <v>0.32678996801954996</v>
      </c>
      <c r="U151" s="155">
        <f t="shared" si="44"/>
        <v>0.32921503652010997</v>
      </c>
      <c r="W151" s="155">
        <f t="shared" si="45"/>
        <v>-0.25140257180073439</v>
      </c>
      <c r="X151" s="157">
        <f t="shared" si="46"/>
        <v>7.5387396218815572E-2</v>
      </c>
      <c r="Y151" s="155">
        <f t="shared" si="47"/>
        <v>7.5387396218815572E-2</v>
      </c>
      <c r="AA151" s="85">
        <f>'Price Deck'!R145/'Price Deck'!M145</f>
        <v>78.927344999999988</v>
      </c>
      <c r="AB151" s="85">
        <f t="shared" si="48"/>
        <v>3860.2326040796156</v>
      </c>
      <c r="AC151" s="85">
        <f t="shared" si="49"/>
        <v>291.01288482054019</v>
      </c>
      <c r="AD151" s="85">
        <f t="shared" si="50"/>
        <v>5.9501270300141504</v>
      </c>
    </row>
    <row r="152" spans="1:30">
      <c r="A152" s="164" t="str">
        <f>'Price Deck'!A146</f>
        <v>12/2030</v>
      </c>
      <c r="B152" s="51">
        <f>'Liquids Type Curve'!A159</f>
        <v>11.421890798786666</v>
      </c>
      <c r="C152" s="51">
        <f>'Liquids Type Curve'!B159</f>
        <v>137.06268958544001</v>
      </c>
      <c r="D152" s="51">
        <f>'Liquids Type Curve'!C159</f>
        <v>6.9435621075562608</v>
      </c>
      <c r="E152" s="51">
        <f>'Liquids Type Curve'!D159</f>
        <v>211.20001410483627</v>
      </c>
      <c r="F152" s="51">
        <f>'Liquids Type Curve'!E159</f>
        <v>105098.67393771393</v>
      </c>
      <c r="G152" s="39"/>
      <c r="H152" s="51">
        <f t="shared" si="34"/>
        <v>11.421890798786666</v>
      </c>
      <c r="I152" s="39">
        <f t="shared" si="35"/>
        <v>137.06268958544001</v>
      </c>
      <c r="J152" s="51">
        <f t="shared" si="36"/>
        <v>1.5970192847379401</v>
      </c>
      <c r="K152" s="51">
        <f t="shared" si="37"/>
        <v>48.576003244112343</v>
      </c>
      <c r="L152" s="51">
        <f t="shared" si="38"/>
        <v>24172.695005674206</v>
      </c>
      <c r="M152" s="39"/>
      <c r="N152" s="51">
        <f t="shared" si="39"/>
        <v>7.7229805787326056</v>
      </c>
      <c r="O152" s="85">
        <f>('Price Deck'!R146/$B$2)/'Price Deck'!M146</f>
        <v>496.43721458099992</v>
      </c>
      <c r="Q152" s="155">
        <f t="shared" si="40"/>
        <v>0.32678996801954996</v>
      </c>
      <c r="R152" s="155">
        <f t="shared" si="41"/>
        <v>0.1</v>
      </c>
      <c r="S152" s="155">
        <f t="shared" si="42"/>
        <v>0.42344968672680994</v>
      </c>
      <c r="T152" s="155">
        <f t="shared" si="43"/>
        <v>0.32678996801954996</v>
      </c>
      <c r="U152" s="155">
        <f t="shared" si="44"/>
        <v>0.32921503652010997</v>
      </c>
      <c r="W152" s="155">
        <f t="shared" si="45"/>
        <v>-0.25147397621871098</v>
      </c>
      <c r="X152" s="157">
        <f t="shared" si="46"/>
        <v>7.5315991800838977E-2</v>
      </c>
      <c r="Y152" s="155">
        <f t="shared" si="47"/>
        <v>7.5315991800838977E-2</v>
      </c>
      <c r="AA152" s="85">
        <f>'Price Deck'!R146/'Price Deck'!M146</f>
        <v>78.927344999999988</v>
      </c>
      <c r="AB152" s="85">
        <f t="shared" si="48"/>
        <v>3833.9749667691735</v>
      </c>
      <c r="AC152" s="85">
        <f t="shared" si="49"/>
        <v>288.75962716180896</v>
      </c>
      <c r="AD152" s="85">
        <f t="shared" si="50"/>
        <v>5.944491268881988</v>
      </c>
    </row>
    <row r="153" spans="1:30">
      <c r="A153" s="164" t="str">
        <f>'Price Deck'!A147</f>
        <v>01/2031</v>
      </c>
      <c r="B153" s="51">
        <f>'Liquids Type Curve'!A160</f>
        <v>11.50522413212</v>
      </c>
      <c r="C153" s="51">
        <f>'Liquids Type Curve'!B160</f>
        <v>138.06268958544001</v>
      </c>
      <c r="D153" s="51">
        <f>'Liquids Type Curve'!C160</f>
        <v>6.8966735759714357</v>
      </c>
      <c r="E153" s="51">
        <f>'Liquids Type Curve'!D160</f>
        <v>209.77382126913119</v>
      </c>
      <c r="F153" s="51">
        <f>'Liquids Type Curve'!E160</f>
        <v>105308.44775898306</v>
      </c>
      <c r="G153" s="39"/>
      <c r="H153" s="51">
        <f t="shared" si="34"/>
        <v>11.50522413212</v>
      </c>
      <c r="I153" s="39">
        <f t="shared" si="35"/>
        <v>138.06268958544001</v>
      </c>
      <c r="J153" s="51">
        <f t="shared" si="36"/>
        <v>1.5862349224734302</v>
      </c>
      <c r="K153" s="51">
        <f t="shared" si="37"/>
        <v>48.247978891900175</v>
      </c>
      <c r="L153" s="51">
        <f t="shared" si="38"/>
        <v>24220.942984566107</v>
      </c>
      <c r="M153" s="39"/>
      <c r="N153" s="51">
        <f t="shared" si="39"/>
        <v>7.6708287850011407</v>
      </c>
      <c r="O153" s="85">
        <f>('Price Deck'!R147/$B$2)/'Price Deck'!M147</f>
        <v>496.43721458099992</v>
      </c>
      <c r="Q153" s="155">
        <f t="shared" si="40"/>
        <v>0.32678996801954996</v>
      </c>
      <c r="R153" s="155">
        <f t="shared" si="41"/>
        <v>0.1</v>
      </c>
      <c r="S153" s="155">
        <f t="shared" si="42"/>
        <v>0.42344968672680994</v>
      </c>
      <c r="T153" s="155">
        <f t="shared" si="43"/>
        <v>0.32678996801954996</v>
      </c>
      <c r="U153" s="155">
        <f t="shared" si="44"/>
        <v>0.32921503652010997</v>
      </c>
      <c r="W153" s="155">
        <f t="shared" si="45"/>
        <v>-0.25154438114024846</v>
      </c>
      <c r="X153" s="157">
        <f t="shared" si="46"/>
        <v>7.5245586879301496E-2</v>
      </c>
      <c r="Y153" s="155">
        <f t="shared" si="47"/>
        <v>7.5245586879301496E-2</v>
      </c>
      <c r="AA153" s="85">
        <f>'Price Deck'!R147/'Price Deck'!M147</f>
        <v>78.927344999999988</v>
      </c>
      <c r="AB153" s="85">
        <f t="shared" si="48"/>
        <v>3808.0848755537222</v>
      </c>
      <c r="AC153" s="85">
        <f t="shared" si="49"/>
        <v>286.54158134723161</v>
      </c>
      <c r="AD153" s="85">
        <f t="shared" si="50"/>
        <v>5.9389343953501008</v>
      </c>
    </row>
    <row r="154" spans="1:30">
      <c r="A154" s="164" t="str">
        <f>'Price Deck'!A148</f>
        <v>02/2031</v>
      </c>
      <c r="B154" s="51">
        <f>'Liquids Type Curve'!A161</f>
        <v>11.588557465453334</v>
      </c>
      <c r="C154" s="51">
        <f>'Liquids Type Curve'!B161</f>
        <v>139.06268958544001</v>
      </c>
      <c r="D154" s="51">
        <f>'Liquids Type Curve'!C161</f>
        <v>6.8504366543718378</v>
      </c>
      <c r="E154" s="51">
        <f>'Liquids Type Curve'!D161</f>
        <v>208.36744823714341</v>
      </c>
      <c r="F154" s="51">
        <f>'Liquids Type Curve'!E161</f>
        <v>105516.81520722021</v>
      </c>
      <c r="G154" s="39"/>
      <c r="H154" s="51">
        <f t="shared" si="34"/>
        <v>11.588557465453334</v>
      </c>
      <c r="I154" s="39">
        <f t="shared" si="35"/>
        <v>139.06268958544001</v>
      </c>
      <c r="J154" s="51">
        <f t="shared" si="36"/>
        <v>1.5756004305055227</v>
      </c>
      <c r="K154" s="51">
        <f t="shared" si="37"/>
        <v>47.924513094542988</v>
      </c>
      <c r="L154" s="51">
        <f t="shared" si="38"/>
        <v>24268.867497660649</v>
      </c>
      <c r="M154" s="39"/>
      <c r="N154" s="51">
        <f t="shared" si="39"/>
        <v>7.6194017448158906</v>
      </c>
      <c r="O154" s="85">
        <f>('Price Deck'!R148/$B$2)/'Price Deck'!M148</f>
        <v>496.43721458099992</v>
      </c>
      <c r="Q154" s="155">
        <f t="shared" si="40"/>
        <v>0.32678996801954996</v>
      </c>
      <c r="R154" s="155">
        <f t="shared" si="41"/>
        <v>0.1</v>
      </c>
      <c r="S154" s="155">
        <f t="shared" si="42"/>
        <v>0.42344968672680994</v>
      </c>
      <c r="T154" s="155">
        <f t="shared" si="43"/>
        <v>0.32678996801954996</v>
      </c>
      <c r="U154" s="155">
        <f t="shared" si="44"/>
        <v>0.32921503652010997</v>
      </c>
      <c r="W154" s="155">
        <f t="shared" si="45"/>
        <v>-0.25161380764449859</v>
      </c>
      <c r="X154" s="157">
        <f t="shared" si="46"/>
        <v>7.5176160375051371E-2</v>
      </c>
      <c r="Y154" s="155">
        <f t="shared" si="47"/>
        <v>7.5176160375051371E-2</v>
      </c>
      <c r="AA154" s="85">
        <f>'Price Deck'!R148/'Price Deck'!M148</f>
        <v>78.927344999999988</v>
      </c>
      <c r="AB154" s="85">
        <f t="shared" si="48"/>
        <v>3782.5545789700113</v>
      </c>
      <c r="AC154" s="85">
        <f t="shared" si="49"/>
        <v>284.35792965603451</v>
      </c>
      <c r="AD154" s="85">
        <f t="shared" si="50"/>
        <v>5.9334547456970084</v>
      </c>
    </row>
    <row r="155" spans="1:30">
      <c r="A155" s="164" t="str">
        <f>'Price Deck'!A149</f>
        <v>03/2031</v>
      </c>
      <c r="B155" s="51">
        <f>'Liquids Type Curve'!A162</f>
        <v>11.671890798786668</v>
      </c>
      <c r="C155" s="51">
        <f>'Liquids Type Curve'!B162</f>
        <v>140.06268958544001</v>
      </c>
      <c r="D155" s="51">
        <f>'Liquids Type Curve'!C162</f>
        <v>6.8048376985909904</v>
      </c>
      <c r="E155" s="51">
        <f>'Liquids Type Curve'!D162</f>
        <v>206.9804799988093</v>
      </c>
      <c r="F155" s="51">
        <f>'Liquids Type Curve'!E162</f>
        <v>105723.79568721901</v>
      </c>
      <c r="G155" s="39"/>
      <c r="H155" s="51">
        <f t="shared" si="34"/>
        <v>11.671890798786668</v>
      </c>
      <c r="I155" s="39">
        <f t="shared" si="35"/>
        <v>140.06268958544001</v>
      </c>
      <c r="J155" s="51">
        <f t="shared" si="36"/>
        <v>1.565112670675928</v>
      </c>
      <c r="K155" s="51">
        <f t="shared" si="37"/>
        <v>47.605510399726143</v>
      </c>
      <c r="L155" s="51">
        <f t="shared" si="38"/>
        <v>24316.473008060373</v>
      </c>
      <c r="M155" s="39"/>
      <c r="N155" s="51">
        <f t="shared" si="39"/>
        <v>7.5686842824455693</v>
      </c>
      <c r="O155" s="85">
        <f>('Price Deck'!R149/$B$2)/'Price Deck'!M149</f>
        <v>496.43721458099992</v>
      </c>
      <c r="Q155" s="155">
        <f t="shared" si="40"/>
        <v>0.32678996801954996</v>
      </c>
      <c r="R155" s="155">
        <f t="shared" si="41"/>
        <v>0.1</v>
      </c>
      <c r="S155" s="155">
        <f t="shared" si="42"/>
        <v>0.42344968672680994</v>
      </c>
      <c r="T155" s="155">
        <f t="shared" si="43"/>
        <v>0.32678996801954996</v>
      </c>
      <c r="U155" s="155">
        <f t="shared" si="44"/>
        <v>0.32921503652010997</v>
      </c>
      <c r="W155" s="155">
        <f t="shared" si="45"/>
        <v>-0.25168227621869849</v>
      </c>
      <c r="X155" s="157">
        <f t="shared" si="46"/>
        <v>7.5107691800851473E-2</v>
      </c>
      <c r="Y155" s="155">
        <f t="shared" si="47"/>
        <v>7.5107691800851473E-2</v>
      </c>
      <c r="AA155" s="85">
        <f>'Price Deck'!R149/'Price Deck'!M149</f>
        <v>78.927344999999988</v>
      </c>
      <c r="AB155" s="85">
        <f t="shared" si="48"/>
        <v>3757.3765432202727</v>
      </c>
      <c r="AC155" s="85">
        <f t="shared" si="49"/>
        <v>282.20787938793694</v>
      </c>
      <c r="AD155" s="85">
        <f t="shared" si="50"/>
        <v>5.9280507029194753</v>
      </c>
    </row>
    <row r="156" spans="1:30">
      <c r="A156" s="164" t="str">
        <f>'Price Deck'!A150</f>
        <v>04/2031</v>
      </c>
      <c r="B156" s="51">
        <f>'Liquids Type Curve'!A163</f>
        <v>11.755224132120002</v>
      </c>
      <c r="C156" s="51">
        <f>'Liquids Type Curve'!B163</f>
        <v>141.06268958544001</v>
      </c>
      <c r="D156" s="51">
        <f>'Liquids Type Curve'!C163</f>
        <v>6.7598634448816757</v>
      </c>
      <c r="E156" s="51">
        <f>'Liquids Type Curve'!D163</f>
        <v>205.61251311515099</v>
      </c>
      <c r="F156" s="51">
        <f>'Liquids Type Curve'!E163</f>
        <v>105929.40820033416</v>
      </c>
      <c r="G156" s="39"/>
      <c r="H156" s="51">
        <f t="shared" si="34"/>
        <v>11.755224132120002</v>
      </c>
      <c r="I156" s="39">
        <f t="shared" si="35"/>
        <v>141.06268958544001</v>
      </c>
      <c r="J156" s="51">
        <f t="shared" si="36"/>
        <v>1.5547685923227854</v>
      </c>
      <c r="K156" s="51">
        <f t="shared" si="37"/>
        <v>47.290878016484733</v>
      </c>
      <c r="L156" s="51">
        <f t="shared" si="38"/>
        <v>24363.763886076857</v>
      </c>
      <c r="M156" s="39"/>
      <c r="N156" s="51">
        <f t="shared" si="39"/>
        <v>7.5186616452804111</v>
      </c>
      <c r="O156" s="85">
        <f>('Price Deck'!R150/$B$2)/'Price Deck'!M150</f>
        <v>496.43721458099992</v>
      </c>
      <c r="Q156" s="155">
        <f t="shared" si="40"/>
        <v>0.32678996801954996</v>
      </c>
      <c r="R156" s="155">
        <f t="shared" si="41"/>
        <v>0.1</v>
      </c>
      <c r="S156" s="155">
        <f t="shared" si="42"/>
        <v>0.42344968672680994</v>
      </c>
      <c r="T156" s="155">
        <f t="shared" si="43"/>
        <v>0.32678996801954996</v>
      </c>
      <c r="U156" s="155">
        <f t="shared" si="44"/>
        <v>0.32921503652010997</v>
      </c>
      <c r="W156" s="155">
        <f t="shared" si="45"/>
        <v>-0.25174980677887143</v>
      </c>
      <c r="X156" s="157">
        <f t="shared" si="46"/>
        <v>7.5040161240678527E-2</v>
      </c>
      <c r="Y156" s="155">
        <f t="shared" si="47"/>
        <v>7.5040161240678527E-2</v>
      </c>
      <c r="AA156" s="85">
        <f>'Price Deck'!R150/'Price Deck'!M150</f>
        <v>78.927344999999988</v>
      </c>
      <c r="AB156" s="85">
        <f t="shared" si="48"/>
        <v>3732.5434445600058</v>
      </c>
      <c r="AC156" s="85">
        <f t="shared" si="49"/>
        <v>280.09066191762048</v>
      </c>
      <c r="AD156" s="85">
        <f t="shared" si="50"/>
        <v>5.9227206950986622</v>
      </c>
    </row>
    <row r="157" spans="1:30">
      <c r="A157" s="164" t="str">
        <f>'Price Deck'!A151</f>
        <v>05/2031</v>
      </c>
      <c r="B157" s="51">
        <f>'Liquids Type Curve'!A164</f>
        <v>11.838557465453336</v>
      </c>
      <c r="C157" s="51">
        <f>'Liquids Type Curve'!B164</f>
        <v>142.06268958544004</v>
      </c>
      <c r="D157" s="51">
        <f>'Liquids Type Curve'!C164</f>
        <v>6.7155009967054475</v>
      </c>
      <c r="E157" s="51">
        <f>'Liquids Type Curve'!D164</f>
        <v>204.26315531645736</v>
      </c>
      <c r="F157" s="51">
        <f>'Liquids Type Curve'!E164</f>
        <v>106133.67135565061</v>
      </c>
      <c r="G157" s="39"/>
      <c r="H157" s="51">
        <f t="shared" si="34"/>
        <v>11.838557465453336</v>
      </c>
      <c r="I157" s="39">
        <f t="shared" si="35"/>
        <v>142.06268958544004</v>
      </c>
      <c r="J157" s="51">
        <f t="shared" si="36"/>
        <v>1.5445652292422529</v>
      </c>
      <c r="K157" s="51">
        <f t="shared" si="37"/>
        <v>46.980525722785195</v>
      </c>
      <c r="L157" s="51">
        <f t="shared" si="38"/>
        <v>24410.744411799642</v>
      </c>
      <c r="M157" s="39"/>
      <c r="N157" s="51">
        <f t="shared" si="39"/>
        <v>7.4693194891387957</v>
      </c>
      <c r="O157" s="85">
        <f>('Price Deck'!R151/$B$2)/'Price Deck'!M151</f>
        <v>496.43721458099992</v>
      </c>
      <c r="Q157" s="155">
        <f t="shared" si="40"/>
        <v>0.32678996801954996</v>
      </c>
      <c r="R157" s="155">
        <f t="shared" si="41"/>
        <v>0.1</v>
      </c>
      <c r="S157" s="155">
        <f t="shared" si="42"/>
        <v>0.42344968672680994</v>
      </c>
      <c r="T157" s="155">
        <f t="shared" si="43"/>
        <v>0.32678996801954996</v>
      </c>
      <c r="U157" s="155">
        <f t="shared" si="44"/>
        <v>0.32921503652010997</v>
      </c>
      <c r="W157" s="155">
        <f t="shared" si="45"/>
        <v>-0.25181641868966265</v>
      </c>
      <c r="X157" s="157">
        <f t="shared" si="46"/>
        <v>7.4973549329887312E-2</v>
      </c>
      <c r="Y157" s="155">
        <f t="shared" si="47"/>
        <v>7.4973549329887312E-2</v>
      </c>
      <c r="AA157" s="85">
        <f>'Price Deck'!R151/'Price Deck'!M151</f>
        <v>78.927344999999988</v>
      </c>
      <c r="AB157" s="85">
        <f t="shared" si="48"/>
        <v>3708.0481620036408</v>
      </c>
      <c r="AC157" s="85">
        <f t="shared" si="49"/>
        <v>278.00553179157794</v>
      </c>
      <c r="AD157" s="85">
        <f t="shared" si="50"/>
        <v>5.9174631938345339</v>
      </c>
    </row>
    <row r="158" spans="1:30">
      <c r="A158" s="164" t="str">
        <f>'Price Deck'!A152</f>
        <v>06/2031</v>
      </c>
      <c r="B158" s="51">
        <f>'Liquids Type Curve'!A165</f>
        <v>11.92189079878667</v>
      </c>
      <c r="C158" s="51">
        <f>'Liquids Type Curve'!B165</f>
        <v>143.06268958544004</v>
      </c>
      <c r="D158" s="51">
        <f>'Liquids Type Curve'!C165</f>
        <v>6.6717378120701438</v>
      </c>
      <c r="E158" s="51">
        <f>'Liquids Type Curve'!D165</f>
        <v>202.93202511713355</v>
      </c>
      <c r="F158" s="51">
        <f>'Liquids Type Curve'!E165</f>
        <v>106336.60338076774</v>
      </c>
      <c r="G158" s="39"/>
      <c r="H158" s="51">
        <f t="shared" si="34"/>
        <v>11.92189079878667</v>
      </c>
      <c r="I158" s="39">
        <f t="shared" si="35"/>
        <v>143.06268958544004</v>
      </c>
      <c r="J158" s="51">
        <f t="shared" si="36"/>
        <v>1.5344996967761331</v>
      </c>
      <c r="K158" s="51">
        <f t="shared" si="37"/>
        <v>46.674365776940718</v>
      </c>
      <c r="L158" s="51">
        <f t="shared" si="38"/>
        <v>24457.418777576582</v>
      </c>
      <c r="M158" s="39"/>
      <c r="N158" s="51">
        <f t="shared" si="39"/>
        <v>7.4206438641833952</v>
      </c>
      <c r="O158" s="85">
        <f>('Price Deck'!R152/$B$2)/'Price Deck'!M152</f>
        <v>496.43721458099992</v>
      </c>
      <c r="Q158" s="155">
        <f t="shared" si="40"/>
        <v>0.32678996801954996</v>
      </c>
      <c r="R158" s="155">
        <f t="shared" si="41"/>
        <v>0.1</v>
      </c>
      <c r="S158" s="155">
        <f t="shared" si="42"/>
        <v>0.42344968672680994</v>
      </c>
      <c r="T158" s="155">
        <f t="shared" si="43"/>
        <v>0.32678996801954996</v>
      </c>
      <c r="U158" s="155">
        <f t="shared" si="44"/>
        <v>0.32921503652010997</v>
      </c>
      <c r="W158" s="155">
        <f t="shared" si="45"/>
        <v>-0.25188213078335242</v>
      </c>
      <c r="X158" s="157">
        <f t="shared" si="46"/>
        <v>7.4907837236197539E-2</v>
      </c>
      <c r="Y158" s="155">
        <f t="shared" si="47"/>
        <v>7.4907837236197539E-2</v>
      </c>
      <c r="AA158" s="85">
        <f>'Price Deck'!R152/'Price Deck'!M152</f>
        <v>78.927344999999988</v>
      </c>
      <c r="AB158" s="85">
        <f t="shared" si="48"/>
        <v>3683.8837703327927</v>
      </c>
      <c r="AC158" s="85">
        <f t="shared" si="49"/>
        <v>275.95176586515856</v>
      </c>
      <c r="AD158" s="85">
        <f t="shared" si="50"/>
        <v>5.9122767127452089</v>
      </c>
    </row>
    <row r="159" spans="1:30">
      <c r="A159" s="164" t="str">
        <f>'Price Deck'!A153</f>
        <v>07/2031</v>
      </c>
      <c r="B159" s="51">
        <f>'Liquids Type Curve'!A166</f>
        <v>12.005224132120004</v>
      </c>
      <c r="C159" s="51">
        <f>'Liquids Type Curve'!B166</f>
        <v>144.06268958544004</v>
      </c>
      <c r="D159" s="51">
        <f>'Liquids Type Curve'!C166</f>
        <v>6.6285616913888292</v>
      </c>
      <c r="E159" s="51">
        <f>'Liquids Type Curve'!D166</f>
        <v>201.61875144641024</v>
      </c>
      <c r="F159" s="51">
        <f>'Liquids Type Curve'!E166</f>
        <v>106538.22213221416</v>
      </c>
      <c r="G159" s="39"/>
      <c r="H159" s="51">
        <f t="shared" si="34"/>
        <v>12.005224132120004</v>
      </c>
      <c r="I159" s="39">
        <f t="shared" si="35"/>
        <v>144.06268958544004</v>
      </c>
      <c r="J159" s="51">
        <f t="shared" si="36"/>
        <v>1.5245691890194308</v>
      </c>
      <c r="K159" s="51">
        <f t="shared" si="37"/>
        <v>46.372312832674361</v>
      </c>
      <c r="L159" s="51">
        <f t="shared" si="38"/>
        <v>24503.791090409257</v>
      </c>
      <c r="M159" s="39"/>
      <c r="N159" s="51">
        <f t="shared" si="39"/>
        <v>7.3726212014172727</v>
      </c>
      <c r="O159" s="85">
        <f>('Price Deck'!R153/$B$2)/'Price Deck'!M153</f>
        <v>496.43721458099992</v>
      </c>
      <c r="Q159" s="155">
        <f t="shared" si="40"/>
        <v>0.32678996801954996</v>
      </c>
      <c r="R159" s="155">
        <f t="shared" si="41"/>
        <v>0.1</v>
      </c>
      <c r="S159" s="155">
        <f t="shared" si="42"/>
        <v>0.42344968672680994</v>
      </c>
      <c r="T159" s="155">
        <f t="shared" si="43"/>
        <v>0.32678996801954996</v>
      </c>
      <c r="U159" s="155">
        <f t="shared" si="44"/>
        <v>0.32921503652010997</v>
      </c>
      <c r="W159" s="155">
        <f t="shared" si="45"/>
        <v>-0.2519469613780867</v>
      </c>
      <c r="X159" s="157">
        <f t="shared" si="46"/>
        <v>7.4843006641463261E-2</v>
      </c>
      <c r="Y159" s="155">
        <f t="shared" si="47"/>
        <v>7.4843006641463261E-2</v>
      </c>
      <c r="AA159" s="85">
        <f>'Price Deck'!R153/'Price Deck'!M153</f>
        <v>78.927344999999988</v>
      </c>
      <c r="AB159" s="85">
        <f t="shared" si="48"/>
        <v>3660.0435333924161</v>
      </c>
      <c r="AC159" s="85">
        <f t="shared" si="49"/>
        <v>273.92866247773327</v>
      </c>
      <c r="AD159" s="85">
        <f t="shared" si="50"/>
        <v>5.9071598060280612</v>
      </c>
    </row>
    <row r="160" spans="1:30">
      <c r="A160" s="164" t="str">
        <f>'Price Deck'!A154</f>
        <v>08/2031</v>
      </c>
      <c r="B160" s="51">
        <f>'Liquids Type Curve'!A167</f>
        <v>12.088557465453338</v>
      </c>
      <c r="C160" s="51">
        <f>'Liquids Type Curve'!B167</f>
        <v>145.06268958544007</v>
      </c>
      <c r="D160" s="51">
        <f>'Liquids Type Curve'!C167</f>
        <v>6.5859607658354369</v>
      </c>
      <c r="E160" s="51">
        <f>'Liquids Type Curve'!D167</f>
        <v>200.32297329416122</v>
      </c>
      <c r="F160" s="51">
        <f>'Liquids Type Curve'!E167</f>
        <v>106738.54510550831</v>
      </c>
      <c r="G160" s="39"/>
      <c r="H160" s="51">
        <f t="shared" si="34"/>
        <v>12.088557465453338</v>
      </c>
      <c r="I160" s="39">
        <f t="shared" si="35"/>
        <v>145.06268958544007</v>
      </c>
      <c r="J160" s="51">
        <f t="shared" si="36"/>
        <v>1.5147709761421506</v>
      </c>
      <c r="K160" s="51">
        <f t="shared" si="37"/>
        <v>46.074283857657079</v>
      </c>
      <c r="L160" s="51">
        <f t="shared" si="38"/>
        <v>24549.865374266912</v>
      </c>
      <c r="M160" s="39"/>
      <c r="N160" s="51">
        <f t="shared" si="39"/>
        <v>7.3252382997324368</v>
      </c>
      <c r="O160" s="85">
        <f>('Price Deck'!R154/$B$2)/'Price Deck'!M154</f>
        <v>496.43721458099992</v>
      </c>
      <c r="Q160" s="155">
        <f t="shared" si="40"/>
        <v>0.32678996801954996</v>
      </c>
      <c r="R160" s="155">
        <f t="shared" si="41"/>
        <v>0.1</v>
      </c>
      <c r="S160" s="155">
        <f t="shared" si="42"/>
        <v>0.42344968672680994</v>
      </c>
      <c r="T160" s="155">
        <f t="shared" si="43"/>
        <v>0.32678996801954996</v>
      </c>
      <c r="U160" s="155">
        <f t="shared" si="44"/>
        <v>0.32921503652010997</v>
      </c>
      <c r="W160" s="155">
        <f t="shared" si="45"/>
        <v>-0.2520109282953612</v>
      </c>
      <c r="X160" s="157">
        <f t="shared" si="46"/>
        <v>7.4779039724188756E-2</v>
      </c>
      <c r="Y160" s="155">
        <f t="shared" si="47"/>
        <v>7.4779039724188756E-2</v>
      </c>
      <c r="AA160" s="85">
        <f>'Price Deck'!R154/'Price Deck'!M154</f>
        <v>78.927344999999988</v>
      </c>
      <c r="AB160" s="85">
        <f t="shared" si="48"/>
        <v>3636.5208976612307</v>
      </c>
      <c r="AC160" s="85">
        <f t="shared" si="49"/>
        <v>271.9355406640517</v>
      </c>
      <c r="AD160" s="85">
        <f t="shared" si="50"/>
        <v>5.9021110670797494</v>
      </c>
    </row>
    <row r="161" spans="1:30">
      <c r="A161" s="164" t="str">
        <f>'Price Deck'!A155</f>
        <v>09/2031</v>
      </c>
      <c r="B161" s="51">
        <f>'Liquids Type Curve'!A168</f>
        <v>12.171890798786672</v>
      </c>
      <c r="C161" s="51">
        <f>'Liquids Type Curve'!B168</f>
        <v>146.06268958544007</v>
      </c>
      <c r="D161" s="51">
        <f>'Liquids Type Curve'!C168</f>
        <v>6.5439234861733562</v>
      </c>
      <c r="E161" s="51">
        <f>'Liquids Type Curve'!D168</f>
        <v>199.04433937110625</v>
      </c>
      <c r="F161" s="51">
        <f>'Liquids Type Curve'!E168</f>
        <v>106937.58944487941</v>
      </c>
      <c r="G161" s="39"/>
      <c r="H161" s="51">
        <f t="shared" si="34"/>
        <v>12.171890798786672</v>
      </c>
      <c r="I161" s="39">
        <f t="shared" si="35"/>
        <v>146.06268958544007</v>
      </c>
      <c r="J161" s="51">
        <f t="shared" si="36"/>
        <v>1.505102401819872</v>
      </c>
      <c r="K161" s="51">
        <f t="shared" si="37"/>
        <v>45.78019805535444</v>
      </c>
      <c r="L161" s="51">
        <f t="shared" si="38"/>
        <v>24595.645572322264</v>
      </c>
      <c r="M161" s="39"/>
      <c r="N161" s="51">
        <f t="shared" si="39"/>
        <v>7.2784823134844414</v>
      </c>
      <c r="O161" s="85">
        <f>('Price Deck'!R155/$B$2)/'Price Deck'!M155</f>
        <v>496.43721458099992</v>
      </c>
      <c r="Q161" s="155">
        <f t="shared" si="40"/>
        <v>0.32678996801954996</v>
      </c>
      <c r="R161" s="155">
        <f t="shared" si="41"/>
        <v>0.1</v>
      </c>
      <c r="S161" s="155">
        <f t="shared" si="42"/>
        <v>0.42344968672680994</v>
      </c>
      <c r="T161" s="155">
        <f t="shared" si="43"/>
        <v>0.32678996801954996</v>
      </c>
      <c r="U161" s="155">
        <f t="shared" si="44"/>
        <v>0.32921503652010997</v>
      </c>
      <c r="W161" s="155">
        <f t="shared" si="45"/>
        <v>-0.25207404887679602</v>
      </c>
      <c r="X161" s="157">
        <f t="shared" si="46"/>
        <v>7.4715919142753939E-2</v>
      </c>
      <c r="Y161" s="155">
        <f t="shared" si="47"/>
        <v>7.4715919142753939E-2</v>
      </c>
      <c r="AA161" s="85">
        <f>'Price Deck'!R155/'Price Deck'!M155</f>
        <v>78.927344999999988</v>
      </c>
      <c r="AB161" s="85">
        <f t="shared" si="48"/>
        <v>3613.3094860832884</v>
      </c>
      <c r="AC161" s="85">
        <f t="shared" si="49"/>
        <v>269.97173939994479</v>
      </c>
      <c r="AD161" s="85">
        <f t="shared" si="50"/>
        <v>5.8971291271722439</v>
      </c>
    </row>
    <row r="162" spans="1:30">
      <c r="A162" s="164" t="str">
        <f>'Price Deck'!A156</f>
        <v>10/2031</v>
      </c>
      <c r="B162" s="51">
        <f>'Liquids Type Curve'!A169</f>
        <v>12.255224132120006</v>
      </c>
      <c r="C162" s="51">
        <f>'Liquids Type Curve'!B169</f>
        <v>147.06268958544007</v>
      </c>
      <c r="D162" s="51">
        <f>'Liquids Type Curve'!C169</f>
        <v>6.5024386120348048</v>
      </c>
      <c r="E162" s="51">
        <f>'Liquids Type Curve'!D169</f>
        <v>197.78250778272533</v>
      </c>
      <c r="F162" s="51">
        <f>'Liquids Type Curve'!E169</f>
        <v>107135.37195266214</v>
      </c>
      <c r="G162" s="39"/>
      <c r="H162" s="51">
        <f t="shared" si="34"/>
        <v>12.255224132120006</v>
      </c>
      <c r="I162" s="39">
        <f t="shared" si="35"/>
        <v>147.06268958544007</v>
      </c>
      <c r="J162" s="51">
        <f t="shared" si="36"/>
        <v>1.4955608807680052</v>
      </c>
      <c r="K162" s="51">
        <f t="shared" si="37"/>
        <v>45.48997679002683</v>
      </c>
      <c r="L162" s="51">
        <f t="shared" si="38"/>
        <v>24641.135549112292</v>
      </c>
      <c r="M162" s="39"/>
      <c r="N162" s="51">
        <f t="shared" si="39"/>
        <v>7.2323407405683531</v>
      </c>
      <c r="O162" s="85">
        <f>('Price Deck'!R156/$B$2)/'Price Deck'!M156</f>
        <v>496.43721458099992</v>
      </c>
      <c r="Q162" s="155">
        <f t="shared" si="40"/>
        <v>0.32678996801954996</v>
      </c>
      <c r="R162" s="155">
        <f t="shared" si="41"/>
        <v>0.1</v>
      </c>
      <c r="S162" s="155">
        <f t="shared" si="42"/>
        <v>0.42344968672680994</v>
      </c>
      <c r="T162" s="155">
        <f t="shared" si="43"/>
        <v>0.32678996801954996</v>
      </c>
      <c r="U162" s="155">
        <f t="shared" si="44"/>
        <v>0.32921503652010997</v>
      </c>
      <c r="W162" s="155">
        <f t="shared" si="45"/>
        <v>-0.25213634000023272</v>
      </c>
      <c r="X162" s="157">
        <f t="shared" si="46"/>
        <v>7.4653628019317242E-2</v>
      </c>
      <c r="Y162" s="155">
        <f t="shared" si="47"/>
        <v>7.4653628019317242E-2</v>
      </c>
      <c r="AA162" s="85">
        <f>'Price Deck'!R156/'Price Deck'!M156</f>
        <v>78.927344999999988</v>
      </c>
      <c r="AB162" s="85">
        <f t="shared" si="48"/>
        <v>3590.4030921484396</v>
      </c>
      <c r="AC162" s="85">
        <f t="shared" si="49"/>
        <v>268.03661688065603</v>
      </c>
      <c r="AD162" s="85">
        <f t="shared" si="50"/>
        <v>5.8922126541823179</v>
      </c>
    </row>
    <row r="163" spans="1:30">
      <c r="A163" s="164" t="str">
        <f>'Price Deck'!A157</f>
        <v>11/2031</v>
      </c>
      <c r="B163" s="51">
        <f>'Liquids Type Curve'!A170</f>
        <v>12.33855746545334</v>
      </c>
      <c r="C163" s="51">
        <f>'Liquids Type Curve'!B170</f>
        <v>148.06268958544007</v>
      </c>
      <c r="D163" s="51">
        <f>'Liquids Type Curve'!C170</f>
        <v>6.4614952016297913</v>
      </c>
      <c r="E163" s="51">
        <f>'Liquids Type Curve'!D170</f>
        <v>196.53714571623948</v>
      </c>
      <c r="F163" s="51">
        <f>'Liquids Type Curve'!E170</f>
        <v>107331.90909837838</v>
      </c>
      <c r="G163" s="39"/>
      <c r="H163" s="51">
        <f t="shared" si="34"/>
        <v>12.33855746545334</v>
      </c>
      <c r="I163" s="39">
        <f t="shared" si="35"/>
        <v>148.06268958544007</v>
      </c>
      <c r="J163" s="51">
        <f t="shared" si="36"/>
        <v>1.4861438963748521</v>
      </c>
      <c r="K163" s="51">
        <f t="shared" si="37"/>
        <v>45.203543514735081</v>
      </c>
      <c r="L163" s="51">
        <f t="shared" si="38"/>
        <v>24686.339092627029</v>
      </c>
      <c r="M163" s="39"/>
      <c r="N163" s="51">
        <f t="shared" si="39"/>
        <v>7.1868014109725395</v>
      </c>
      <c r="O163" s="85">
        <f>('Price Deck'!R157/$B$2)/'Price Deck'!M157</f>
        <v>496.43721458099992</v>
      </c>
      <c r="Q163" s="155">
        <f t="shared" si="40"/>
        <v>0.32678996801954996</v>
      </c>
      <c r="R163" s="155">
        <f t="shared" si="41"/>
        <v>0.1</v>
      </c>
      <c r="S163" s="155">
        <f t="shared" si="42"/>
        <v>0.42344968672680994</v>
      </c>
      <c r="T163" s="155">
        <f t="shared" si="43"/>
        <v>0.32678996801954996</v>
      </c>
      <c r="U163" s="155">
        <f t="shared" si="44"/>
        <v>0.32921503652010997</v>
      </c>
      <c r="W163" s="155">
        <f t="shared" si="45"/>
        <v>-0.2521978180951871</v>
      </c>
      <c r="X163" s="157">
        <f t="shared" si="46"/>
        <v>7.4592149924362861E-2</v>
      </c>
      <c r="Y163" s="155">
        <f t="shared" si="47"/>
        <v>7.4592149924362861E-2</v>
      </c>
      <c r="AA163" s="85">
        <f>'Price Deck'!R157/'Price Deck'!M157</f>
        <v>78.927344999999988</v>
      </c>
      <c r="AB163" s="85">
        <f t="shared" si="48"/>
        <v>3567.7956742100077</v>
      </c>
      <c r="AC163" s="85">
        <f t="shared" si="49"/>
        <v>266.12954983016618</v>
      </c>
      <c r="AD163" s="85">
        <f t="shared" si="50"/>
        <v>5.8873603513719104</v>
      </c>
    </row>
    <row r="164" spans="1:30">
      <c r="A164" s="164" t="str">
        <f>'Price Deck'!A158</f>
        <v>12/2031</v>
      </c>
      <c r="B164" s="51">
        <f>'Liquids Type Curve'!A171</f>
        <v>12.421890798786674</v>
      </c>
      <c r="C164" s="51">
        <f>'Liquids Type Curve'!B171</f>
        <v>149.06268958544007</v>
      </c>
      <c r="D164" s="51">
        <f>'Liquids Type Curve'!C171</f>
        <v>6.4210826018647218</v>
      </c>
      <c r="E164" s="51">
        <f>'Liquids Type Curve'!D171</f>
        <v>195.30792914005195</v>
      </c>
      <c r="F164" s="51">
        <f>'Liquids Type Curve'!E171</f>
        <v>107527.21702751843</v>
      </c>
      <c r="G164" s="39"/>
      <c r="H164" s="51">
        <f t="shared" si="34"/>
        <v>12.421890798786674</v>
      </c>
      <c r="I164" s="39">
        <f t="shared" si="35"/>
        <v>149.06268958544007</v>
      </c>
      <c r="J164" s="51">
        <f t="shared" si="36"/>
        <v>1.4768489984288862</v>
      </c>
      <c r="K164" s="51">
        <f t="shared" si="37"/>
        <v>44.920823702211955</v>
      </c>
      <c r="L164" s="51">
        <f t="shared" si="38"/>
        <v>24731.25991632924</v>
      </c>
      <c r="M164" s="39"/>
      <c r="N164" s="51">
        <f t="shared" si="39"/>
        <v>7.1418524757880943</v>
      </c>
      <c r="O164" s="85">
        <f>('Price Deck'!R158/$B$2)/'Price Deck'!M158</f>
        <v>496.43721458099992</v>
      </c>
      <c r="Q164" s="155">
        <f t="shared" si="40"/>
        <v>0.32678996801954996</v>
      </c>
      <c r="R164" s="155">
        <f t="shared" si="41"/>
        <v>0.1</v>
      </c>
      <c r="S164" s="155">
        <f t="shared" si="42"/>
        <v>0.42344968672680994</v>
      </c>
      <c r="T164" s="155">
        <f t="shared" si="43"/>
        <v>0.32678996801954996</v>
      </c>
      <c r="U164" s="155">
        <f t="shared" si="44"/>
        <v>0.32921503652010997</v>
      </c>
      <c r="W164" s="155">
        <f t="shared" si="45"/>
        <v>-0.25225849915768611</v>
      </c>
      <c r="X164" s="157">
        <f t="shared" si="46"/>
        <v>7.4531468861863848E-2</v>
      </c>
      <c r="Y164" s="155">
        <f t="shared" si="47"/>
        <v>7.4531468861863848E-2</v>
      </c>
      <c r="AA164" s="85">
        <f>'Price Deck'!R158/'Price Deck'!M158</f>
        <v>78.927344999999988</v>
      </c>
      <c r="AB164" s="85">
        <f t="shared" si="48"/>
        <v>3545.4813500286596</v>
      </c>
      <c r="AC164" s="85">
        <f t="shared" si="49"/>
        <v>264.24993283998003</v>
      </c>
      <c r="AD164" s="85">
        <f t="shared" si="50"/>
        <v>5.8825709562170845</v>
      </c>
    </row>
    <row r="165" spans="1:30">
      <c r="A165" s="164" t="str">
        <f>'Price Deck'!A159</f>
        <v>01/2032</v>
      </c>
      <c r="B165" s="51">
        <f>'Liquids Type Curve'!A172</f>
        <v>12.505224132120007</v>
      </c>
      <c r="C165" s="51">
        <f>'Liquids Type Curve'!B172</f>
        <v>150.0626895854401</v>
      </c>
      <c r="D165" s="51">
        <f>'Liquids Type Curve'!C172</f>
        <v>6.3811904388517071</v>
      </c>
      <c r="E165" s="51">
        <f>'Liquids Type Curve'!D172</f>
        <v>194.09454251507276</v>
      </c>
      <c r="F165" s="51">
        <f>'Liquids Type Curve'!E172</f>
        <v>107721.3115700335</v>
      </c>
      <c r="G165" s="39"/>
      <c r="H165" s="51">
        <f t="shared" si="34"/>
        <v>12.505224132120007</v>
      </c>
      <c r="I165" s="39">
        <f t="shared" si="35"/>
        <v>150.0626895854401</v>
      </c>
      <c r="J165" s="51">
        <f t="shared" si="36"/>
        <v>1.4676738009358927</v>
      </c>
      <c r="K165" s="51">
        <f t="shared" si="37"/>
        <v>44.641744778466737</v>
      </c>
      <c r="L165" s="51">
        <f t="shared" si="38"/>
        <v>24775.901661107706</v>
      </c>
      <c r="M165" s="39"/>
      <c r="N165" s="51">
        <f t="shared" si="39"/>
        <v>7.0974823966527927</v>
      </c>
      <c r="O165" s="85">
        <f>('Price Deck'!R159/$B$2)/'Price Deck'!M159</f>
        <v>496.43721458099992</v>
      </c>
      <c r="Q165" s="155">
        <f t="shared" si="40"/>
        <v>0.32678996801954996</v>
      </c>
      <c r="R165" s="155">
        <f t="shared" si="41"/>
        <v>0.1</v>
      </c>
      <c r="S165" s="155">
        <f t="shared" si="42"/>
        <v>0.42344968672680994</v>
      </c>
      <c r="T165" s="155">
        <f t="shared" si="43"/>
        <v>0.32678996801954996</v>
      </c>
      <c r="U165" s="155">
        <f t="shared" si="44"/>
        <v>0.32921503652010997</v>
      </c>
      <c r="W165" s="155">
        <f t="shared" si="45"/>
        <v>-0.25231839876451873</v>
      </c>
      <c r="X165" s="157">
        <f t="shared" si="46"/>
        <v>7.4471569255031234E-2</v>
      </c>
      <c r="Y165" s="155">
        <f t="shared" si="47"/>
        <v>7.4471569255031234E-2</v>
      </c>
      <c r="AA165" s="85">
        <f>'Price Deck'!R159/'Price Deck'!M159</f>
        <v>78.927344999999988</v>
      </c>
      <c r="AB165" s="85">
        <f t="shared" si="48"/>
        <v>3523.4543915319923</v>
      </c>
      <c r="AC165" s="85">
        <f t="shared" si="49"/>
        <v>262.39717773591872</v>
      </c>
      <c r="AD165" s="85">
        <f t="shared" si="50"/>
        <v>5.8778432392832425</v>
      </c>
    </row>
    <row r="166" spans="1:30">
      <c r="A166" s="164" t="str">
        <f>'Price Deck'!A160</f>
        <v>02/2032</v>
      </c>
      <c r="B166" s="51">
        <f>'Liquids Type Curve'!A173</f>
        <v>12.588557465453341</v>
      </c>
      <c r="C166" s="51">
        <f>'Liquids Type Curve'!B173</f>
        <v>151.0626895854401</v>
      </c>
      <c r="D166" s="51">
        <f>'Liquids Type Curve'!C173</f>
        <v>6.3418086087906271</v>
      </c>
      <c r="E166" s="51">
        <f>'Liquids Type Curve'!D173</f>
        <v>192.89667851738159</v>
      </c>
      <c r="F166" s="51">
        <f>'Liquids Type Curve'!E173</f>
        <v>107914.20824855089</v>
      </c>
      <c r="G166" s="39"/>
      <c r="H166" s="51">
        <f t="shared" si="34"/>
        <v>12.588557465453341</v>
      </c>
      <c r="I166" s="39">
        <f t="shared" si="35"/>
        <v>151.0626895854401</v>
      </c>
      <c r="J166" s="51">
        <f t="shared" si="36"/>
        <v>1.4586159800218443</v>
      </c>
      <c r="K166" s="51">
        <f t="shared" si="37"/>
        <v>44.366236058997764</v>
      </c>
      <c r="L166" s="51">
        <f t="shared" si="38"/>
        <v>24820.267897166705</v>
      </c>
      <c r="M166" s="39"/>
      <c r="N166" s="51">
        <f t="shared" si="39"/>
        <v>7.0536799356096793</v>
      </c>
      <c r="O166" s="85">
        <f>('Price Deck'!R160/$B$2)/'Price Deck'!M160</f>
        <v>496.43721458099992</v>
      </c>
      <c r="Q166" s="155">
        <f t="shared" si="40"/>
        <v>0.32678996801954996</v>
      </c>
      <c r="R166" s="155">
        <f t="shared" si="41"/>
        <v>0.1</v>
      </c>
      <c r="S166" s="155">
        <f t="shared" si="42"/>
        <v>0.42344968672680994</v>
      </c>
      <c r="T166" s="155">
        <f t="shared" si="43"/>
        <v>0.32678996801954996</v>
      </c>
      <c r="U166" s="155">
        <f t="shared" si="44"/>
        <v>0.32921503652010997</v>
      </c>
      <c r="W166" s="155">
        <f t="shared" si="45"/>
        <v>-0.25237753208692693</v>
      </c>
      <c r="X166" s="157">
        <f t="shared" si="46"/>
        <v>7.4412435932623033E-2</v>
      </c>
      <c r="Y166" s="155">
        <f t="shared" si="47"/>
        <v>7.4412435932623033E-2</v>
      </c>
      <c r="AA166" s="85">
        <f>'Price Deck'!R160/'Price Deck'!M160</f>
        <v>78.927344999999988</v>
      </c>
      <c r="AB166" s="85">
        <f t="shared" si="48"/>
        <v>3501.7092197799561</v>
      </c>
      <c r="AC166" s="85">
        <f t="shared" si="49"/>
        <v>260.57071297155136</v>
      </c>
      <c r="AD166" s="85">
        <f t="shared" si="50"/>
        <v>5.8731760031445335</v>
      </c>
    </row>
    <row r="167" spans="1:30">
      <c r="A167" s="164" t="str">
        <f>'Price Deck'!A161</f>
        <v>03/2032</v>
      </c>
      <c r="B167" s="51">
        <f>'Liquids Type Curve'!A174</f>
        <v>12.671890798786675</v>
      </c>
      <c r="C167" s="51">
        <f>'Liquids Type Curve'!B174</f>
        <v>152.0626895854401</v>
      </c>
      <c r="D167" s="51">
        <f>'Liquids Type Curve'!C174</f>
        <v>6.3029272692070331</v>
      </c>
      <c r="E167" s="51">
        <f>'Liquids Type Curve'!D174</f>
        <v>191.71403777171392</v>
      </c>
      <c r="F167" s="51">
        <f>'Liquids Type Curve'!E174</f>
        <v>108105.9222863226</v>
      </c>
      <c r="G167" s="39"/>
      <c r="H167" s="51">
        <f t="shared" si="34"/>
        <v>12.671890798786675</v>
      </c>
      <c r="I167" s="39">
        <f t="shared" si="35"/>
        <v>152.0626895854401</v>
      </c>
      <c r="J167" s="51">
        <f t="shared" si="36"/>
        <v>1.4496732719176177</v>
      </c>
      <c r="K167" s="51">
        <f t="shared" si="37"/>
        <v>44.094228687494201</v>
      </c>
      <c r="L167" s="51">
        <f t="shared" si="38"/>
        <v>24864.362125854201</v>
      </c>
      <c r="M167" s="39"/>
      <c r="N167" s="51">
        <f t="shared" si="39"/>
        <v>7.010434145361411</v>
      </c>
      <c r="O167" s="85">
        <f>('Price Deck'!R161/$B$2)/'Price Deck'!M161</f>
        <v>496.43721458099992</v>
      </c>
      <c r="Q167" s="155">
        <f t="shared" si="40"/>
        <v>0.32678996801954996</v>
      </c>
      <c r="R167" s="155">
        <f t="shared" si="41"/>
        <v>0.1</v>
      </c>
      <c r="S167" s="155">
        <f t="shared" si="42"/>
        <v>0.42344968672680994</v>
      </c>
      <c r="T167" s="155">
        <f t="shared" si="43"/>
        <v>0.32678996801954996</v>
      </c>
      <c r="U167" s="155">
        <f t="shared" si="44"/>
        <v>0.32921503652010997</v>
      </c>
      <c r="W167" s="155">
        <f t="shared" si="45"/>
        <v>-0.25243591390376208</v>
      </c>
      <c r="X167" s="157">
        <f t="shared" si="46"/>
        <v>7.4354054115787882E-2</v>
      </c>
      <c r="Y167" s="155">
        <f t="shared" si="47"/>
        <v>7.4354054115787882E-2</v>
      </c>
      <c r="AA167" s="85">
        <f>'Price Deck'!R161/'Price Deck'!M161</f>
        <v>78.927344999999988</v>
      </c>
      <c r="AB167" s="85">
        <f t="shared" si="48"/>
        <v>3480.2404001267514</v>
      </c>
      <c r="AC167" s="85">
        <f t="shared" si="49"/>
        <v>258.76998304697577</v>
      </c>
      <c r="AD167" s="85">
        <f t="shared" si="50"/>
        <v>5.8685680813454599</v>
      </c>
    </row>
    <row r="168" spans="1:30">
      <c r="A168" s="164" t="str">
        <f>'Price Deck'!A162</f>
        <v>04/2032</v>
      </c>
      <c r="B168" s="51">
        <f>'Liquids Type Curve'!A175</f>
        <v>12.755224132120009</v>
      </c>
      <c r="C168" s="51">
        <f>'Liquids Type Curve'!B175</f>
        <v>153.06268958544013</v>
      </c>
      <c r="D168" s="51">
        <f>'Liquids Type Curve'!C175</f>
        <v>6.2645368305296456</v>
      </c>
      <c r="E168" s="51">
        <f>'Liquids Type Curve'!D175</f>
        <v>190.54632859527672</v>
      </c>
      <c r="F168" s="51">
        <f>'Liquids Type Curve'!E175</f>
        <v>108296.46861491787</v>
      </c>
      <c r="G168" s="39"/>
      <c r="H168" s="51">
        <f t="shared" si="34"/>
        <v>12.755224132120009</v>
      </c>
      <c r="I168" s="39">
        <f t="shared" si="35"/>
        <v>153.06268958544013</v>
      </c>
      <c r="J168" s="51">
        <f t="shared" si="36"/>
        <v>1.4408434710218185</v>
      </c>
      <c r="K168" s="51">
        <f t="shared" si="37"/>
        <v>43.825655576913647</v>
      </c>
      <c r="L168" s="51">
        <f t="shared" si="38"/>
        <v>24908.187781431112</v>
      </c>
      <c r="M168" s="39"/>
      <c r="N168" s="51">
        <f t="shared" si="39"/>
        <v>6.9677343599023258</v>
      </c>
      <c r="O168" s="85">
        <f>('Price Deck'!R162/$B$2)/'Price Deck'!M162</f>
        <v>496.43721458099992</v>
      </c>
      <c r="Q168" s="155">
        <f t="shared" si="40"/>
        <v>0.32678996801954996</v>
      </c>
      <c r="R168" s="155">
        <f t="shared" si="41"/>
        <v>0.1</v>
      </c>
      <c r="S168" s="155">
        <f t="shared" si="42"/>
        <v>0.42344968672680994</v>
      </c>
      <c r="T168" s="155">
        <f t="shared" si="43"/>
        <v>0.32678996801954996</v>
      </c>
      <c r="U168" s="155">
        <f t="shared" si="44"/>
        <v>0.32921503652010997</v>
      </c>
      <c r="W168" s="155">
        <f t="shared" si="45"/>
        <v>-0.25249355861413186</v>
      </c>
      <c r="X168" s="157">
        <f t="shared" si="46"/>
        <v>7.4296409405418096E-2</v>
      </c>
      <c r="Y168" s="155">
        <f t="shared" si="47"/>
        <v>7.4296409405418096E-2</v>
      </c>
      <c r="AA168" s="85">
        <f>'Price Deck'!R162/'Price Deck'!M162</f>
        <v>78.927344999999988</v>
      </c>
      <c r="AB168" s="85">
        <f t="shared" si="48"/>
        <v>3459.0426375702368</v>
      </c>
      <c r="AC168" s="85">
        <f t="shared" si="49"/>
        <v>256.99444795171559</v>
      </c>
      <c r="AD168" s="85">
        <f t="shared" si="50"/>
        <v>5.8640183374026789</v>
      </c>
    </row>
    <row r="169" spans="1:30">
      <c r="A169" s="164" t="str">
        <f>'Price Deck'!A163</f>
        <v>05/2032</v>
      </c>
      <c r="B169" s="51">
        <f>'Liquids Type Curve'!A176</f>
        <v>12.838557465453343</v>
      </c>
      <c r="C169" s="51">
        <f>'Liquids Type Curve'!B176</f>
        <v>154.06268958544013</v>
      </c>
      <c r="D169" s="51">
        <f>'Liquids Type Curve'!C176</f>
        <v>6.2266279479922417</v>
      </c>
      <c r="E169" s="51">
        <f>'Liquids Type Curve'!D176</f>
        <v>189.3932667514307</v>
      </c>
      <c r="F169" s="51">
        <f>'Liquids Type Curve'!E176</f>
        <v>108485.86188166931</v>
      </c>
      <c r="G169" s="39"/>
      <c r="H169" s="51">
        <f t="shared" si="34"/>
        <v>12.838557465453343</v>
      </c>
      <c r="I169" s="39">
        <f t="shared" si="35"/>
        <v>154.06268958544013</v>
      </c>
      <c r="J169" s="51">
        <f t="shared" si="36"/>
        <v>1.4321244280382157</v>
      </c>
      <c r="K169" s="51">
        <f t="shared" si="37"/>
        <v>43.560451352829062</v>
      </c>
      <c r="L169" s="51">
        <f t="shared" si="38"/>
        <v>24951.748232783943</v>
      </c>
      <c r="M169" s="39"/>
      <c r="N169" s="51">
        <f t="shared" si="39"/>
        <v>6.9255701855113143</v>
      </c>
      <c r="O169" s="85">
        <f>('Price Deck'!R163/$B$2)/'Price Deck'!M163</f>
        <v>496.43721458099992</v>
      </c>
      <c r="Q169" s="155">
        <f t="shared" si="40"/>
        <v>0.32678996801954996</v>
      </c>
      <c r="R169" s="155">
        <f t="shared" si="41"/>
        <v>0.1</v>
      </c>
      <c r="S169" s="155">
        <f t="shared" si="42"/>
        <v>0.42344968672680994</v>
      </c>
      <c r="T169" s="155">
        <f t="shared" si="43"/>
        <v>0.32678996801954996</v>
      </c>
      <c r="U169" s="155">
        <f t="shared" si="44"/>
        <v>0.32921503652010997</v>
      </c>
      <c r="W169" s="155">
        <f t="shared" si="45"/>
        <v>-0.25255048024955973</v>
      </c>
      <c r="X169" s="157">
        <f t="shared" si="46"/>
        <v>7.4239487769990231E-2</v>
      </c>
      <c r="Y169" s="155">
        <f t="shared" si="47"/>
        <v>7.4239487769990231E-2</v>
      </c>
      <c r="AA169" s="85">
        <f>'Price Deck'!R163/'Price Deck'!M163</f>
        <v>78.927344999999988</v>
      </c>
      <c r="AB169" s="85">
        <f t="shared" si="48"/>
        <v>3438.1107722804554</v>
      </c>
      <c r="AC169" s="85">
        <f t="shared" si="49"/>
        <v>255.24358263058653</v>
      </c>
      <c r="AD169" s="85">
        <f t="shared" si="50"/>
        <v>5.8595256638452984</v>
      </c>
    </row>
    <row r="170" spans="1:30">
      <c r="A170" s="164" t="str">
        <f>'Price Deck'!A164</f>
        <v>06/2032</v>
      </c>
      <c r="B170" s="51">
        <f>'Liquids Type Curve'!A177</f>
        <v>12.921890798786677</v>
      </c>
      <c r="C170" s="51">
        <f>'Liquids Type Curve'!B177</f>
        <v>155.06268958544013</v>
      </c>
      <c r="D170" s="51">
        <f>'Liquids Type Curve'!C177</f>
        <v>6.1891915138454578</v>
      </c>
      <c r="E170" s="51">
        <f>'Liquids Type Curve'!D177</f>
        <v>188.25457521279935</v>
      </c>
      <c r="F170" s="51">
        <f>'Liquids Type Curve'!E177</f>
        <v>108674.11645688211</v>
      </c>
      <c r="G170" s="39"/>
      <c r="H170" s="51">
        <f t="shared" si="34"/>
        <v>12.921890798786677</v>
      </c>
      <c r="I170" s="39">
        <f t="shared" si="35"/>
        <v>155.06268958544013</v>
      </c>
      <c r="J170" s="51">
        <f t="shared" si="36"/>
        <v>1.4235140481844553</v>
      </c>
      <c r="K170" s="51">
        <f t="shared" si="37"/>
        <v>43.298552298943854</v>
      </c>
      <c r="L170" s="51">
        <f t="shared" si="38"/>
        <v>24995.046785082886</v>
      </c>
      <c r="M170" s="39"/>
      <c r="N170" s="51">
        <f t="shared" si="39"/>
        <v>6.883931492089391</v>
      </c>
      <c r="O170" s="85">
        <f>('Price Deck'!R164/$B$2)/'Price Deck'!M164</f>
        <v>496.43721458099992</v>
      </c>
      <c r="Q170" s="155">
        <f t="shared" si="40"/>
        <v>0.32678996801954996</v>
      </c>
      <c r="R170" s="155">
        <f t="shared" si="41"/>
        <v>0.1</v>
      </c>
      <c r="S170" s="155">
        <f t="shared" si="42"/>
        <v>0.42344968672680994</v>
      </c>
      <c r="T170" s="155">
        <f t="shared" si="43"/>
        <v>0.32678996801954996</v>
      </c>
      <c r="U170" s="155">
        <f t="shared" si="44"/>
        <v>0.32921503652010997</v>
      </c>
      <c r="W170" s="155">
        <f t="shared" si="45"/>
        <v>-0.2526066924856793</v>
      </c>
      <c r="X170" s="157">
        <f t="shared" si="46"/>
        <v>7.4183275533870663E-2</v>
      </c>
      <c r="Y170" s="155">
        <f t="shared" si="47"/>
        <v>7.4183275533870663E-2</v>
      </c>
      <c r="AA170" s="85">
        <f>'Price Deck'!R164/'Price Deck'!M164</f>
        <v>78.927344999999988</v>
      </c>
      <c r="AB170" s="85">
        <f t="shared" si="48"/>
        <v>3417.4397752992841</v>
      </c>
      <c r="AC170" s="85">
        <f t="shared" si="49"/>
        <v>253.51687647143584</v>
      </c>
      <c r="AD170" s="85">
        <f t="shared" si="50"/>
        <v>5.8550889812918676</v>
      </c>
    </row>
    <row r="171" spans="1:30">
      <c r="A171" s="164" t="str">
        <f>'Price Deck'!A165</f>
        <v>07/2032</v>
      </c>
      <c r="B171" s="51">
        <f>'Liquids Type Curve'!A178</f>
        <v>13.005224132120011</v>
      </c>
      <c r="C171" s="51">
        <f>'Liquids Type Curve'!B178</f>
        <v>156.06268958544013</v>
      </c>
      <c r="D171" s="51">
        <f>'Liquids Type Curve'!C178</f>
        <v>6.1522186498646008</v>
      </c>
      <c r="E171" s="51">
        <f>'Liquids Type Curve'!D178</f>
        <v>187.12998393338162</v>
      </c>
      <c r="F171" s="51">
        <f>'Liquids Type Curve'!E178</f>
        <v>108861.24644081549</v>
      </c>
      <c r="G171" s="39"/>
      <c r="H171" s="51">
        <f t="shared" si="34"/>
        <v>13.005224132120011</v>
      </c>
      <c r="I171" s="39">
        <f t="shared" si="35"/>
        <v>156.06268958544013</v>
      </c>
      <c r="J171" s="51">
        <f t="shared" si="36"/>
        <v>1.4150102894688583</v>
      </c>
      <c r="K171" s="51">
        <f t="shared" si="37"/>
        <v>43.039896304677775</v>
      </c>
      <c r="L171" s="51">
        <f t="shared" si="38"/>
        <v>25038.086681387565</v>
      </c>
      <c r="M171" s="39"/>
      <c r="N171" s="51">
        <f t="shared" si="39"/>
        <v>6.842808404826509</v>
      </c>
      <c r="O171" s="85">
        <f>('Price Deck'!R165/$B$2)/'Price Deck'!M165</f>
        <v>496.43721458099992</v>
      </c>
      <c r="Q171" s="155">
        <f t="shared" si="40"/>
        <v>0.32678996801954996</v>
      </c>
      <c r="R171" s="155">
        <f t="shared" si="41"/>
        <v>0.1</v>
      </c>
      <c r="S171" s="155">
        <f t="shared" si="42"/>
        <v>0.42344968672680994</v>
      </c>
      <c r="T171" s="155">
        <f t="shared" si="43"/>
        <v>0.32678996801954996</v>
      </c>
      <c r="U171" s="155">
        <f t="shared" si="44"/>
        <v>0.32921503652010997</v>
      </c>
      <c r="W171" s="155">
        <f t="shared" si="45"/>
        <v>-0.25266220865348421</v>
      </c>
      <c r="X171" s="157">
        <f t="shared" si="46"/>
        <v>7.4127759366065749E-2</v>
      </c>
      <c r="Y171" s="155">
        <f t="shared" si="47"/>
        <v>7.4127759366065749E-2</v>
      </c>
      <c r="AA171" s="85">
        <f>'Price Deck'!R165/'Price Deck'!M165</f>
        <v>78.927344999999988</v>
      </c>
      <c r="AB171" s="85">
        <f t="shared" si="48"/>
        <v>3397.0247444035272</v>
      </c>
      <c r="AC171" s="85">
        <f t="shared" si="49"/>
        <v>251.81383281371566</v>
      </c>
      <c r="AD171" s="85">
        <f t="shared" si="50"/>
        <v>5.8507072375624514</v>
      </c>
    </row>
    <row r="172" spans="1:30">
      <c r="A172" s="164" t="str">
        <f>'Price Deck'!A166</f>
        <v>08/2032</v>
      </c>
      <c r="B172" s="51">
        <f>'Liquids Type Curve'!A179</f>
        <v>13.088557465453345</v>
      </c>
      <c r="C172" s="51">
        <f>'Liquids Type Curve'!B179</f>
        <v>157.06268958544013</v>
      </c>
      <c r="D172" s="51">
        <f>'Liquids Type Curve'!C179</f>
        <v>6.1157007001406072</v>
      </c>
      <c r="E172" s="51">
        <f>'Liquids Type Curve'!D179</f>
        <v>186.01922962927682</v>
      </c>
      <c r="F172" s="51">
        <f>'Liquids Type Curve'!E179</f>
        <v>109047.26567044477</v>
      </c>
      <c r="G172" s="39"/>
      <c r="H172" s="51">
        <f t="shared" si="34"/>
        <v>13.088557465453345</v>
      </c>
      <c r="I172" s="39">
        <f t="shared" si="35"/>
        <v>157.06268958544013</v>
      </c>
      <c r="J172" s="51">
        <f t="shared" si="36"/>
        <v>1.4066111610323397</v>
      </c>
      <c r="K172" s="51">
        <f t="shared" si="37"/>
        <v>42.784422814733674</v>
      </c>
      <c r="L172" s="51">
        <f t="shared" si="38"/>
        <v>25080.871104202299</v>
      </c>
      <c r="M172" s="39"/>
      <c r="N172" s="51">
        <f t="shared" si="39"/>
        <v>6.8021912961832927</v>
      </c>
      <c r="O172" s="85">
        <f>('Price Deck'!R166/$B$2)/'Price Deck'!M166</f>
        <v>496.43721458099992</v>
      </c>
      <c r="Q172" s="155">
        <f t="shared" si="40"/>
        <v>0.32678996801954996</v>
      </c>
      <c r="R172" s="155">
        <f t="shared" si="41"/>
        <v>0.1</v>
      </c>
      <c r="S172" s="155">
        <f t="shared" si="42"/>
        <v>0.42344968672680994</v>
      </c>
      <c r="T172" s="155">
        <f t="shared" si="43"/>
        <v>0.32678996801954996</v>
      </c>
      <c r="U172" s="155">
        <f t="shared" si="44"/>
        <v>0.32921503652010997</v>
      </c>
      <c r="W172" s="155">
        <f t="shared" si="45"/>
        <v>-0.25271704175015258</v>
      </c>
      <c r="X172" s="157">
        <f t="shared" si="46"/>
        <v>7.4072926269397377E-2</v>
      </c>
      <c r="Y172" s="155">
        <f t="shared" si="47"/>
        <v>7.4072926269397377E-2</v>
      </c>
      <c r="AA172" s="85">
        <f>'Price Deck'!R166/'Price Deck'!M166</f>
        <v>78.927344999999988</v>
      </c>
      <c r="AB172" s="85">
        <f t="shared" si="48"/>
        <v>3376.8609001243553</v>
      </c>
      <c r="AC172" s="85">
        <f t="shared" si="49"/>
        <v>250.13396847692223</v>
      </c>
      <c r="AD172" s="85">
        <f t="shared" si="50"/>
        <v>5.8463794068242887</v>
      </c>
    </row>
    <row r="173" spans="1:30">
      <c r="A173" s="164" t="str">
        <f>'Price Deck'!A167</f>
        <v>09/2032</v>
      </c>
      <c r="B173" s="51">
        <f>'Liquids Type Curve'!A180</f>
        <v>13.171890798786679</v>
      </c>
      <c r="C173" s="51">
        <f>'Liquids Type Curve'!B180</f>
        <v>158.06268958544015</v>
      </c>
      <c r="D173" s="51">
        <f>'Liquids Type Curve'!C180</f>
        <v>6.0796292241415051</v>
      </c>
      <c r="E173" s="51">
        <f>'Liquids Type Curve'!D180</f>
        <v>184.92205556763744</v>
      </c>
      <c r="F173" s="51">
        <f>'Liquids Type Curve'!E180</f>
        <v>109232.18772601242</v>
      </c>
      <c r="G173" s="39"/>
      <c r="H173" s="51">
        <f t="shared" si="34"/>
        <v>13.171890798786679</v>
      </c>
      <c r="I173" s="39">
        <f t="shared" si="35"/>
        <v>158.06268958544015</v>
      </c>
      <c r="J173" s="51">
        <f t="shared" si="36"/>
        <v>1.3983147215525462</v>
      </c>
      <c r="K173" s="51">
        <f t="shared" si="37"/>
        <v>42.532072780556611</v>
      </c>
      <c r="L173" s="51">
        <f t="shared" si="38"/>
        <v>25123.403176982858</v>
      </c>
      <c r="M173" s="39"/>
      <c r="N173" s="51">
        <f t="shared" si="39"/>
        <v>6.7620707781736478</v>
      </c>
      <c r="O173" s="85">
        <f>('Price Deck'!R167/$B$2)/'Price Deck'!M167</f>
        <v>496.43721458099992</v>
      </c>
      <c r="Q173" s="155">
        <f t="shared" si="40"/>
        <v>0.32678996801954996</v>
      </c>
      <c r="R173" s="155">
        <f t="shared" si="41"/>
        <v>0.1</v>
      </c>
      <c r="S173" s="155">
        <f t="shared" si="42"/>
        <v>0.42344968672680994</v>
      </c>
      <c r="T173" s="155">
        <f t="shared" si="43"/>
        <v>0.32678996801954996</v>
      </c>
      <c r="U173" s="155">
        <f t="shared" si="44"/>
        <v>0.32921503652010997</v>
      </c>
      <c r="W173" s="155">
        <f t="shared" si="45"/>
        <v>-0.2527712044494656</v>
      </c>
      <c r="X173" s="157">
        <f t="shared" si="46"/>
        <v>7.4018763570084356E-2</v>
      </c>
      <c r="Y173" s="155">
        <f t="shared" si="47"/>
        <v>7.4018763570084356E-2</v>
      </c>
      <c r="AA173" s="85">
        <f>'Price Deck'!R167/'Price Deck'!M167</f>
        <v>78.927344999999988</v>
      </c>
      <c r="AB173" s="85">
        <f t="shared" si="48"/>
        <v>3356.9435819161004</v>
      </c>
      <c r="AC173" s="85">
        <f t="shared" si="49"/>
        <v>248.47681330795993</v>
      </c>
      <c r="AD173" s="85">
        <f t="shared" si="50"/>
        <v>5.8421044887694782</v>
      </c>
    </row>
    <row r="174" spans="1:30">
      <c r="A174" s="164" t="str">
        <f>'Price Deck'!A168</f>
        <v>10/2032</v>
      </c>
      <c r="B174" s="51">
        <f>'Liquids Type Curve'!A181</f>
        <v>13.255224132120013</v>
      </c>
      <c r="C174" s="51">
        <f>'Liquids Type Curve'!B181</f>
        <v>159.06268958544015</v>
      </c>
      <c r="D174" s="51">
        <f>'Liquids Type Curve'!C181</f>
        <v>6.0439959900327933</v>
      </c>
      <c r="E174" s="51">
        <f>'Liquids Type Curve'!D181</f>
        <v>183.83821136349746</v>
      </c>
      <c r="F174" s="51">
        <f>'Liquids Type Curve'!E181</f>
        <v>109416.02593737592</v>
      </c>
      <c r="G174" s="39"/>
      <c r="H174" s="51">
        <f t="shared" si="34"/>
        <v>13.255224132120013</v>
      </c>
      <c r="I174" s="39">
        <f t="shared" si="35"/>
        <v>159.06268958544015</v>
      </c>
      <c r="J174" s="51">
        <f t="shared" si="36"/>
        <v>1.3901190777075425</v>
      </c>
      <c r="K174" s="51">
        <f t="shared" si="37"/>
        <v>42.282788613604417</v>
      </c>
      <c r="L174" s="51">
        <f t="shared" si="38"/>
        <v>25165.685965596462</v>
      </c>
      <c r="M174" s="39"/>
      <c r="N174" s="51">
        <f t="shared" si="39"/>
        <v>6.7224376949353584</v>
      </c>
      <c r="O174" s="85">
        <f>('Price Deck'!R168/$B$2)/'Price Deck'!M168</f>
        <v>496.43721458099992</v>
      </c>
      <c r="Q174" s="155">
        <f t="shared" si="40"/>
        <v>0.32678996801954996</v>
      </c>
      <c r="R174" s="155">
        <f t="shared" si="41"/>
        <v>0.1</v>
      </c>
      <c r="S174" s="155">
        <f t="shared" si="42"/>
        <v>0.42344968672680994</v>
      </c>
      <c r="T174" s="155">
        <f t="shared" si="43"/>
        <v>0.32678996801954996</v>
      </c>
      <c r="U174" s="155">
        <f t="shared" si="44"/>
        <v>0.32921503652010997</v>
      </c>
      <c r="W174" s="155">
        <f t="shared" si="45"/>
        <v>-0.25282470911183724</v>
      </c>
      <c r="X174" s="157">
        <f t="shared" si="46"/>
        <v>7.3965258907712716E-2</v>
      </c>
      <c r="Y174" s="155">
        <f t="shared" si="47"/>
        <v>7.3965258907712716E-2</v>
      </c>
      <c r="AA174" s="85">
        <f>'Price Deck'!R168/'Price Deck'!M168</f>
        <v>78.927344999999988</v>
      </c>
      <c r="AB174" s="85">
        <f t="shared" si="48"/>
        <v>3337.2682444680272</v>
      </c>
      <c r="AC174" s="85">
        <f t="shared" si="49"/>
        <v>246.84190974656553</v>
      </c>
      <c r="AD174" s="85">
        <f t="shared" si="50"/>
        <v>5.8378815078233641</v>
      </c>
    </row>
    <row r="175" spans="1:30">
      <c r="A175" s="164" t="str">
        <f>'Price Deck'!A169</f>
        <v>11/2032</v>
      </c>
      <c r="B175" s="51">
        <f>'Liquids Type Curve'!A182</f>
        <v>13.338557465453347</v>
      </c>
      <c r="C175" s="51">
        <f>'Liquids Type Curve'!B182</f>
        <v>160.06268958544015</v>
      </c>
      <c r="D175" s="51">
        <f>'Liquids Type Curve'!C182</f>
        <v>6.0087929682453582</v>
      </c>
      <c r="E175" s="51">
        <f>'Liquids Type Curve'!D182</f>
        <v>182.76745278412966</v>
      </c>
      <c r="F175" s="51">
        <f>'Liquids Type Curve'!E182</f>
        <v>109598.79339016005</v>
      </c>
      <c r="G175" s="39"/>
      <c r="H175" s="51">
        <f t="shared" si="34"/>
        <v>13.338557465453347</v>
      </c>
      <c r="I175" s="39">
        <f t="shared" si="35"/>
        <v>160.06268958544015</v>
      </c>
      <c r="J175" s="51">
        <f t="shared" si="36"/>
        <v>1.3820223826964324</v>
      </c>
      <c r="K175" s="51">
        <f t="shared" si="37"/>
        <v>42.036514140349823</v>
      </c>
      <c r="L175" s="51">
        <f t="shared" si="38"/>
        <v>25207.722479736811</v>
      </c>
      <c r="M175" s="39"/>
      <c r="N175" s="51">
        <f t="shared" si="39"/>
        <v>6.6832831155759838</v>
      </c>
      <c r="O175" s="85">
        <f>('Price Deck'!R169/$B$2)/'Price Deck'!M169</f>
        <v>496.43721458099992</v>
      </c>
      <c r="Q175" s="155">
        <f t="shared" si="40"/>
        <v>0.32678996801954996</v>
      </c>
      <c r="R175" s="155">
        <f t="shared" si="41"/>
        <v>0.1</v>
      </c>
      <c r="S175" s="155">
        <f t="shared" si="42"/>
        <v>0.42344968672680994</v>
      </c>
      <c r="T175" s="155">
        <f t="shared" si="43"/>
        <v>0.32678996801954996</v>
      </c>
      <c r="U175" s="155">
        <f t="shared" si="44"/>
        <v>0.32921503652010997</v>
      </c>
      <c r="W175" s="155">
        <f t="shared" si="45"/>
        <v>-0.25287756779397241</v>
      </c>
      <c r="X175" s="157">
        <f t="shared" si="46"/>
        <v>7.3912400225577546E-2</v>
      </c>
      <c r="Y175" s="155">
        <f t="shared" si="47"/>
        <v>7.3912400225577546E-2</v>
      </c>
      <c r="AA175" s="85">
        <f>'Price Deck'!R169/'Price Deck'!M169</f>
        <v>78.927344999999988</v>
      </c>
      <c r="AB175" s="85">
        <f t="shared" si="48"/>
        <v>3317.8304541527682</v>
      </c>
      <c r="AC175" s="85">
        <f t="shared" si="49"/>
        <v>245.22881240794911</v>
      </c>
      <c r="AD175" s="85">
        <f t="shared" si="50"/>
        <v>5.8337095123822351</v>
      </c>
    </row>
    <row r="176" spans="1:30">
      <c r="A176" s="164" t="str">
        <f>'Price Deck'!A170</f>
        <v>01/2032</v>
      </c>
      <c r="B176" s="51">
        <f>'Liquids Type Curve'!A183</f>
        <v>13.421890798786681</v>
      </c>
      <c r="C176" s="51">
        <f>'Liquids Type Curve'!B183</f>
        <v>161.06268958544018</v>
      </c>
      <c r="D176" s="51">
        <f>'Liquids Type Curve'!C183</f>
        <v>5.9740123252803574</v>
      </c>
      <c r="E176" s="51">
        <f>'Liquids Type Curve'!D183</f>
        <v>181.70954156061089</v>
      </c>
      <c r="F176" s="51">
        <f>'Liquids Type Curve'!E183</f>
        <v>109780.50293172066</v>
      </c>
      <c r="G176" s="39"/>
      <c r="H176" s="51">
        <f t="shared" si="34"/>
        <v>13.421890798786681</v>
      </c>
      <c r="I176" s="39">
        <f t="shared" si="35"/>
        <v>161.06268958544018</v>
      </c>
      <c r="J176" s="51">
        <f t="shared" si="36"/>
        <v>1.3740228348144823</v>
      </c>
      <c r="K176" s="51">
        <f t="shared" si="37"/>
        <v>41.793194558940506</v>
      </c>
      <c r="L176" s="51">
        <f t="shared" si="38"/>
        <v>25249.515674295755</v>
      </c>
      <c r="M176" s="39"/>
      <c r="N176" s="51">
        <f t="shared" si="39"/>
        <v>6.6445983272823472</v>
      </c>
      <c r="O176" s="85">
        <f>('Price Deck'!R170/$B$2)/'Price Deck'!M170</f>
        <v>496.43721458099992</v>
      </c>
      <c r="Q176" s="155">
        <f t="shared" si="40"/>
        <v>0.32678996801954996</v>
      </c>
      <c r="R176" s="155">
        <f t="shared" si="41"/>
        <v>0.1</v>
      </c>
      <c r="S176" s="155">
        <f t="shared" si="42"/>
        <v>0.42344968672680994</v>
      </c>
      <c r="T176" s="155">
        <f t="shared" si="43"/>
        <v>0.32678996801954996</v>
      </c>
      <c r="U176" s="155">
        <f t="shared" si="44"/>
        <v>0.32921503652010997</v>
      </c>
      <c r="W176" s="155">
        <f t="shared" si="45"/>
        <v>-0.25292979225816886</v>
      </c>
      <c r="X176" s="157">
        <f t="shared" si="46"/>
        <v>7.3860175761381097E-2</v>
      </c>
      <c r="Y176" s="155">
        <f t="shared" si="47"/>
        <v>7.3860175761381097E-2</v>
      </c>
      <c r="AA176" s="85">
        <f>'Price Deck'!R170/'Price Deck'!M170</f>
        <v>78.927344999999988</v>
      </c>
      <c r="AB176" s="85">
        <f t="shared" si="48"/>
        <v>3298.6258856056197</v>
      </c>
      <c r="AC176" s="85">
        <f t="shared" si="49"/>
        <v>243.63708768187246</v>
      </c>
      <c r="AD176" s="85">
        <f t="shared" si="50"/>
        <v>5.8295875740791629</v>
      </c>
    </row>
    <row r="177" spans="1:30">
      <c r="A177" s="164" t="str">
        <f>'Price Deck'!A171</f>
        <v>02/2032</v>
      </c>
      <c r="B177" s="51">
        <f>'Liquids Type Curve'!A184</f>
        <v>13.505224132120015</v>
      </c>
      <c r="C177" s="51">
        <f>'Liquids Type Curve'!B184</f>
        <v>162.06268958544018</v>
      </c>
      <c r="D177" s="51">
        <f>'Liquids Type Curve'!C184</f>
        <v>5.9396464177409607</v>
      </c>
      <c r="E177" s="51">
        <f>'Liquids Type Curve'!D184</f>
        <v>180.66424520628757</v>
      </c>
      <c r="F177" s="51">
        <f>'Liquids Type Curve'!E184</f>
        <v>109961.16717692695</v>
      </c>
      <c r="G177" s="39"/>
      <c r="H177" s="51">
        <f t="shared" si="34"/>
        <v>13.505224132120015</v>
      </c>
      <c r="I177" s="39">
        <f t="shared" si="35"/>
        <v>162.06268958544018</v>
      </c>
      <c r="J177" s="51">
        <f t="shared" si="36"/>
        <v>1.3661186760804209</v>
      </c>
      <c r="K177" s="51">
        <f t="shared" si="37"/>
        <v>41.552776397446145</v>
      </c>
      <c r="L177" s="51">
        <f t="shared" si="38"/>
        <v>25291.068450693198</v>
      </c>
      <c r="M177" s="39"/>
      <c r="N177" s="51">
        <f t="shared" si="39"/>
        <v>6.6063748286823341</v>
      </c>
      <c r="O177" s="85">
        <f>('Price Deck'!R171/$B$2)/'Price Deck'!M171</f>
        <v>503.88377279971485</v>
      </c>
      <c r="Q177" s="155">
        <f t="shared" si="40"/>
        <v>0.33088557503984317</v>
      </c>
      <c r="R177" s="155">
        <f t="shared" si="41"/>
        <v>0.1</v>
      </c>
      <c r="S177" s="155">
        <f t="shared" si="42"/>
        <v>0.43097071052771196</v>
      </c>
      <c r="T177" s="155">
        <f t="shared" si="43"/>
        <v>0.33088557503984317</v>
      </c>
      <c r="U177" s="155">
        <f t="shared" si="44"/>
        <v>0.33152346956791157</v>
      </c>
      <c r="W177" s="155">
        <f t="shared" si="45"/>
        <v>-0.25298139398127883</v>
      </c>
      <c r="X177" s="157">
        <f t="shared" si="46"/>
        <v>7.7904181058564337E-2</v>
      </c>
      <c r="Y177" s="155">
        <f t="shared" si="47"/>
        <v>7.7904181058564337E-2</v>
      </c>
      <c r="AA177" s="85">
        <f>'Price Deck'!R171/'Price Deck'!M171</f>
        <v>80.111255174999982</v>
      </c>
      <c r="AB177" s="85">
        <f t="shared" si="48"/>
        <v>3328.8450732055244</v>
      </c>
      <c r="AC177" s="85">
        <f t="shared" si="49"/>
        <v>259.33094929891303</v>
      </c>
      <c r="AD177" s="85">
        <f t="shared" si="50"/>
        <v>6.2410017279820478</v>
      </c>
    </row>
    <row r="178" spans="1:30">
      <c r="A178" s="164" t="str">
        <f>'Price Deck'!A172</f>
        <v>03/2032</v>
      </c>
      <c r="B178" s="51">
        <f>'Liquids Type Curve'!A185</f>
        <v>13.588557465453349</v>
      </c>
      <c r="C178" s="51">
        <f>'Liquids Type Curve'!B185</f>
        <v>163.06268958544018</v>
      </c>
      <c r="D178" s="51">
        <f>'Liquids Type Curve'!C185</f>
        <v>5.905687786581165</v>
      </c>
      <c r="E178" s="51">
        <f>'Liquids Type Curve'!D185</f>
        <v>179.63133684184376</v>
      </c>
      <c r="F178" s="51">
        <f>'Liquids Type Curve'!E185</f>
        <v>110140.79851376879</v>
      </c>
      <c r="G178" s="39"/>
      <c r="H178" s="51">
        <f t="shared" si="34"/>
        <v>13.588557465453349</v>
      </c>
      <c r="I178" s="39">
        <f t="shared" si="35"/>
        <v>163.06268958544018</v>
      </c>
      <c r="J178" s="51">
        <f t="shared" si="36"/>
        <v>1.3583081909136681</v>
      </c>
      <c r="K178" s="51">
        <f t="shared" si="37"/>
        <v>41.315207473624064</v>
      </c>
      <c r="L178" s="51">
        <f t="shared" si="38"/>
        <v>25332.383658166822</v>
      </c>
      <c r="M178" s="39"/>
      <c r="N178" s="51">
        <f t="shared" si="39"/>
        <v>6.5686043234481328</v>
      </c>
      <c r="O178" s="85">
        <f>('Price Deck'!R172/$B$2)/'Price Deck'!M172</f>
        <v>503.88377279971485</v>
      </c>
      <c r="Q178" s="155">
        <f t="shared" si="40"/>
        <v>0.33088557503984317</v>
      </c>
      <c r="R178" s="155">
        <f t="shared" si="41"/>
        <v>0.1</v>
      </c>
      <c r="S178" s="155">
        <f t="shared" si="42"/>
        <v>0.43097071052771196</v>
      </c>
      <c r="T178" s="155">
        <f t="shared" si="43"/>
        <v>0.33088557503984317</v>
      </c>
      <c r="U178" s="155">
        <f t="shared" si="44"/>
        <v>0.33152346956791157</v>
      </c>
      <c r="W178" s="155">
        <f t="shared" si="45"/>
        <v>-0.253032384163345</v>
      </c>
      <c r="X178" s="157">
        <f t="shared" si="46"/>
        <v>7.7853190876498168E-2</v>
      </c>
      <c r="Y178" s="155">
        <f t="shared" si="47"/>
        <v>7.7853190876498168E-2</v>
      </c>
      <c r="AA178" s="85">
        <f>'Price Deck'!R172/'Price Deck'!M172</f>
        <v>80.111255174999982</v>
      </c>
      <c r="AB178" s="85">
        <f t="shared" si="48"/>
        <v>3309.8131285275635</v>
      </c>
      <c r="AC178" s="85">
        <f t="shared" si="49"/>
        <v>257.67951326079594</v>
      </c>
      <c r="AD178" s="85">
        <f t="shared" si="50"/>
        <v>6.2369168404951241</v>
      </c>
    </row>
    <row r="179" spans="1:30">
      <c r="A179" s="164" t="str">
        <f>'Price Deck'!A173</f>
        <v>04/2032</v>
      </c>
      <c r="B179" s="51">
        <f>'Liquids Type Curve'!A186</f>
        <v>13.671890798786682</v>
      </c>
      <c r="C179" s="51">
        <f>'Liquids Type Curve'!B186</f>
        <v>164.06268958544018</v>
      </c>
      <c r="D179" s="51">
        <f>'Liquids Type Curve'!C186</f>
        <v>5.8721291515626906</v>
      </c>
      <c r="E179" s="51">
        <f>'Liquids Type Curve'!D186</f>
        <v>178.61059502669852</v>
      </c>
      <c r="F179" s="51">
        <f>'Liquids Type Curve'!E186</f>
        <v>110319.40910879549</v>
      </c>
      <c r="G179" s="39"/>
      <c r="H179" s="51">
        <f t="shared" si="34"/>
        <v>13.671890798786682</v>
      </c>
      <c r="I179" s="39">
        <f t="shared" si="35"/>
        <v>164.06268958544018</v>
      </c>
      <c r="J179" s="51">
        <f t="shared" si="36"/>
        <v>1.3505897048594189</v>
      </c>
      <c r="K179" s="51">
        <f t="shared" si="37"/>
        <v>41.080436856140658</v>
      </c>
      <c r="L179" s="51">
        <f t="shared" si="38"/>
        <v>25373.464095022962</v>
      </c>
      <c r="M179" s="39"/>
      <c r="N179" s="51">
        <f t="shared" si="39"/>
        <v>6.5312787141309192</v>
      </c>
      <c r="O179" s="85">
        <f>('Price Deck'!R173/$B$2)/'Price Deck'!M173</f>
        <v>503.88377279971485</v>
      </c>
      <c r="Q179" s="155">
        <f t="shared" si="40"/>
        <v>0.33088557503984317</v>
      </c>
      <c r="R179" s="155">
        <f t="shared" si="41"/>
        <v>0.1</v>
      </c>
      <c r="S179" s="155">
        <f t="shared" si="42"/>
        <v>0.43097071052771196</v>
      </c>
      <c r="T179" s="155">
        <f t="shared" si="43"/>
        <v>0.33088557503984317</v>
      </c>
      <c r="U179" s="155">
        <f t="shared" si="44"/>
        <v>0.33152346956791157</v>
      </c>
      <c r="W179" s="155">
        <f t="shared" si="45"/>
        <v>-0.25308277373592331</v>
      </c>
      <c r="X179" s="157">
        <f t="shared" si="46"/>
        <v>7.7802801303919866E-2</v>
      </c>
      <c r="Y179" s="155">
        <f t="shared" si="47"/>
        <v>7.7802801303919866E-2</v>
      </c>
      <c r="AA179" s="85">
        <f>'Price Deck'!R173/'Price Deck'!M173</f>
        <v>80.111255174999982</v>
      </c>
      <c r="AB179" s="85">
        <f t="shared" si="48"/>
        <v>3291.0053596827584</v>
      </c>
      <c r="AC179" s="85">
        <f t="shared" si="49"/>
        <v>256.049436089533</v>
      </c>
      <c r="AD179" s="85">
        <f t="shared" si="50"/>
        <v>6.2328800685881465</v>
      </c>
    </row>
    <row r="180" spans="1:30">
      <c r="A180" s="164" t="str">
        <f>'Price Deck'!A174</f>
        <v>05/2032</v>
      </c>
      <c r="B180" s="51">
        <f>'Liquids Type Curve'!A187</f>
        <v>13.755224132120016</v>
      </c>
      <c r="C180" s="51">
        <f>'Liquids Type Curve'!B187</f>
        <v>165.06268958544018</v>
      </c>
      <c r="D180" s="51">
        <f>'Liquids Type Curve'!C187</f>
        <v>5.8389634059110893</v>
      </c>
      <c r="E180" s="51">
        <f>'Liquids Type Curve'!D187</f>
        <v>177.6018035964623</v>
      </c>
      <c r="F180" s="51">
        <f>'Liquids Type Curve'!E187</f>
        <v>110497.01091239195</v>
      </c>
      <c r="G180" s="39"/>
      <c r="H180" s="51">
        <f t="shared" si="34"/>
        <v>13.755224132120016</v>
      </c>
      <c r="I180" s="39">
        <f t="shared" si="35"/>
        <v>165.06268958544018</v>
      </c>
      <c r="J180" s="51">
        <f t="shared" si="36"/>
        <v>1.3429615833595505</v>
      </c>
      <c r="K180" s="51">
        <f t="shared" si="37"/>
        <v>40.848414827186332</v>
      </c>
      <c r="L180" s="51">
        <f t="shared" si="38"/>
        <v>25414.312509850151</v>
      </c>
      <c r="M180" s="39"/>
      <c r="N180" s="51">
        <f t="shared" si="39"/>
        <v>6.4943900962171028</v>
      </c>
      <c r="O180" s="85">
        <f>('Price Deck'!R174/$B$2)/'Price Deck'!M174</f>
        <v>503.88377279971485</v>
      </c>
      <c r="Q180" s="155">
        <f t="shared" si="40"/>
        <v>0.33088557503984317</v>
      </c>
      <c r="R180" s="155">
        <f t="shared" si="41"/>
        <v>0.1</v>
      </c>
      <c r="S180" s="155">
        <f t="shared" si="42"/>
        <v>0.43097071052771196</v>
      </c>
      <c r="T180" s="155">
        <f t="shared" si="43"/>
        <v>0.33088557503984317</v>
      </c>
      <c r="U180" s="155">
        <f t="shared" si="44"/>
        <v>0.33152346956791157</v>
      </c>
      <c r="W180" s="155">
        <f t="shared" si="45"/>
        <v>-0.25313257337010692</v>
      </c>
      <c r="X180" s="157">
        <f t="shared" si="46"/>
        <v>7.7753001669736255E-2</v>
      </c>
      <c r="Y180" s="155">
        <f t="shared" si="47"/>
        <v>7.7753001669736255E-2</v>
      </c>
      <c r="AA180" s="85">
        <f>'Price Deck'!R174/'Price Deck'!M174</f>
        <v>80.111255174999982</v>
      </c>
      <c r="AB180" s="85">
        <f t="shared" si="48"/>
        <v>3272.4177837149768</v>
      </c>
      <c r="AC180" s="85">
        <f t="shared" si="49"/>
        <v>254.44030540126522</v>
      </c>
      <c r="AD180" s="85">
        <f t="shared" si="50"/>
        <v>6.2288905573864408</v>
      </c>
    </row>
    <row r="181" spans="1:30">
      <c r="A181" s="164" t="str">
        <f>'Price Deck'!A175</f>
        <v>06/2032</v>
      </c>
      <c r="B181" s="51">
        <f>'Liquids Type Curve'!A188</f>
        <v>13.83855746545335</v>
      </c>
      <c r="C181" s="51">
        <f>'Liquids Type Curve'!B188</f>
        <v>166.06268958544021</v>
      </c>
      <c r="D181" s="51">
        <f>'Liquids Type Curve'!C188</f>
        <v>5.8061836111627709</v>
      </c>
      <c r="E181" s="51">
        <f>'Liquids Type Curve'!D188</f>
        <v>176.60475150620096</v>
      </c>
      <c r="F181" s="51">
        <f>'Liquids Type Curve'!E188</f>
        <v>110673.61566389815</v>
      </c>
      <c r="G181" s="39"/>
      <c r="H181" s="51">
        <f t="shared" si="34"/>
        <v>13.83855746545335</v>
      </c>
      <c r="I181" s="39">
        <f t="shared" si="35"/>
        <v>166.06268958544021</v>
      </c>
      <c r="J181" s="51">
        <f t="shared" si="36"/>
        <v>1.3354222305674375</v>
      </c>
      <c r="K181" s="51">
        <f t="shared" si="37"/>
        <v>40.61909284642622</v>
      </c>
      <c r="L181" s="51">
        <f t="shared" si="38"/>
        <v>25454.931602696575</v>
      </c>
      <c r="M181" s="39"/>
      <c r="N181" s="51">
        <f t="shared" si="39"/>
        <v>6.4579307523969316</v>
      </c>
      <c r="O181" s="85">
        <f>('Price Deck'!R175/$B$2)/'Price Deck'!M175</f>
        <v>503.88377279971485</v>
      </c>
      <c r="Q181" s="155">
        <f t="shared" si="40"/>
        <v>0.33088557503984317</v>
      </c>
      <c r="R181" s="155">
        <f t="shared" si="41"/>
        <v>0.1</v>
      </c>
      <c r="S181" s="155">
        <f t="shared" si="42"/>
        <v>0.43097071052771196</v>
      </c>
      <c r="T181" s="155">
        <f t="shared" si="43"/>
        <v>0.33088557503984317</v>
      </c>
      <c r="U181" s="155">
        <f t="shared" si="44"/>
        <v>0.33152346956791157</v>
      </c>
      <c r="W181" s="155">
        <f t="shared" si="45"/>
        <v>-0.25318179348426417</v>
      </c>
      <c r="X181" s="157">
        <f t="shared" si="46"/>
        <v>7.7703781555578999E-2</v>
      </c>
      <c r="Y181" s="155">
        <f t="shared" si="47"/>
        <v>7.7703781555578999E-2</v>
      </c>
      <c r="AA181" s="85">
        <f>'Price Deck'!R175/'Price Deck'!M175</f>
        <v>80.111255174999982</v>
      </c>
      <c r="AB181" s="85">
        <f t="shared" si="48"/>
        <v>3254.0465119970672</v>
      </c>
      <c r="AC181" s="85">
        <f t="shared" si="49"/>
        <v>252.8517193399139</v>
      </c>
      <c r="AD181" s="85">
        <f t="shared" si="50"/>
        <v>6.2249474722614462</v>
      </c>
    </row>
    <row r="182" spans="1:30">
      <c r="A182" s="164" t="str">
        <f>'Price Deck'!A176</f>
        <v>07/2032</v>
      </c>
      <c r="B182" s="51">
        <f>'Liquids Type Curve'!A189</f>
        <v>13.921890798786684</v>
      </c>
      <c r="C182" s="51">
        <f>'Liquids Type Curve'!B189</f>
        <v>167.06268958544021</v>
      </c>
      <c r="D182" s="51">
        <f>'Liquids Type Curve'!C189</f>
        <v>5.7737829921950734</v>
      </c>
      <c r="E182" s="51">
        <f>'Liquids Type Curve'!D189</f>
        <v>175.61923267926682</v>
      </c>
      <c r="F182" s="51">
        <f>'Liquids Type Curve'!E189</f>
        <v>110849.23489657741</v>
      </c>
      <c r="G182" s="39"/>
      <c r="H182" s="51">
        <f t="shared" si="34"/>
        <v>13.921890798786684</v>
      </c>
      <c r="I182" s="39">
        <f t="shared" si="35"/>
        <v>167.06268958544021</v>
      </c>
      <c r="J182" s="51">
        <f t="shared" si="36"/>
        <v>1.3279700882048668</v>
      </c>
      <c r="K182" s="51">
        <f t="shared" si="37"/>
        <v>40.392423516231368</v>
      </c>
      <c r="L182" s="51">
        <f t="shared" si="38"/>
        <v>25495.324026212806</v>
      </c>
      <c r="M182" s="39"/>
      <c r="N182" s="51">
        <f t="shared" si="39"/>
        <v>6.4218931470366893</v>
      </c>
      <c r="O182" s="85">
        <f>('Price Deck'!R176/$B$2)/'Price Deck'!M176</f>
        <v>503.88377279971485</v>
      </c>
      <c r="Q182" s="155">
        <f t="shared" si="40"/>
        <v>0.33088557503984317</v>
      </c>
      <c r="R182" s="155">
        <f t="shared" si="41"/>
        <v>0.1</v>
      </c>
      <c r="S182" s="155">
        <f t="shared" si="42"/>
        <v>0.43097071052771196</v>
      </c>
      <c r="T182" s="155">
        <f t="shared" si="43"/>
        <v>0.33088557503984317</v>
      </c>
      <c r="U182" s="155">
        <f t="shared" si="44"/>
        <v>0.33152346956791157</v>
      </c>
      <c r="W182" s="155">
        <f t="shared" si="45"/>
        <v>-0.25323044425150049</v>
      </c>
      <c r="X182" s="157">
        <f t="shared" si="46"/>
        <v>7.7655130788342686E-2</v>
      </c>
      <c r="Y182" s="155">
        <f t="shared" si="47"/>
        <v>7.7655130788342686E-2</v>
      </c>
      <c r="AA182" s="85">
        <f>'Price Deck'!R176/'Price Deck'!M176</f>
        <v>80.111255174999982</v>
      </c>
      <c r="AB182" s="85">
        <f t="shared" si="48"/>
        <v>3235.8877474454812</v>
      </c>
      <c r="AC182" s="85">
        <f t="shared" si="49"/>
        <v>251.28328624427445</v>
      </c>
      <c r="AD182" s="85">
        <f t="shared" si="50"/>
        <v>6.2210499982329184</v>
      </c>
    </row>
    <row r="183" spans="1:30">
      <c r="A183" s="164" t="str">
        <f>'Price Deck'!A177</f>
        <v>08/2032</v>
      </c>
      <c r="B183" s="51">
        <f>'Liquids Type Curve'!A190</f>
        <v>14.005224132120018</v>
      </c>
      <c r="C183" s="51">
        <f>'Liquids Type Curve'!B190</f>
        <v>168.06268958544021</v>
      </c>
      <c r="D183" s="51">
        <f>'Liquids Type Curve'!C190</f>
        <v>5.7417549324317809</v>
      </c>
      <c r="E183" s="51">
        <f>'Liquids Type Curve'!D190</f>
        <v>174.64504586146668</v>
      </c>
      <c r="F183" s="51">
        <f>'Liquids Type Curve'!E190</f>
        <v>111023.87994243889</v>
      </c>
      <c r="G183" s="39"/>
      <c r="H183" s="51">
        <f t="shared" si="34"/>
        <v>14.005224132120018</v>
      </c>
      <c r="I183" s="39">
        <f t="shared" si="35"/>
        <v>168.06268958544021</v>
      </c>
      <c r="J183" s="51">
        <f t="shared" si="36"/>
        <v>1.3206036344593097</v>
      </c>
      <c r="K183" s="51">
        <f t="shared" si="37"/>
        <v>40.168360548137336</v>
      </c>
      <c r="L183" s="51">
        <f t="shared" si="38"/>
        <v>25535.492386760943</v>
      </c>
      <c r="M183" s="39"/>
      <c r="N183" s="51">
        <f t="shared" si="39"/>
        <v>6.3862699208460265</v>
      </c>
      <c r="O183" s="85">
        <f>('Price Deck'!R177/$B$2)/'Price Deck'!M177</f>
        <v>503.88377279971485</v>
      </c>
      <c r="Q183" s="155">
        <f t="shared" si="40"/>
        <v>0.33088557503984317</v>
      </c>
      <c r="R183" s="155">
        <f t="shared" si="41"/>
        <v>0.1</v>
      </c>
      <c r="S183" s="155">
        <f t="shared" si="42"/>
        <v>0.43097071052771196</v>
      </c>
      <c r="T183" s="155">
        <f t="shared" si="43"/>
        <v>0.33088557503984317</v>
      </c>
      <c r="U183" s="155">
        <f t="shared" si="44"/>
        <v>0.33152346956791157</v>
      </c>
      <c r="W183" s="155">
        <f t="shared" si="45"/>
        <v>-0.25327853560685787</v>
      </c>
      <c r="X183" s="157">
        <f t="shared" si="46"/>
        <v>7.7607039432985303E-2</v>
      </c>
      <c r="Y183" s="155">
        <f t="shared" si="47"/>
        <v>7.7607039432985303E-2</v>
      </c>
      <c r="AA183" s="85">
        <f>'Price Deck'!R177/'Price Deck'!M177</f>
        <v>80.111255174999982</v>
      </c>
      <c r="AB183" s="85">
        <f t="shared" si="48"/>
        <v>3217.9377818332323</v>
      </c>
      <c r="AC183" s="85">
        <f t="shared" si="49"/>
        <v>249.73462432762491</v>
      </c>
      <c r="AD183" s="85">
        <f t="shared" si="50"/>
        <v>6.2171973393921718</v>
      </c>
    </row>
    <row r="184" spans="1:30">
      <c r="A184" s="164" t="str">
        <f>'Price Deck'!A178</f>
        <v>09/2032</v>
      </c>
      <c r="B184" s="51">
        <f>'Liquids Type Curve'!A191</f>
        <v>14.088557465453352</v>
      </c>
      <c r="C184" s="51">
        <f>'Liquids Type Curve'!B191</f>
        <v>169.06268958544024</v>
      </c>
      <c r="D184" s="51">
        <f>'Liquids Type Curve'!C191</f>
        <v>5.710092969216868</v>
      </c>
      <c r="E184" s="51">
        <f>'Liquids Type Curve'!D191</f>
        <v>173.68199448034642</v>
      </c>
      <c r="F184" s="51">
        <f>'Liquids Type Curve'!E191</f>
        <v>111197.56193691923</v>
      </c>
      <c r="G184" s="39"/>
      <c r="H184" s="51">
        <f t="shared" si="34"/>
        <v>14.088557465453352</v>
      </c>
      <c r="I184" s="39">
        <f t="shared" si="35"/>
        <v>169.06268958544024</v>
      </c>
      <c r="J184" s="51">
        <f t="shared" si="36"/>
        <v>1.3133213829198798</v>
      </c>
      <c r="K184" s="51">
        <f t="shared" si="37"/>
        <v>39.946858730479676</v>
      </c>
      <c r="L184" s="51">
        <f t="shared" si="38"/>
        <v>25575.439245491423</v>
      </c>
      <c r="M184" s="39"/>
      <c r="N184" s="51">
        <f t="shared" si="39"/>
        <v>6.3510538857324041</v>
      </c>
      <c r="O184" s="85">
        <f>('Price Deck'!R178/$B$2)/'Price Deck'!M178</f>
        <v>503.88377279971485</v>
      </c>
      <c r="Q184" s="155">
        <f t="shared" si="40"/>
        <v>0.33088557503984317</v>
      </c>
      <c r="R184" s="155">
        <f t="shared" si="41"/>
        <v>0.1</v>
      </c>
      <c r="S184" s="155">
        <f t="shared" si="42"/>
        <v>0.43097071052771196</v>
      </c>
      <c r="T184" s="155">
        <f t="shared" si="43"/>
        <v>0.33088557503984317</v>
      </c>
      <c r="U184" s="155">
        <f t="shared" si="44"/>
        <v>0.33152346956791157</v>
      </c>
      <c r="W184" s="155">
        <f t="shared" si="45"/>
        <v>-0.25332607725426126</v>
      </c>
      <c r="X184" s="157">
        <f t="shared" si="46"/>
        <v>7.755949778558191E-2</v>
      </c>
      <c r="Y184" s="155">
        <f t="shared" si="47"/>
        <v>7.755949778558191E-2</v>
      </c>
      <c r="AA184" s="85">
        <f>'Price Deck'!R178/'Price Deck'!M178</f>
        <v>80.111255174999982</v>
      </c>
      <c r="AB184" s="85">
        <f t="shared" si="48"/>
        <v>3200.1929931971331</v>
      </c>
      <c r="AC184" s="85">
        <f t="shared" si="49"/>
        <v>248.20536136930778</v>
      </c>
      <c r="AD184" s="85">
        <f t="shared" si="50"/>
        <v>6.2133887183455982</v>
      </c>
    </row>
    <row r="185" spans="1:30">
      <c r="A185" s="164" t="str">
        <f>'Price Deck'!A179</f>
        <v>10/2032</v>
      </c>
      <c r="B185" s="51">
        <f>'Liquids Type Curve'!A192</f>
        <v>14.171890798786686</v>
      </c>
      <c r="C185" s="51">
        <f>'Liquids Type Curve'!B192</f>
        <v>170.06268958544024</v>
      </c>
      <c r="D185" s="51">
        <f>'Liquids Type Curve'!C192</f>
        <v>5.6787907893497112</v>
      </c>
      <c r="E185" s="51">
        <f>'Liquids Type Curve'!D192</f>
        <v>172.72988650938706</v>
      </c>
      <c r="F185" s="51">
        <f>'Liquids Type Curve'!E192</f>
        <v>111370.29182342862</v>
      </c>
      <c r="G185" s="39"/>
      <c r="H185" s="51">
        <f t="shared" si="34"/>
        <v>14.171890798786686</v>
      </c>
      <c r="I185" s="39">
        <f t="shared" si="35"/>
        <v>170.06268958544024</v>
      </c>
      <c r="J185" s="51">
        <f t="shared" si="36"/>
        <v>1.3061218815504336</v>
      </c>
      <c r="K185" s="51">
        <f t="shared" si="37"/>
        <v>39.727873897159022</v>
      </c>
      <c r="L185" s="51">
        <f t="shared" si="38"/>
        <v>25615.167119388585</v>
      </c>
      <c r="M185" s="39"/>
      <c r="N185" s="51">
        <f t="shared" si="39"/>
        <v>6.3162380198351329</v>
      </c>
      <c r="O185" s="85">
        <f>('Price Deck'!R179/$B$2)/'Price Deck'!M179</f>
        <v>503.88377279971485</v>
      </c>
      <c r="Q185" s="155">
        <f t="shared" si="40"/>
        <v>0.33088557503984317</v>
      </c>
      <c r="R185" s="155">
        <f t="shared" si="41"/>
        <v>0.1</v>
      </c>
      <c r="S185" s="155">
        <f t="shared" si="42"/>
        <v>0.43097071052771196</v>
      </c>
      <c r="T185" s="155">
        <f t="shared" si="43"/>
        <v>0.33088557503984317</v>
      </c>
      <c r="U185" s="155">
        <f t="shared" si="44"/>
        <v>0.33152346956791157</v>
      </c>
      <c r="W185" s="155">
        <f t="shared" si="45"/>
        <v>-0.25337307867322256</v>
      </c>
      <c r="X185" s="157">
        <f t="shared" si="46"/>
        <v>7.7512496366620609E-2</v>
      </c>
      <c r="Y185" s="155">
        <f t="shared" si="47"/>
        <v>7.7512496366620609E-2</v>
      </c>
      <c r="AA185" s="85">
        <f>'Price Deck'!R179/'Price Deck'!M179</f>
        <v>80.111255174999982</v>
      </c>
      <c r="AB185" s="85">
        <f t="shared" si="48"/>
        <v>3182.6498433355273</v>
      </c>
      <c r="AC185" s="85">
        <f t="shared" si="49"/>
        <v>246.6951344177707</v>
      </c>
      <c r="AD185" s="85">
        <f t="shared" si="50"/>
        <v>6.2096233756776025</v>
      </c>
    </row>
    <row r="186" spans="1:30">
      <c r="A186" s="164" t="str">
        <f>'Price Deck'!A180</f>
        <v>11/2032</v>
      </c>
      <c r="B186" s="51">
        <f>'Liquids Type Curve'!A193</f>
        <v>14.25522413212002</v>
      </c>
      <c r="C186" s="51">
        <f>'Liquids Type Curve'!B193</f>
        <v>171.06268958544024</v>
      </c>
      <c r="D186" s="51">
        <f>'Liquids Type Curve'!C193</f>
        <v>5.6478422247751228</v>
      </c>
      <c r="E186" s="51">
        <f>'Liquids Type Curve'!D193</f>
        <v>171.78853433691</v>
      </c>
      <c r="F186" s="51">
        <f>'Liquids Type Curve'!E193</f>
        <v>111542.08035776553</v>
      </c>
      <c r="G186" s="39"/>
      <c r="H186" s="51">
        <f t="shared" si="34"/>
        <v>14.25522413212002</v>
      </c>
      <c r="I186" s="39">
        <f t="shared" si="35"/>
        <v>171.06268958544024</v>
      </c>
      <c r="J186" s="51">
        <f t="shared" si="36"/>
        <v>1.2990037116982782</v>
      </c>
      <c r="K186" s="51">
        <f t="shared" si="37"/>
        <v>39.511362897489306</v>
      </c>
      <c r="L186" s="51">
        <f t="shared" si="38"/>
        <v>25654.678482286072</v>
      </c>
      <c r="M186" s="39"/>
      <c r="N186" s="51">
        <f t="shared" si="39"/>
        <v>6.2818154627316138</v>
      </c>
      <c r="O186" s="85">
        <f>('Price Deck'!R180/$B$2)/'Price Deck'!M180</f>
        <v>503.88377279971485</v>
      </c>
      <c r="Q186" s="155">
        <f t="shared" si="40"/>
        <v>0.33088557503984317</v>
      </c>
      <c r="R186" s="155">
        <f t="shared" si="41"/>
        <v>0.1</v>
      </c>
      <c r="S186" s="155">
        <f t="shared" si="42"/>
        <v>0.43097071052771196</v>
      </c>
      <c r="T186" s="155">
        <f t="shared" si="43"/>
        <v>0.33088557503984317</v>
      </c>
      <c r="U186" s="155">
        <f t="shared" si="44"/>
        <v>0.33152346956791157</v>
      </c>
      <c r="W186" s="155">
        <f t="shared" si="45"/>
        <v>-0.25341954912531234</v>
      </c>
      <c r="X186" s="157">
        <f t="shared" si="46"/>
        <v>7.7466025914530834E-2</v>
      </c>
      <c r="Y186" s="155">
        <f t="shared" si="47"/>
        <v>7.7466025914530834E-2</v>
      </c>
      <c r="AA186" s="85">
        <f>'Price Deck'!R180/'Price Deck'!M180</f>
        <v>80.111255174999982</v>
      </c>
      <c r="AB186" s="85">
        <f t="shared" si="48"/>
        <v>3165.3048753927924</v>
      </c>
      <c r="AC186" s="85">
        <f t="shared" si="49"/>
        <v>245.20358950456884</v>
      </c>
      <c r="AD186" s="85">
        <f t="shared" si="50"/>
        <v>6.2059005694321403</v>
      </c>
    </row>
    <row r="187" spans="1:30">
      <c r="A187" s="164" t="str">
        <f>'Price Deck'!A181</f>
        <v>12/2032</v>
      </c>
      <c r="B187" s="51">
        <f>'Liquids Type Curve'!A194</f>
        <v>14.338557465453354</v>
      </c>
      <c r="C187" s="51">
        <f>'Liquids Type Curve'!B194</f>
        <v>172.06268958544024</v>
      </c>
      <c r="D187" s="51">
        <f>'Liquids Type Curve'!C194</f>
        <v>5.6172412484219976</v>
      </c>
      <c r="E187" s="51">
        <f>'Liquids Type Curve'!D194</f>
        <v>170.85775463950245</v>
      </c>
      <c r="F187" s="51">
        <f>'Liquids Type Curve'!E194</f>
        <v>111712.93811240503</v>
      </c>
      <c r="G187" s="39"/>
      <c r="H187" s="51">
        <f t="shared" si="34"/>
        <v>14.338557465453354</v>
      </c>
      <c r="I187" s="39">
        <f t="shared" si="35"/>
        <v>172.06268958544024</v>
      </c>
      <c r="J187" s="51">
        <f t="shared" si="36"/>
        <v>1.2919654871370594</v>
      </c>
      <c r="K187" s="51">
        <f t="shared" si="37"/>
        <v>39.297283567085564</v>
      </c>
      <c r="L187" s="51">
        <f t="shared" si="38"/>
        <v>25693.975765853156</v>
      </c>
      <c r="M187" s="39"/>
      <c r="N187" s="51">
        <f t="shared" si="39"/>
        <v>6.2477795108088596</v>
      </c>
      <c r="O187" s="85">
        <f>('Price Deck'!R181/$B$2)/'Price Deck'!M181</f>
        <v>503.88377279971485</v>
      </c>
      <c r="Q187" s="155">
        <f t="shared" si="40"/>
        <v>0.33088557503984317</v>
      </c>
      <c r="R187" s="155">
        <f t="shared" si="41"/>
        <v>0.1</v>
      </c>
      <c r="S187" s="155">
        <f t="shared" si="42"/>
        <v>0.43097071052771196</v>
      </c>
      <c r="T187" s="155">
        <f t="shared" si="43"/>
        <v>0.33088557503984317</v>
      </c>
      <c r="U187" s="155">
        <f t="shared" si="44"/>
        <v>0.33152346956791157</v>
      </c>
      <c r="W187" s="155">
        <f t="shared" si="45"/>
        <v>-0.25346549766040805</v>
      </c>
      <c r="X187" s="157">
        <f t="shared" si="46"/>
        <v>7.7420077379435126E-2</v>
      </c>
      <c r="Y187" s="155">
        <f t="shared" si="47"/>
        <v>7.7420077379435126E-2</v>
      </c>
      <c r="AA187" s="85">
        <f>'Price Deck'!R181/'Price Deck'!M181</f>
        <v>80.111255174999982</v>
      </c>
      <c r="AB187" s="85">
        <f t="shared" si="48"/>
        <v>3148.1547115271251</v>
      </c>
      <c r="AC187" s="85">
        <f t="shared" si="49"/>
        <v>243.73038136886328</v>
      </c>
      <c r="AD187" s="85">
        <f t="shared" si="50"/>
        <v>6.2022195746121707</v>
      </c>
    </row>
    <row r="188" spans="1:30">
      <c r="A188" s="164" t="str">
        <f>'Price Deck'!A182</f>
        <v>01/2033</v>
      </c>
      <c r="B188" s="51">
        <f>'Liquids Type Curve'!A195</f>
        <v>14.421890798786688</v>
      </c>
      <c r="C188" s="51">
        <f>'Liquids Type Curve'!B195</f>
        <v>173.06268958544024</v>
      </c>
      <c r="D188" s="51">
        <f>'Liquids Type Curve'!C195</f>
        <v>5.5869819701846577</v>
      </c>
      <c r="E188" s="51">
        <f>'Liquids Type Curve'!D195</f>
        <v>169.93736825978334</v>
      </c>
      <c r="F188" s="51">
        <f>'Liquids Type Curve'!E195</f>
        <v>111882.87548066481</v>
      </c>
      <c r="G188" s="39"/>
      <c r="H188" s="51">
        <f t="shared" si="34"/>
        <v>14.421890798786688</v>
      </c>
      <c r="I188" s="39">
        <f t="shared" si="35"/>
        <v>173.06268958544024</v>
      </c>
      <c r="J188" s="51">
        <f t="shared" si="36"/>
        <v>1.2850058531424713</v>
      </c>
      <c r="K188" s="51">
        <f t="shared" si="37"/>
        <v>39.085594699750168</v>
      </c>
      <c r="L188" s="51">
        <f t="shared" si="38"/>
        <v>25733.061360552907</v>
      </c>
      <c r="M188" s="39"/>
      <c r="N188" s="51">
        <f t="shared" si="39"/>
        <v>6.214123612793756</v>
      </c>
      <c r="O188" s="85">
        <f>('Price Deck'!R182/$B$2)/'Price Deck'!M182</f>
        <v>503.88377279971485</v>
      </c>
      <c r="Q188" s="155">
        <f t="shared" si="40"/>
        <v>0.33088557503984317</v>
      </c>
      <c r="R188" s="155">
        <f t="shared" si="41"/>
        <v>0.1</v>
      </c>
      <c r="S188" s="155">
        <f t="shared" si="42"/>
        <v>0.43097071052771196</v>
      </c>
      <c r="T188" s="155">
        <f t="shared" si="43"/>
        <v>0.33088557503984317</v>
      </c>
      <c r="U188" s="155">
        <f t="shared" si="44"/>
        <v>0.33152346956791157</v>
      </c>
      <c r="W188" s="155">
        <f t="shared" si="45"/>
        <v>-0.25351093312272849</v>
      </c>
      <c r="X188" s="157">
        <f t="shared" si="46"/>
        <v>7.7374641917114684E-2</v>
      </c>
      <c r="Y188" s="155">
        <f t="shared" si="47"/>
        <v>7.7374641917114684E-2</v>
      </c>
      <c r="AA188" s="85">
        <f>'Price Deck'!R182/'Price Deck'!M182</f>
        <v>80.111255174999982</v>
      </c>
      <c r="AB188" s="85">
        <f t="shared" si="48"/>
        <v>3131.1960506583123</v>
      </c>
      <c r="AC188" s="85">
        <f t="shared" si="49"/>
        <v>242.27517319197059</v>
      </c>
      <c r="AD188" s="85">
        <f t="shared" si="50"/>
        <v>6.1985796826962236</v>
      </c>
    </row>
    <row r="189" spans="1:30">
      <c r="A189" s="164" t="str">
        <f>'Price Deck'!A183</f>
        <v>02/2033</v>
      </c>
      <c r="B189" s="51">
        <f>'Liquids Type Curve'!A196</f>
        <v>14.505224132120022</v>
      </c>
      <c r="C189" s="51">
        <f>'Liquids Type Curve'!B196</f>
        <v>174.06268958544027</v>
      </c>
      <c r="D189" s="51">
        <f>'Liquids Type Curve'!C196</f>
        <v>5.5570586330411542</v>
      </c>
      <c r="E189" s="51">
        <f>'Liquids Type Curve'!D196</f>
        <v>169.02720008833512</v>
      </c>
      <c r="F189" s="51">
        <f>'Liquids Type Curve'!E196</f>
        <v>112051.90268075315</v>
      </c>
      <c r="G189" s="39"/>
      <c r="H189" s="51">
        <f t="shared" si="34"/>
        <v>14.505224132120022</v>
      </c>
      <c r="I189" s="39">
        <f t="shared" si="35"/>
        <v>174.06268958544027</v>
      </c>
      <c r="J189" s="51">
        <f t="shared" si="36"/>
        <v>1.2781234855994654</v>
      </c>
      <c r="K189" s="51">
        <f t="shared" si="37"/>
        <v>38.876256020317079</v>
      </c>
      <c r="L189" s="51">
        <f t="shared" si="38"/>
        <v>25771.937616573225</v>
      </c>
      <c r="M189" s="39"/>
      <c r="N189" s="51">
        <f t="shared" si="39"/>
        <v>6.1808413654356382</v>
      </c>
      <c r="O189" s="85">
        <f>('Price Deck'!R183/$B$2)/'Price Deck'!M183</f>
        <v>511.44202939171049</v>
      </c>
      <c r="Q189" s="155">
        <f t="shared" si="40"/>
        <v>0.33386652911143022</v>
      </c>
      <c r="R189" s="155">
        <f t="shared" si="41"/>
        <v>0.1</v>
      </c>
      <c r="S189" s="155">
        <f t="shared" si="42"/>
        <v>0.43860454968562756</v>
      </c>
      <c r="T189" s="155">
        <f t="shared" si="43"/>
        <v>0.33504261616544079</v>
      </c>
      <c r="U189" s="155">
        <f t="shared" si="44"/>
        <v>0.33386652911143022</v>
      </c>
      <c r="W189" s="155">
        <f t="shared" si="45"/>
        <v>-0.25355586415666193</v>
      </c>
      <c r="X189" s="157">
        <f t="shared" si="46"/>
        <v>8.0310664954768296E-2</v>
      </c>
      <c r="Y189" s="155">
        <f t="shared" si="47"/>
        <v>8.0310664954768296E-2</v>
      </c>
      <c r="AA189" s="85">
        <f>'Price Deck'!R183/'Price Deck'!M183</f>
        <v>81.312924002624968</v>
      </c>
      <c r="AB189" s="85">
        <f t="shared" si="48"/>
        <v>3161.1420512866339</v>
      </c>
      <c r="AC189" s="85">
        <f t="shared" si="49"/>
        <v>253.87342015530984</v>
      </c>
      <c r="AD189" s="85">
        <f t="shared" si="50"/>
        <v>6.5302949960673509</v>
      </c>
    </row>
    <row r="190" spans="1:30">
      <c r="A190" s="164" t="str">
        <f>'Price Deck'!A184</f>
        <v>03/2033</v>
      </c>
      <c r="B190" s="51">
        <f>'Liquids Type Curve'!A197</f>
        <v>14.588557465453356</v>
      </c>
      <c r="C190" s="51">
        <f>'Liquids Type Curve'!B197</f>
        <v>175.06268958544027</v>
      </c>
      <c r="D190" s="51">
        <f>'Liquids Type Curve'!C197</f>
        <v>5.5274656093031451</v>
      </c>
      <c r="E190" s="51">
        <f>'Liquids Type Curve'!D197</f>
        <v>168.12707894963734</v>
      </c>
      <c r="F190" s="51">
        <f>'Liquids Type Curve'!E197</f>
        <v>112220.02975970278</v>
      </c>
      <c r="G190" s="39"/>
      <c r="H190" s="51">
        <f t="shared" si="34"/>
        <v>14.588557465453356</v>
      </c>
      <c r="I190" s="39">
        <f t="shared" si="35"/>
        <v>175.06268958544027</v>
      </c>
      <c r="J190" s="51">
        <f t="shared" si="36"/>
        <v>1.2713170901397235</v>
      </c>
      <c r="K190" s="51">
        <f t="shared" si="37"/>
        <v>38.669228158416587</v>
      </c>
      <c r="L190" s="51">
        <f t="shared" si="38"/>
        <v>25810.606844731639</v>
      </c>
      <c r="M190" s="39"/>
      <c r="N190" s="51">
        <f t="shared" si="39"/>
        <v>6.1479265093352069</v>
      </c>
      <c r="O190" s="85">
        <f>('Price Deck'!R184/$B$2)/'Price Deck'!M184</f>
        <v>511.44202939171049</v>
      </c>
      <c r="Q190" s="155">
        <f t="shared" si="40"/>
        <v>0.33386652911143022</v>
      </c>
      <c r="R190" s="155">
        <f t="shared" si="41"/>
        <v>0.1</v>
      </c>
      <c r="S190" s="155">
        <f t="shared" si="42"/>
        <v>0.43860454968562756</v>
      </c>
      <c r="T190" s="155">
        <f t="shared" si="43"/>
        <v>0.33504261616544079</v>
      </c>
      <c r="U190" s="155">
        <f t="shared" si="44"/>
        <v>0.33386652911143022</v>
      </c>
      <c r="W190" s="155">
        <f t="shared" si="45"/>
        <v>-0.25360029921239746</v>
      </c>
      <c r="X190" s="157">
        <f t="shared" si="46"/>
        <v>8.0266229899032759E-2</v>
      </c>
      <c r="Y190" s="155">
        <f t="shared" si="47"/>
        <v>8.0266229899032759E-2</v>
      </c>
      <c r="AA190" s="85">
        <f>'Price Deck'!R184/'Price Deck'!M184</f>
        <v>81.312924002624968</v>
      </c>
      <c r="AB190" s="85">
        <f t="shared" si="48"/>
        <v>3144.3080104854935</v>
      </c>
      <c r="AC190" s="85">
        <f t="shared" si="49"/>
        <v>252.38174964299893</v>
      </c>
      <c r="AD190" s="85">
        <f t="shared" si="50"/>
        <v>6.5266818517572753</v>
      </c>
    </row>
    <row r="191" spans="1:30">
      <c r="A191" s="164" t="str">
        <f>'Price Deck'!A185</f>
        <v>04/2033</v>
      </c>
      <c r="B191" s="51">
        <f>'Liquids Type Curve'!A198</f>
        <v>14.67189079878669</v>
      </c>
      <c r="C191" s="51">
        <f>'Liquids Type Curve'!B198</f>
        <v>176.06268958544027</v>
      </c>
      <c r="D191" s="51">
        <f>'Liquids Type Curve'!C198</f>
        <v>5.4981973969921292</v>
      </c>
      <c r="E191" s="51">
        <f>'Liquids Type Curve'!D198</f>
        <v>167.23683749184394</v>
      </c>
      <c r="F191" s="51">
        <f>'Liquids Type Curve'!E198</f>
        <v>112387.26659719463</v>
      </c>
      <c r="G191" s="39"/>
      <c r="H191" s="51">
        <f t="shared" si="34"/>
        <v>14.67189079878669</v>
      </c>
      <c r="I191" s="39">
        <f t="shared" si="35"/>
        <v>176.06268958544027</v>
      </c>
      <c r="J191" s="51">
        <f t="shared" si="36"/>
        <v>1.2645854013081899</v>
      </c>
      <c r="K191" s="51">
        <f t="shared" si="37"/>
        <v>38.464472623124109</v>
      </c>
      <c r="L191" s="51">
        <f t="shared" si="38"/>
        <v>25849.071317354767</v>
      </c>
      <c r="M191" s="39"/>
      <c r="N191" s="51">
        <f t="shared" si="39"/>
        <v>6.1153729249140047</v>
      </c>
      <c r="O191" s="85">
        <f>('Price Deck'!R185/$B$2)/'Price Deck'!M185</f>
        <v>511.44202939171049</v>
      </c>
      <c r="Q191" s="155">
        <f t="shared" si="40"/>
        <v>0.33386652911143022</v>
      </c>
      <c r="R191" s="155">
        <f t="shared" si="41"/>
        <v>0.1</v>
      </c>
      <c r="S191" s="155">
        <f t="shared" si="42"/>
        <v>0.43860454968562756</v>
      </c>
      <c r="T191" s="155">
        <f t="shared" si="43"/>
        <v>0.33504261616544079</v>
      </c>
      <c r="U191" s="155">
        <f t="shared" si="44"/>
        <v>0.33386652911143022</v>
      </c>
      <c r="W191" s="155">
        <f t="shared" si="45"/>
        <v>-0.25364424655136614</v>
      </c>
      <c r="X191" s="157">
        <f t="shared" si="46"/>
        <v>8.0222282560064084E-2</v>
      </c>
      <c r="Y191" s="155">
        <f t="shared" si="47"/>
        <v>8.0222282560064084E-2</v>
      </c>
      <c r="AA191" s="85">
        <f>'Price Deck'!R185/'Price Deck'!M185</f>
        <v>81.312924002624968</v>
      </c>
      <c r="AB191" s="85">
        <f t="shared" si="48"/>
        <v>3127.6587392051392</v>
      </c>
      <c r="AC191" s="85">
        <f t="shared" si="49"/>
        <v>250.90792312796847</v>
      </c>
      <c r="AD191" s="85">
        <f t="shared" si="50"/>
        <v>6.5231083651235968</v>
      </c>
    </row>
    <row r="192" spans="1:30">
      <c r="A192" s="164" t="str">
        <f>'Price Deck'!A186</f>
        <v>05/2033</v>
      </c>
      <c r="B192" s="51">
        <f>'Liquids Type Curve'!A199</f>
        <v>14.755224132120023</v>
      </c>
      <c r="C192" s="51">
        <f>'Liquids Type Curve'!B199</f>
        <v>177.0626895854403</v>
      </c>
      <c r="D192" s="51">
        <f>'Liquids Type Curve'!C199</f>
        <v>5.4692486163371408</v>
      </c>
      <c r="E192" s="51">
        <f>'Liquids Type Curve'!D199</f>
        <v>166.3563120802547</v>
      </c>
      <c r="F192" s="51">
        <f>'Liquids Type Curve'!E199</f>
        <v>112553.62290927488</v>
      </c>
      <c r="G192" s="39"/>
      <c r="H192" s="51">
        <f t="shared" si="34"/>
        <v>14.755224132120023</v>
      </c>
      <c r="I192" s="39">
        <f t="shared" si="35"/>
        <v>177.0626895854403</v>
      </c>
      <c r="J192" s="51">
        <f t="shared" si="36"/>
        <v>1.2579271817575424</v>
      </c>
      <c r="K192" s="51">
        <f t="shared" si="37"/>
        <v>38.261951778458581</v>
      </c>
      <c r="L192" s="51">
        <f t="shared" si="38"/>
        <v>25887.333269133225</v>
      </c>
      <c r="M192" s="39"/>
      <c r="N192" s="51">
        <f t="shared" si="39"/>
        <v>6.0831746285189645</v>
      </c>
      <c r="O192" s="85">
        <f>('Price Deck'!R186/$B$2)/'Price Deck'!M186</f>
        <v>511.44202939171049</v>
      </c>
      <c r="Q192" s="155">
        <f t="shared" si="40"/>
        <v>0.33386652911143022</v>
      </c>
      <c r="R192" s="155">
        <f t="shared" si="41"/>
        <v>0.1</v>
      </c>
      <c r="S192" s="155">
        <f t="shared" si="42"/>
        <v>0.43860454968562756</v>
      </c>
      <c r="T192" s="155">
        <f t="shared" si="43"/>
        <v>0.33504261616544079</v>
      </c>
      <c r="U192" s="155">
        <f t="shared" si="44"/>
        <v>0.33386652911143022</v>
      </c>
      <c r="W192" s="155">
        <f t="shared" si="45"/>
        <v>-0.25368771425149939</v>
      </c>
      <c r="X192" s="157">
        <f t="shared" si="46"/>
        <v>8.0178814859930836E-2</v>
      </c>
      <c r="Y192" s="155">
        <f t="shared" si="47"/>
        <v>8.0178814859930836E-2</v>
      </c>
      <c r="AA192" s="85">
        <f>'Price Deck'!R186/'Price Deck'!M186</f>
        <v>81.312924002624968</v>
      </c>
      <c r="AB192" s="85">
        <f t="shared" si="48"/>
        <v>3111.1911771539039</v>
      </c>
      <c r="AC192" s="85">
        <f t="shared" si="49"/>
        <v>249.45162138687314</v>
      </c>
      <c r="AD192" s="85">
        <f t="shared" si="50"/>
        <v>6.519573879326094</v>
      </c>
    </row>
    <row r="193" spans="1:30">
      <c r="A193" s="164" t="str">
        <f>'Price Deck'!A187</f>
        <v>06/2033</v>
      </c>
      <c r="B193" s="51">
        <f>'Liquids Type Curve'!A200</f>
        <v>14.838557465453357</v>
      </c>
      <c r="C193" s="51">
        <f>'Liquids Type Curve'!B200</f>
        <v>178.0626895854403</v>
      </c>
      <c r="D193" s="51">
        <f>'Liquids Type Curve'!C200</f>
        <v>5.4406140063891186</v>
      </c>
      <c r="E193" s="51">
        <f>'Liquids Type Curve'!D200</f>
        <v>165.48534269433569</v>
      </c>
      <c r="F193" s="51">
        <f>'Liquids Type Curve'!E200</f>
        <v>112719.10825196921</v>
      </c>
      <c r="G193" s="39"/>
      <c r="H193" s="51">
        <f t="shared" si="34"/>
        <v>14.838557465453357</v>
      </c>
      <c r="I193" s="39">
        <f t="shared" si="35"/>
        <v>178.0626895854403</v>
      </c>
      <c r="J193" s="51">
        <f t="shared" si="36"/>
        <v>1.2513412214694974</v>
      </c>
      <c r="K193" s="51">
        <f t="shared" si="37"/>
        <v>38.061628819697212</v>
      </c>
      <c r="L193" s="51">
        <f t="shared" si="38"/>
        <v>25925.39489795292</v>
      </c>
      <c r="M193" s="39"/>
      <c r="N193" s="51">
        <f t="shared" si="39"/>
        <v>6.0513257686567474</v>
      </c>
      <c r="O193" s="85">
        <f>('Price Deck'!R187/$B$2)/'Price Deck'!M187</f>
        <v>511.44202939171049</v>
      </c>
      <c r="Q193" s="155">
        <f t="shared" si="40"/>
        <v>0.33386652911143022</v>
      </c>
      <c r="R193" s="155">
        <f t="shared" si="41"/>
        <v>0.1</v>
      </c>
      <c r="S193" s="155">
        <f t="shared" si="42"/>
        <v>0.43860454968562756</v>
      </c>
      <c r="T193" s="155">
        <f t="shared" si="43"/>
        <v>0.33504261616544079</v>
      </c>
      <c r="U193" s="155">
        <f t="shared" si="44"/>
        <v>0.33386652911143022</v>
      </c>
      <c r="W193" s="155">
        <f t="shared" si="45"/>
        <v>-0.25373071021231342</v>
      </c>
      <c r="X193" s="157">
        <f t="shared" si="46"/>
        <v>8.0135818899116806E-2</v>
      </c>
      <c r="Y193" s="155">
        <f t="shared" si="47"/>
        <v>8.0135818899116806E-2</v>
      </c>
      <c r="AA193" s="85">
        <f>'Price Deck'!R187/'Price Deck'!M187</f>
        <v>81.312924002624968</v>
      </c>
      <c r="AB193" s="85">
        <f t="shared" si="48"/>
        <v>3094.9023316321595</v>
      </c>
      <c r="AC193" s="85">
        <f t="shared" si="49"/>
        <v>248.01253275812908</v>
      </c>
      <c r="AD193" s="85">
        <f t="shared" si="50"/>
        <v>6.5160777520320021</v>
      </c>
    </row>
    <row r="194" spans="1:30">
      <c r="A194" s="164" t="str">
        <f>'Price Deck'!A188</f>
        <v>07/2033</v>
      </c>
      <c r="B194" s="51">
        <f>'Liquids Type Curve'!A201</f>
        <v>14.921890798786691</v>
      </c>
      <c r="C194" s="51">
        <f>'Liquids Type Curve'!B201</f>
        <v>179.0626895854403</v>
      </c>
      <c r="D194" s="51">
        <f>'Liquids Type Curve'!C201</f>
        <v>5.4122884217474665</v>
      </c>
      <c r="E194" s="51">
        <f>'Liquids Type Curve'!D201</f>
        <v>164.62377282815211</v>
      </c>
      <c r="F194" s="51">
        <f>'Liquids Type Curve'!E201</f>
        <v>112883.73202479737</v>
      </c>
      <c r="G194" s="39"/>
      <c r="H194" s="51">
        <f t="shared" si="34"/>
        <v>14.921890798786691</v>
      </c>
      <c r="I194" s="39">
        <f t="shared" si="35"/>
        <v>179.0626895854403</v>
      </c>
      <c r="J194" s="51">
        <f t="shared" si="36"/>
        <v>1.2448263370019172</v>
      </c>
      <c r="K194" s="51">
        <f t="shared" si="37"/>
        <v>37.863467750474989</v>
      </c>
      <c r="L194" s="51">
        <f t="shared" si="38"/>
        <v>25963.258365703397</v>
      </c>
      <c r="M194" s="39"/>
      <c r="N194" s="51">
        <f t="shared" si="39"/>
        <v>6.0198206223528548</v>
      </c>
      <c r="O194" s="85">
        <f>('Price Deck'!R188/$B$2)/'Price Deck'!M188</f>
        <v>511.44202939171049</v>
      </c>
      <c r="Q194" s="155">
        <f t="shared" si="40"/>
        <v>0.33386652911143022</v>
      </c>
      <c r="R194" s="155">
        <f t="shared" si="41"/>
        <v>0.1</v>
      </c>
      <c r="S194" s="155">
        <f t="shared" si="42"/>
        <v>0.43860454968562756</v>
      </c>
      <c r="T194" s="155">
        <f t="shared" si="43"/>
        <v>0.33504261616544079</v>
      </c>
      <c r="U194" s="155">
        <f t="shared" si="44"/>
        <v>0.33386652911143022</v>
      </c>
      <c r="W194" s="155">
        <f t="shared" si="45"/>
        <v>-0.25377324215982366</v>
      </c>
      <c r="X194" s="157">
        <f t="shared" si="46"/>
        <v>8.0093286951606557E-2</v>
      </c>
      <c r="Y194" s="155">
        <f t="shared" si="47"/>
        <v>8.0093286951606557E-2</v>
      </c>
      <c r="AA194" s="85">
        <f>'Price Deck'!R188/'Price Deck'!M188</f>
        <v>81.312924002624968</v>
      </c>
      <c r="AB194" s="85">
        <f t="shared" si="48"/>
        <v>3078.789275670214</v>
      </c>
      <c r="AC194" s="85">
        <f t="shared" si="49"/>
        <v>246.59035291978336</v>
      </c>
      <c r="AD194" s="85">
        <f t="shared" si="50"/>
        <v>6.512619355016418</v>
      </c>
    </row>
    <row r="195" spans="1:30">
      <c r="A195" s="164" t="str">
        <f>'Price Deck'!A189</f>
        <v>08/2033</v>
      </c>
      <c r="B195" s="51">
        <f>'Liquids Type Curve'!A202</f>
        <v>15.005224132120025</v>
      </c>
      <c r="C195" s="51">
        <f>'Liquids Type Curve'!B202</f>
        <v>180.0626895854403</v>
      </c>
      <c r="D195" s="51">
        <f>'Liquids Type Curve'!C202</f>
        <v>5.384266829394468</v>
      </c>
      <c r="E195" s="51">
        <f>'Liquids Type Curve'!D202</f>
        <v>163.77144939408174</v>
      </c>
      <c r="F195" s="51">
        <f>'Liquids Type Curve'!E202</f>
        <v>113047.50347419146</v>
      </c>
      <c r="G195" s="39"/>
      <c r="H195" s="51">
        <f t="shared" si="34"/>
        <v>15.005224132120025</v>
      </c>
      <c r="I195" s="39">
        <f t="shared" si="35"/>
        <v>180.0626895854403</v>
      </c>
      <c r="J195" s="51">
        <f t="shared" si="36"/>
        <v>1.2383813707607276</v>
      </c>
      <c r="K195" s="51">
        <f t="shared" si="37"/>
        <v>37.667433360638803</v>
      </c>
      <c r="L195" s="51">
        <f t="shared" si="38"/>
        <v>26000.925799064036</v>
      </c>
      <c r="M195" s="39"/>
      <c r="N195" s="51">
        <f t="shared" si="39"/>
        <v>5.9886535916307038</v>
      </c>
      <c r="O195" s="85">
        <f>('Price Deck'!R189/$B$2)/'Price Deck'!M189</f>
        <v>511.44202939171049</v>
      </c>
      <c r="Q195" s="155">
        <f t="shared" si="40"/>
        <v>0.33386652911143022</v>
      </c>
      <c r="R195" s="155">
        <f t="shared" si="41"/>
        <v>0.1</v>
      </c>
      <c r="S195" s="155">
        <f t="shared" si="42"/>
        <v>0.43860454968562756</v>
      </c>
      <c r="T195" s="155">
        <f t="shared" si="43"/>
        <v>0.33504261616544079</v>
      </c>
      <c r="U195" s="155">
        <f t="shared" si="44"/>
        <v>0.33386652911143022</v>
      </c>
      <c r="W195" s="155">
        <f t="shared" si="45"/>
        <v>-0.25381531765129856</v>
      </c>
      <c r="X195" s="157">
        <f t="shared" si="46"/>
        <v>8.0051211460131666E-2</v>
      </c>
      <c r="Y195" s="155">
        <f t="shared" si="47"/>
        <v>8.0051211460131666E-2</v>
      </c>
      <c r="AA195" s="85">
        <f>'Price Deck'!R189/'Price Deck'!M189</f>
        <v>81.312924002624968</v>
      </c>
      <c r="AB195" s="85">
        <f t="shared" si="48"/>
        <v>3062.8491462275633</v>
      </c>
      <c r="AC195" s="85">
        <f t="shared" si="49"/>
        <v>245.1847846751464</v>
      </c>
      <c r="AD195" s="85">
        <f t="shared" si="50"/>
        <v>6.5091980737757469</v>
      </c>
    </row>
    <row r="196" spans="1:30">
      <c r="A196" s="164" t="str">
        <f>'Price Deck'!A190</f>
        <v>09/2033</v>
      </c>
      <c r="B196" s="51">
        <f>'Liquids Type Curve'!A203</f>
        <v>15.088557465453359</v>
      </c>
      <c r="C196" s="51">
        <f>'Liquids Type Curve'!B203</f>
        <v>181.0626895854403</v>
      </c>
      <c r="D196" s="51">
        <f>'Liquids Type Curve'!C203</f>
        <v>5.3565443056334558</v>
      </c>
      <c r="E196" s="51">
        <f>'Liquids Type Curve'!D203</f>
        <v>162.92822262968429</v>
      </c>
      <c r="F196" s="51">
        <f>'Liquids Type Curve'!E203</f>
        <v>113210.43169682114</v>
      </c>
      <c r="G196" s="39"/>
      <c r="H196" s="51">
        <f t="shared" si="34"/>
        <v>15.088557465453359</v>
      </c>
      <c r="I196" s="39">
        <f t="shared" si="35"/>
        <v>181.0626895854403</v>
      </c>
      <c r="J196" s="51">
        <f t="shared" si="36"/>
        <v>1.232005190295695</v>
      </c>
      <c r="K196" s="51">
        <f t="shared" si="37"/>
        <v>37.47349120482739</v>
      </c>
      <c r="L196" s="51">
        <f t="shared" si="38"/>
        <v>26038.399290268862</v>
      </c>
      <c r="M196" s="39"/>
      <c r="N196" s="51">
        <f t="shared" si="39"/>
        <v>5.9578192001061065</v>
      </c>
      <c r="O196" s="85">
        <f>('Price Deck'!R190/$B$2)/'Price Deck'!M190</f>
        <v>511.44202939171049</v>
      </c>
      <c r="Q196" s="155">
        <f t="shared" si="40"/>
        <v>0.33386652911143022</v>
      </c>
      <c r="R196" s="155">
        <f t="shared" si="41"/>
        <v>0.1</v>
      </c>
      <c r="S196" s="155">
        <f t="shared" si="42"/>
        <v>0.43860454968562756</v>
      </c>
      <c r="T196" s="155">
        <f t="shared" si="43"/>
        <v>0.33504261616544079</v>
      </c>
      <c r="U196" s="155">
        <f t="shared" si="44"/>
        <v>0.33386652911143022</v>
      </c>
      <c r="W196" s="155">
        <f t="shared" si="45"/>
        <v>-0.25385694407985676</v>
      </c>
      <c r="X196" s="157">
        <f t="shared" si="46"/>
        <v>8.000958503157346E-2</v>
      </c>
      <c r="Y196" s="155">
        <f t="shared" si="47"/>
        <v>8.000958503157346E-2</v>
      </c>
      <c r="AA196" s="85">
        <f>'Price Deck'!R190/'Price Deck'!M190</f>
        <v>81.312924002624968</v>
      </c>
      <c r="AB196" s="85">
        <f t="shared" si="48"/>
        <v>3047.0791424511649</v>
      </c>
      <c r="AC196" s="85">
        <f t="shared" si="49"/>
        <v>243.79553774588041</v>
      </c>
      <c r="AD196" s="85">
        <f t="shared" si="50"/>
        <v>6.5058133071538933</v>
      </c>
    </row>
    <row r="197" spans="1:30">
      <c r="A197" s="164" t="str">
        <f>'Price Deck'!A191</f>
        <v>10/2033</v>
      </c>
      <c r="B197" s="51">
        <f>'Liquids Type Curve'!A204</f>
        <v>15.171890798786693</v>
      </c>
      <c r="C197" s="51">
        <f>'Liquids Type Curve'!B204</f>
        <v>182.06268958544032</v>
      </c>
      <c r="D197" s="51">
        <f>'Liquids Type Curve'!C204</f>
        <v>5.3291160331267351</v>
      </c>
      <c r="E197" s="51">
        <f>'Liquids Type Curve'!D204</f>
        <v>162.09394600760487</v>
      </c>
      <c r="F197" s="51">
        <f>'Liquids Type Curve'!E204</f>
        <v>113372.52564282874</v>
      </c>
      <c r="G197" s="39"/>
      <c r="H197" s="51">
        <f t="shared" si="34"/>
        <v>15.171890798786693</v>
      </c>
      <c r="I197" s="39">
        <f t="shared" si="35"/>
        <v>182.06268958544032</v>
      </c>
      <c r="J197" s="51">
        <f t="shared" si="36"/>
        <v>1.2256966876191491</v>
      </c>
      <c r="K197" s="51">
        <f t="shared" si="37"/>
        <v>37.281607581749121</v>
      </c>
      <c r="L197" s="51">
        <f t="shared" si="38"/>
        <v>26075.680897850612</v>
      </c>
      <c r="M197" s="39"/>
      <c r="N197" s="51">
        <f t="shared" si="39"/>
        <v>5.9273120896926965</v>
      </c>
      <c r="O197" s="85">
        <f>('Price Deck'!R191/$B$2)/'Price Deck'!M191</f>
        <v>511.44202939171049</v>
      </c>
      <c r="Q197" s="155">
        <f t="shared" si="40"/>
        <v>0.33386652911143022</v>
      </c>
      <c r="R197" s="155">
        <f t="shared" si="41"/>
        <v>0.1</v>
      </c>
      <c r="S197" s="155">
        <f t="shared" si="42"/>
        <v>0.43860454968562756</v>
      </c>
      <c r="T197" s="155">
        <f t="shared" si="43"/>
        <v>0.33504261616544079</v>
      </c>
      <c r="U197" s="155">
        <f t="shared" si="44"/>
        <v>0.33386652911143022</v>
      </c>
      <c r="W197" s="155">
        <f t="shared" si="45"/>
        <v>-0.25389812867891487</v>
      </c>
      <c r="X197" s="157">
        <f t="shared" si="46"/>
        <v>7.9968400432515352E-2</v>
      </c>
      <c r="Y197" s="155">
        <f t="shared" si="47"/>
        <v>7.9968400432515352E-2</v>
      </c>
      <c r="AA197" s="85">
        <f>'Price Deck'!R191/'Price Deck'!M191</f>
        <v>81.312924002624968</v>
      </c>
      <c r="AB197" s="85">
        <f t="shared" si="48"/>
        <v>3031.4765239904532</v>
      </c>
      <c r="AC197" s="85">
        <f t="shared" si="49"/>
        <v>242.42232857223829</v>
      </c>
      <c r="AD197" s="85">
        <f t="shared" si="50"/>
        <v>6.5024644669806024</v>
      </c>
    </row>
    <row r="198" spans="1:30">
      <c r="A198" s="164" t="str">
        <f>'Price Deck'!A192</f>
        <v>11/2033</v>
      </c>
      <c r="B198" s="51">
        <f>'Liquids Type Curve'!A205</f>
        <v>15.255224132120027</v>
      </c>
      <c r="C198" s="51">
        <f>'Liquids Type Curve'!B205</f>
        <v>183.06268958544032</v>
      </c>
      <c r="D198" s="51">
        <f>'Liquids Type Curve'!C205</f>
        <v>5.3019772980295237</v>
      </c>
      <c r="E198" s="51">
        <f>'Liquids Type Curve'!D205</f>
        <v>161.26847614839801</v>
      </c>
      <c r="F198" s="51">
        <f>'Liquids Type Curve'!E205</f>
        <v>113533.79411897714</v>
      </c>
      <c r="G198" s="39"/>
      <c r="H198" s="51">
        <f t="shared" si="34"/>
        <v>15.255224132120027</v>
      </c>
      <c r="I198" s="39">
        <f t="shared" si="35"/>
        <v>183.06268958544032</v>
      </c>
      <c r="J198" s="51">
        <f t="shared" si="36"/>
        <v>1.2194547785467904</v>
      </c>
      <c r="K198" s="51">
        <f t="shared" si="37"/>
        <v>37.091749514131543</v>
      </c>
      <c r="L198" s="51">
        <f t="shared" si="38"/>
        <v>26112.772647364742</v>
      </c>
      <c r="M198" s="39"/>
      <c r="N198" s="51">
        <f t="shared" si="39"/>
        <v>5.8971270174141539</v>
      </c>
      <c r="O198" s="85">
        <f>('Price Deck'!R192/$B$2)/'Price Deck'!M192</f>
        <v>511.44202939171049</v>
      </c>
      <c r="Q198" s="155">
        <f t="shared" si="40"/>
        <v>0.33386652911143022</v>
      </c>
      <c r="R198" s="155">
        <f t="shared" si="41"/>
        <v>0.1</v>
      </c>
      <c r="S198" s="155">
        <f t="shared" si="42"/>
        <v>0.43860454968562756</v>
      </c>
      <c r="T198" s="155">
        <f t="shared" si="43"/>
        <v>0.33504261616544079</v>
      </c>
      <c r="U198" s="155">
        <f t="shared" si="44"/>
        <v>0.33386652911143022</v>
      </c>
      <c r="W198" s="155">
        <f t="shared" si="45"/>
        <v>-0.25393887852649089</v>
      </c>
      <c r="X198" s="157">
        <f t="shared" si="46"/>
        <v>7.9927650584939336E-2</v>
      </c>
      <c r="Y198" s="155">
        <f t="shared" si="47"/>
        <v>7.9927650584939336E-2</v>
      </c>
      <c r="AA198" s="85">
        <f>'Price Deck'!R192/'Price Deck'!M192</f>
        <v>81.312924002624968</v>
      </c>
      <c r="AB198" s="85">
        <f t="shared" si="48"/>
        <v>3016.0386093669799</v>
      </c>
      <c r="AC198" s="85">
        <f t="shared" si="49"/>
        <v>241.0648801201703</v>
      </c>
      <c r="AD198" s="85">
        <f t="shared" si="50"/>
        <v>6.499150977721535</v>
      </c>
    </row>
    <row r="199" spans="1:30">
      <c r="A199" s="164" t="str">
        <f>'Price Deck'!A193</f>
        <v>01/2033</v>
      </c>
      <c r="B199" s="51">
        <f>'Liquids Type Curve'!A206</f>
        <v>15.338557465453361</v>
      </c>
      <c r="C199" s="51">
        <f>'Liquids Type Curve'!B206</f>
        <v>184.06268958544032</v>
      </c>
      <c r="D199" s="51">
        <f>'Liquids Type Curve'!C206</f>
        <v>5.2751234872163</v>
      </c>
      <c r="E199" s="51">
        <f>'Liquids Type Curve'!D206</f>
        <v>160.45167273616246</v>
      </c>
      <c r="F199" s="51">
        <f>'Liquids Type Curve'!E206</f>
        <v>113694.2457917133</v>
      </c>
      <c r="G199" s="39"/>
      <c r="H199" s="51">
        <f t="shared" si="34"/>
        <v>15.338557465453361</v>
      </c>
      <c r="I199" s="39">
        <f t="shared" si="35"/>
        <v>184.06268958544032</v>
      </c>
      <c r="J199" s="51">
        <f t="shared" si="36"/>
        <v>1.2132784020597491</v>
      </c>
      <c r="K199" s="51">
        <f t="shared" si="37"/>
        <v>36.903884729317369</v>
      </c>
      <c r="L199" s="51">
        <f t="shared" si="38"/>
        <v>26149.676532094061</v>
      </c>
      <c r="M199" s="39"/>
      <c r="N199" s="51">
        <f t="shared" si="39"/>
        <v>5.8672588523192104</v>
      </c>
      <c r="O199" s="85">
        <f>('Price Deck'!R193/$B$2)/'Price Deck'!M193</f>
        <v>511.44202939171049</v>
      </c>
      <c r="Q199" s="155">
        <f t="shared" si="40"/>
        <v>0.33386652911143022</v>
      </c>
      <c r="R199" s="155">
        <f t="shared" si="41"/>
        <v>0.1</v>
      </c>
      <c r="S199" s="155">
        <f t="shared" si="42"/>
        <v>0.43860454968562756</v>
      </c>
      <c r="T199" s="155">
        <f t="shared" si="43"/>
        <v>0.33504261616544079</v>
      </c>
      <c r="U199" s="155">
        <f t="shared" si="44"/>
        <v>0.33386652911143022</v>
      </c>
      <c r="W199" s="155">
        <f t="shared" si="45"/>
        <v>-0.25397920054936912</v>
      </c>
      <c r="X199" s="157">
        <f t="shared" si="46"/>
        <v>7.98873285620611E-2</v>
      </c>
      <c r="Y199" s="155">
        <f t="shared" si="47"/>
        <v>7.98873285620611E-2</v>
      </c>
      <c r="AA199" s="85">
        <f>'Price Deck'!R193/'Price Deck'!M193</f>
        <v>81.312924002624968</v>
      </c>
      <c r="AB199" s="85">
        <f t="shared" si="48"/>
        <v>3000.7627743966154</v>
      </c>
      <c r="AC199" s="85">
        <f t="shared" si="49"/>
        <v>239.72292169502444</v>
      </c>
      <c r="AD199" s="85">
        <f t="shared" si="50"/>
        <v>6.4958722761396057</v>
      </c>
    </row>
    <row r="200" spans="1:30">
      <c r="A200" s="164" t="str">
        <f>'Price Deck'!A194</f>
        <v>02/2033</v>
      </c>
      <c r="B200" s="51">
        <f>'Liquids Type Curve'!A207</f>
        <v>15.421890798786695</v>
      </c>
      <c r="C200" s="51">
        <f>'Liquids Type Curve'!B207</f>
        <v>185.06268958544035</v>
      </c>
      <c r="D200" s="51">
        <f>'Liquids Type Curve'!C207</f>
        <v>5.2485500855959932</v>
      </c>
      <c r="E200" s="51">
        <f>'Liquids Type Curve'!D207</f>
        <v>159.64339843687813</v>
      </c>
      <c r="F200" s="51">
        <f>'Liquids Type Curve'!E207</f>
        <v>113853.88919015018</v>
      </c>
      <c r="G200" s="39"/>
      <c r="H200" s="51">
        <f t="shared" si="34"/>
        <v>15.421890798786695</v>
      </c>
      <c r="I200" s="39">
        <f t="shared" si="35"/>
        <v>185.06268958544035</v>
      </c>
      <c r="J200" s="51">
        <f t="shared" si="36"/>
        <v>1.2071665196870784</v>
      </c>
      <c r="K200" s="51">
        <f t="shared" si="37"/>
        <v>36.717981640481973</v>
      </c>
      <c r="L200" s="51">
        <f t="shared" si="38"/>
        <v>26186.394513734544</v>
      </c>
      <c r="M200" s="39"/>
      <c r="N200" s="51">
        <f t="shared" si="39"/>
        <v>5.8377025724954645</v>
      </c>
      <c r="O200" s="85">
        <f>('Price Deck'!R194/$B$2)/'Price Deck'!M194</f>
        <v>511.44202939171049</v>
      </c>
      <c r="Q200" s="155">
        <f t="shared" si="40"/>
        <v>0.33386652911143022</v>
      </c>
      <c r="R200" s="155">
        <f t="shared" si="41"/>
        <v>0.1</v>
      </c>
      <c r="S200" s="155">
        <f t="shared" si="42"/>
        <v>0.43860454968562756</v>
      </c>
      <c r="T200" s="155">
        <f t="shared" si="43"/>
        <v>0.33504261616544079</v>
      </c>
      <c r="U200" s="155">
        <f t="shared" si="44"/>
        <v>0.33386652911143022</v>
      </c>
      <c r="W200" s="155">
        <f t="shared" si="45"/>
        <v>-0.25401910152713114</v>
      </c>
      <c r="X200" s="157">
        <f t="shared" si="46"/>
        <v>7.984742758429908E-2</v>
      </c>
      <c r="Y200" s="155">
        <f t="shared" si="47"/>
        <v>7.984742758429908E-2</v>
      </c>
      <c r="AA200" s="85">
        <f>'Price Deck'!R194/'Price Deck'!M194</f>
        <v>81.312924002624968</v>
      </c>
      <c r="AB200" s="85">
        <f t="shared" si="48"/>
        <v>2985.6464506622897</v>
      </c>
      <c r="AC200" s="85">
        <f t="shared" si="49"/>
        <v>238.39618876157675</v>
      </c>
      <c r="AD200" s="85">
        <f t="shared" si="50"/>
        <v>6.4926278109672122</v>
      </c>
    </row>
    <row r="201" spans="1:30">
      <c r="A201" s="164" t="str">
        <f>'Price Deck'!A195</f>
        <v>03/2033</v>
      </c>
      <c r="B201" s="51">
        <f>'Liquids Type Curve'!A208</f>
        <v>15.505224132120029</v>
      </c>
      <c r="C201" s="51">
        <f>'Liquids Type Curve'!B208</f>
        <v>186.06268958544035</v>
      </c>
      <c r="D201" s="51">
        <f>'Liquids Type Curve'!C208</f>
        <v>5.2222526735129309</v>
      </c>
      <c r="E201" s="51">
        <f>'Liquids Type Curve'!D208</f>
        <v>158.84351881935166</v>
      </c>
      <c r="F201" s="51">
        <f>'Liquids Type Curve'!E208</f>
        <v>114012.73270896953</v>
      </c>
      <c r="G201" s="39"/>
      <c r="H201" s="51">
        <f t="shared" si="34"/>
        <v>15.505224132120029</v>
      </c>
      <c r="I201" s="39">
        <f t="shared" si="35"/>
        <v>186.06268958544035</v>
      </c>
      <c r="J201" s="51">
        <f t="shared" si="36"/>
        <v>1.2011181149079742</v>
      </c>
      <c r="K201" s="51">
        <f t="shared" si="37"/>
        <v>36.534009328450885</v>
      </c>
      <c r="L201" s="51">
        <f t="shared" si="38"/>
        <v>26222.928523062994</v>
      </c>
      <c r="M201" s="39"/>
      <c r="N201" s="51">
        <f t="shared" si="39"/>
        <v>5.8084532621785883</v>
      </c>
      <c r="O201" s="85">
        <f>('Price Deck'!R195/$B$2)/'Price Deck'!M195</f>
        <v>519.11365983258611</v>
      </c>
      <c r="Q201" s="155">
        <f t="shared" si="40"/>
        <v>0.33624473454810166</v>
      </c>
      <c r="R201" s="155">
        <f t="shared" si="41"/>
        <v>0.1</v>
      </c>
      <c r="S201" s="155">
        <f t="shared" si="42"/>
        <v>0.44635289643091203</v>
      </c>
      <c r="T201" s="155">
        <f t="shared" si="43"/>
        <v>0.33926201290792235</v>
      </c>
      <c r="U201" s="155">
        <f t="shared" si="44"/>
        <v>0.33624473454810166</v>
      </c>
      <c r="W201" s="155">
        <f t="shared" si="45"/>
        <v>-0.25405858809605891</v>
      </c>
      <c r="X201" s="157">
        <f t="shared" si="46"/>
        <v>8.2186146452042752E-2</v>
      </c>
      <c r="Y201" s="155">
        <f t="shared" si="47"/>
        <v>8.2186146452042752E-2</v>
      </c>
      <c r="AA201" s="85">
        <f>'Price Deck'!R195/'Price Deck'!M195</f>
        <v>82.532617862664324</v>
      </c>
      <c r="AB201" s="85">
        <f t="shared" si="48"/>
        <v>3015.2474308960504</v>
      </c>
      <c r="AC201" s="85">
        <f t="shared" si="49"/>
        <v>247.81156694476846</v>
      </c>
      <c r="AD201" s="85">
        <f t="shared" si="50"/>
        <v>6.7830378187314091</v>
      </c>
    </row>
    <row r="202" spans="1:30">
      <c r="A202" s="164" t="str">
        <f>'Price Deck'!A196</f>
        <v>04/2033</v>
      </c>
      <c r="B202" s="51">
        <f>'Liquids Type Curve'!A209</f>
        <v>15.588557465453363</v>
      </c>
      <c r="C202" s="51">
        <f>'Liquids Type Curve'!B209</f>
        <v>187.06268958544035</v>
      </c>
      <c r="D202" s="51">
        <f>'Liquids Type Curve'!C209</f>
        <v>5.1962269242300438</v>
      </c>
      <c r="E202" s="51">
        <f>'Liquids Type Curve'!D209</f>
        <v>158.05190227866385</v>
      </c>
      <c r="F202" s="51">
        <f>'Liquids Type Curve'!E209</f>
        <v>114170.78461124819</v>
      </c>
      <c r="G202" s="39"/>
      <c r="H202" s="51">
        <f t="shared" si="34"/>
        <v>15.588557465453363</v>
      </c>
      <c r="I202" s="39">
        <f t="shared" si="35"/>
        <v>187.06268958544035</v>
      </c>
      <c r="J202" s="51">
        <f t="shared" si="36"/>
        <v>1.1951321925729101</v>
      </c>
      <c r="K202" s="51">
        <f t="shared" si="37"/>
        <v>36.351937524092683</v>
      </c>
      <c r="L202" s="51">
        <f t="shared" si="38"/>
        <v>26259.280460587084</v>
      </c>
      <c r="M202" s="39"/>
      <c r="N202" s="51">
        <f t="shared" si="39"/>
        <v>5.7795061089530169</v>
      </c>
      <c r="O202" s="85">
        <f>('Price Deck'!R196/$B$2)/'Price Deck'!M196</f>
        <v>519.11365983258611</v>
      </c>
      <c r="Q202" s="155">
        <f t="shared" si="40"/>
        <v>0.33624473454810166</v>
      </c>
      <c r="R202" s="155">
        <f t="shared" si="41"/>
        <v>0.1</v>
      </c>
      <c r="S202" s="155">
        <f t="shared" si="42"/>
        <v>0.44635289643091203</v>
      </c>
      <c r="T202" s="155">
        <f t="shared" si="43"/>
        <v>0.33926201290792235</v>
      </c>
      <c r="U202" s="155">
        <f t="shared" si="44"/>
        <v>0.33624473454810166</v>
      </c>
      <c r="W202" s="155">
        <f t="shared" si="45"/>
        <v>-0.2540976667529134</v>
      </c>
      <c r="X202" s="157">
        <f t="shared" si="46"/>
        <v>8.2147067795188267E-2</v>
      </c>
      <c r="Y202" s="155">
        <f t="shared" si="47"/>
        <v>8.2147067795188267E-2</v>
      </c>
      <c r="AA202" s="85">
        <f>'Price Deck'!R196/'Price Deck'!M196</f>
        <v>82.532617862664324</v>
      </c>
      <c r="AB202" s="85">
        <f t="shared" si="48"/>
        <v>3000.2205682433892</v>
      </c>
      <c r="AC202" s="85">
        <f t="shared" si="49"/>
        <v>246.45932242000796</v>
      </c>
      <c r="AD202" s="85">
        <f t="shared" si="50"/>
        <v>6.7798125548786521</v>
      </c>
    </row>
    <row r="203" spans="1:30">
      <c r="A203" s="164" t="str">
        <f>'Price Deck'!A197</f>
        <v>05/2033</v>
      </c>
      <c r="B203" s="51">
        <f>'Liquids Type Curve'!A210</f>
        <v>15.671890798786697</v>
      </c>
      <c r="C203" s="51">
        <f>'Liquids Type Curve'!B210</f>
        <v>188.06268958544035</v>
      </c>
      <c r="D203" s="51">
        <f>'Liquids Type Curve'!C210</f>
        <v>5.1704686014916517</v>
      </c>
      <c r="E203" s="51">
        <f>'Liquids Type Curve'!D210</f>
        <v>157.26841996203774</v>
      </c>
      <c r="F203" s="51">
        <f>'Liquids Type Curve'!E210</f>
        <v>114328.05303121023</v>
      </c>
      <c r="G203" s="39"/>
      <c r="H203" s="51">
        <f t="shared" si="34"/>
        <v>15.671890798786697</v>
      </c>
      <c r="I203" s="39">
        <f t="shared" si="35"/>
        <v>188.06268958544035</v>
      </c>
      <c r="J203" s="51">
        <f t="shared" si="36"/>
        <v>1.1892077783430799</v>
      </c>
      <c r="K203" s="51">
        <f t="shared" si="37"/>
        <v>36.171736591268683</v>
      </c>
      <c r="L203" s="51">
        <f t="shared" si="38"/>
        <v>26295.452197178354</v>
      </c>
      <c r="M203" s="39"/>
      <c r="N203" s="51">
        <f t="shared" si="39"/>
        <v>5.7508564010411591</v>
      </c>
      <c r="O203" s="85">
        <f>('Price Deck'!R197/$B$2)/'Price Deck'!M197</f>
        <v>519.11365983258611</v>
      </c>
      <c r="Q203" s="155">
        <f t="shared" si="40"/>
        <v>0.33624473454810166</v>
      </c>
      <c r="R203" s="155">
        <f t="shared" si="41"/>
        <v>0.1</v>
      </c>
      <c r="S203" s="155">
        <f t="shared" si="42"/>
        <v>0.44635289643091203</v>
      </c>
      <c r="T203" s="155">
        <f t="shared" si="43"/>
        <v>0.33926201290792235</v>
      </c>
      <c r="U203" s="155">
        <f t="shared" si="44"/>
        <v>0.33624473454810166</v>
      </c>
      <c r="W203" s="155">
        <f t="shared" si="45"/>
        <v>-0.25413634385859446</v>
      </c>
      <c r="X203" s="157">
        <f t="shared" si="46"/>
        <v>8.2108390689507205E-2</v>
      </c>
      <c r="Y203" s="155">
        <f t="shared" si="47"/>
        <v>8.2108390689507205E-2</v>
      </c>
      <c r="AA203" s="85">
        <f>'Price Deck'!R197/'Price Deck'!M197</f>
        <v>82.532617862664324</v>
      </c>
      <c r="AB203" s="85">
        <f t="shared" si="48"/>
        <v>2985.3481135161305</v>
      </c>
      <c r="AC203" s="85">
        <f t="shared" si="49"/>
        <v>245.12212924876576</v>
      </c>
      <c r="AD203" s="85">
        <f t="shared" si="50"/>
        <v>6.7766204320954442</v>
      </c>
    </row>
    <row r="204" spans="1:30">
      <c r="A204" s="164" t="str">
        <f>'Price Deck'!A198</f>
        <v>06/2033</v>
      </c>
      <c r="B204" s="51">
        <f>'Liquids Type Curve'!A211</f>
        <v>15.755224132120031</v>
      </c>
      <c r="C204" s="51">
        <f>'Liquids Type Curve'!B211</f>
        <v>189.06268958544035</v>
      </c>
      <c r="D204" s="51">
        <f>'Liquids Type Curve'!C211</f>
        <v>5.1449735571625812</v>
      </c>
      <c r="E204" s="51">
        <f>'Liquids Type Curve'!D211</f>
        <v>156.49294569702852</v>
      </c>
      <c r="F204" s="51">
        <f>'Liquids Type Curve'!E211</f>
        <v>114484.54597690726</v>
      </c>
      <c r="G204" s="39"/>
      <c r="H204" s="51">
        <f t="shared" ref="H204:H250" si="51">B204</f>
        <v>15.755224132120031</v>
      </c>
      <c r="I204" s="39">
        <f t="shared" ref="I204:I250" si="52">C204</f>
        <v>189.06268958544035</v>
      </c>
      <c r="J204" s="51">
        <f t="shared" ref="J204:J255" si="53">D204*$C$2</f>
        <v>1.1833439181473937</v>
      </c>
      <c r="K204" s="51">
        <f t="shared" ref="K204:K255" si="54">E204*$C$2</f>
        <v>35.993377510316563</v>
      </c>
      <c r="L204" s="51">
        <f t="shared" ref="L204:L255" si="55">F204*$C$2</f>
        <v>26331.445574688671</v>
      </c>
      <c r="M204" s="39"/>
      <c r="N204" s="51">
        <f t="shared" ref="N204:N255" si="56">K204*$B$2</f>
        <v>5.7224995246775041</v>
      </c>
      <c r="O204" s="85">
        <f>('Price Deck'!R198/$B$2)/'Price Deck'!M198</f>
        <v>519.11365983258611</v>
      </c>
      <c r="Q204" s="155">
        <f t="shared" ref="Q204:Q255" si="57">MIN(IF(O204&gt;$L$3,U204,IF(O204&gt;$K$3,T204,IF(O204&gt;$J$3,S204))),0.36)</f>
        <v>0.33624473454810166</v>
      </c>
      <c r="R204" s="155">
        <f t="shared" ref="R204:R255" si="58">$E$3</f>
        <v>0.1</v>
      </c>
      <c r="S204" s="155">
        <f t="shared" ref="S204:S255" si="59">((O204-$J$3)*0.00101+0.1)</f>
        <v>0.44635289643091203</v>
      </c>
      <c r="T204" s="155">
        <f t="shared" ref="T204:T255" si="60">((O204-$K$3))*0.00055+0.21122</f>
        <v>0.33926201290792235</v>
      </c>
      <c r="U204" s="155">
        <f t="shared" ref="U204:U255" si="61">((O204-$L$3)*0.00031+0.33235)</f>
        <v>0.33624473454810166</v>
      </c>
      <c r="W204" s="155">
        <f t="shared" ref="W204:W255" si="62">IF(N204&gt;$D$2,0,((N204-$D$2)*0.00135))</f>
        <v>-0.25417462564168536</v>
      </c>
      <c r="X204" s="157">
        <f t="shared" ref="X204:X255" si="63">MAX(0.05,Q204+W204)</f>
        <v>8.2070108906416306E-2</v>
      </c>
      <c r="Y204" s="155">
        <f t="shared" ref="Y204:Y255" si="64">IF(C204&gt;$A$5,X204,0.05)</f>
        <v>8.2070108906416306E-2</v>
      </c>
      <c r="AA204" s="85">
        <f>'Price Deck'!R198/'Price Deck'!M198</f>
        <v>82.532617862664324</v>
      </c>
      <c r="AB204" s="85">
        <f t="shared" ref="AB204:AB255" si="65">AA204*K204</f>
        <v>2970.6276716455732</v>
      </c>
      <c r="AC204" s="85">
        <f t="shared" ref="AC204:AC255" si="66">AB204*Y204</f>
        <v>243.7997365323661</v>
      </c>
      <c r="AD204" s="85">
        <f t="shared" ref="AD204:AD255" si="67">AC204/K204</f>
        <v>6.7734609363205012</v>
      </c>
    </row>
    <row r="205" spans="1:30">
      <c r="A205" s="164" t="str">
        <f>'Price Deck'!A199</f>
        <v>07/2033</v>
      </c>
      <c r="B205" s="51">
        <f>'Liquids Type Curve'!A212</f>
        <v>15.838557465453365</v>
      </c>
      <c r="C205" s="51">
        <f>'Liquids Type Curve'!B212</f>
        <v>190.06268958544038</v>
      </c>
      <c r="D205" s="51">
        <f>'Liquids Type Curve'!C212</f>
        <v>5.1197377289410921</v>
      </c>
      <c r="E205" s="51">
        <f>'Liquids Type Curve'!D212</f>
        <v>155.72535592195823</v>
      </c>
      <c r="F205" s="51">
        <f>'Liquids Type Curve'!E212</f>
        <v>114640.27133282922</v>
      </c>
      <c r="G205" s="39"/>
      <c r="H205" s="51">
        <f t="shared" si="51"/>
        <v>15.838557465453365</v>
      </c>
      <c r="I205" s="39">
        <f t="shared" si="52"/>
        <v>190.06268958544038</v>
      </c>
      <c r="J205" s="51">
        <f t="shared" si="53"/>
        <v>1.1775396776564513</v>
      </c>
      <c r="K205" s="51">
        <f t="shared" si="54"/>
        <v>35.816831862050392</v>
      </c>
      <c r="L205" s="51">
        <f t="shared" si="55"/>
        <v>26367.262406550723</v>
      </c>
      <c r="M205" s="39"/>
      <c r="N205" s="51">
        <f t="shared" si="56"/>
        <v>5.6944309615648177</v>
      </c>
      <c r="O205" s="85">
        <f>('Price Deck'!R199/$B$2)/'Price Deck'!M199</f>
        <v>519.11365983258611</v>
      </c>
      <c r="Q205" s="155">
        <f t="shared" si="57"/>
        <v>0.33624473454810166</v>
      </c>
      <c r="R205" s="155">
        <f t="shared" si="58"/>
        <v>0.1</v>
      </c>
      <c r="S205" s="155">
        <f t="shared" si="59"/>
        <v>0.44635289643091203</v>
      </c>
      <c r="T205" s="155">
        <f t="shared" si="60"/>
        <v>0.33926201290792235</v>
      </c>
      <c r="U205" s="155">
        <f t="shared" si="61"/>
        <v>0.33624473454810166</v>
      </c>
      <c r="W205" s="155">
        <f t="shared" si="62"/>
        <v>-0.25421251820188751</v>
      </c>
      <c r="X205" s="157">
        <f t="shared" si="63"/>
        <v>8.203221634621416E-2</v>
      </c>
      <c r="Y205" s="155">
        <f t="shared" si="64"/>
        <v>8.203221634621416E-2</v>
      </c>
      <c r="AA205" s="85">
        <f>'Price Deck'!R199/'Price Deck'!M199</f>
        <v>82.532617862664324</v>
      </c>
      <c r="AB205" s="85">
        <f t="shared" si="65"/>
        <v>2956.056897121905</v>
      </c>
      <c r="AC205" s="85">
        <f t="shared" si="66"/>
        <v>242.49189891642263</v>
      </c>
      <c r="AD205" s="85">
        <f t="shared" si="67"/>
        <v>6.7703335641294986</v>
      </c>
    </row>
    <row r="206" spans="1:30">
      <c r="A206" s="164" t="str">
        <f>'Price Deck'!A200</f>
        <v>08/2033</v>
      </c>
      <c r="B206" s="51">
        <f>'Liquids Type Curve'!A213</f>
        <v>15.921890798786698</v>
      </c>
      <c r="C206" s="51">
        <f>'Liquids Type Curve'!B213</f>
        <v>191.06268958544038</v>
      </c>
      <c r="D206" s="51">
        <f>'Liquids Type Curve'!C213</f>
        <v>5.0947571381427599</v>
      </c>
      <c r="E206" s="51">
        <f>'Liquids Type Curve'!D213</f>
        <v>154.96552961850895</v>
      </c>
      <c r="F206" s="51">
        <f>'Liquids Type Curve'!E213</f>
        <v>114795.23686244772</v>
      </c>
      <c r="G206" s="39"/>
      <c r="H206" s="51">
        <f t="shared" si="51"/>
        <v>15.921890798786698</v>
      </c>
      <c r="I206" s="39">
        <f t="shared" si="52"/>
        <v>191.06268958544038</v>
      </c>
      <c r="J206" s="51">
        <f t="shared" si="53"/>
        <v>1.1717941417728348</v>
      </c>
      <c r="K206" s="51">
        <f t="shared" si="54"/>
        <v>35.642071812257058</v>
      </c>
      <c r="L206" s="51">
        <f t="shared" si="55"/>
        <v>26402.904478362976</v>
      </c>
      <c r="M206" s="39"/>
      <c r="N206" s="51">
        <f t="shared" si="56"/>
        <v>5.666646286409275</v>
      </c>
      <c r="O206" s="85">
        <f>('Price Deck'!R200/$B$2)/'Price Deck'!M200</f>
        <v>519.11365983258611</v>
      </c>
      <c r="Q206" s="155">
        <f t="shared" si="57"/>
        <v>0.33624473454810166</v>
      </c>
      <c r="R206" s="155">
        <f t="shared" si="58"/>
        <v>0.1</v>
      </c>
      <c r="S206" s="155">
        <f t="shared" si="59"/>
        <v>0.44635289643091203</v>
      </c>
      <c r="T206" s="155">
        <f t="shared" si="60"/>
        <v>0.33926201290792235</v>
      </c>
      <c r="U206" s="155">
        <f t="shared" si="61"/>
        <v>0.33624473454810166</v>
      </c>
      <c r="W206" s="155">
        <f t="shared" si="62"/>
        <v>-0.25425002751334747</v>
      </c>
      <c r="X206" s="157">
        <f t="shared" si="63"/>
        <v>8.19947070347542E-2</v>
      </c>
      <c r="Y206" s="155">
        <f t="shared" si="64"/>
        <v>8.19947070347542E-2</v>
      </c>
      <c r="AA206" s="85">
        <f>'Price Deck'!R200/'Price Deck'!M200</f>
        <v>82.532617862664324</v>
      </c>
      <c r="AB206" s="85">
        <f t="shared" si="65"/>
        <v>2941.6334927146513</v>
      </c>
      <c r="AC206" s="85">
        <f t="shared" si="66"/>
        <v>241.19837643875857</v>
      </c>
      <c r="AD206" s="85">
        <f t="shared" si="67"/>
        <v>6.7672378224604817</v>
      </c>
    </row>
    <row r="207" spans="1:30">
      <c r="A207" s="164" t="str">
        <f>'Price Deck'!A201</f>
        <v>09/2033</v>
      </c>
      <c r="B207" s="51">
        <f>'Liquids Type Curve'!A214</f>
        <v>16.005224132120031</v>
      </c>
      <c r="C207" s="51">
        <f>'Liquids Type Curve'!B214</f>
        <v>192.06268958544035</v>
      </c>
      <c r="D207" s="51">
        <f>'Liquids Type Curve'!C214</f>
        <v>5.0700278875528531</v>
      </c>
      <c r="E207" s="51">
        <f>'Liquids Type Curve'!D214</f>
        <v>154.21334824639928</v>
      </c>
      <c r="F207" s="51">
        <f>'Liquids Type Curve'!E214</f>
        <v>114949.45021069412</v>
      </c>
      <c r="G207" s="39"/>
      <c r="H207" s="51">
        <f t="shared" si="51"/>
        <v>16.005224132120031</v>
      </c>
      <c r="I207" s="39">
        <f t="shared" si="52"/>
        <v>192.06268958544035</v>
      </c>
      <c r="J207" s="51">
        <f t="shared" si="53"/>
        <v>1.1661064141371562</v>
      </c>
      <c r="K207" s="51">
        <f t="shared" si="54"/>
        <v>35.469070096671835</v>
      </c>
      <c r="L207" s="51">
        <f t="shared" si="55"/>
        <v>26438.373548459651</v>
      </c>
      <c r="M207" s="39"/>
      <c r="N207" s="51">
        <f t="shared" si="56"/>
        <v>5.6391411645317557</v>
      </c>
      <c r="O207" s="85">
        <f>('Price Deck'!R201/$B$2)/'Price Deck'!M201</f>
        <v>519.11365983258611</v>
      </c>
      <c r="Q207" s="155">
        <f t="shared" si="57"/>
        <v>0.33624473454810166</v>
      </c>
      <c r="R207" s="155">
        <f t="shared" si="58"/>
        <v>0.1</v>
      </c>
      <c r="S207" s="155">
        <f t="shared" si="59"/>
        <v>0.44635289643091203</v>
      </c>
      <c r="T207" s="155">
        <f t="shared" si="60"/>
        <v>0.33926201290792235</v>
      </c>
      <c r="U207" s="155">
        <f t="shared" si="61"/>
        <v>0.33624473454810166</v>
      </c>
      <c r="W207" s="155">
        <f t="shared" si="62"/>
        <v>-0.25428715942788216</v>
      </c>
      <c r="X207" s="157">
        <f t="shared" si="63"/>
        <v>8.1957575120219506E-2</v>
      </c>
      <c r="Y207" s="155">
        <f t="shared" si="64"/>
        <v>8.1957575120219506E-2</v>
      </c>
      <c r="AA207" s="85">
        <f>'Price Deck'!R201/'Price Deck'!M201</f>
        <v>82.532617862664324</v>
      </c>
      <c r="AB207" s="85">
        <f t="shared" si="65"/>
        <v>2927.355208232671</v>
      </c>
      <c r="AC207" s="85">
        <f t="shared" si="66"/>
        <v>239.91893438229494</v>
      </c>
      <c r="AD207" s="85">
        <f t="shared" si="67"/>
        <v>6.7641732283476816</v>
      </c>
    </row>
    <row r="208" spans="1:30">
      <c r="A208" s="164" t="str">
        <f>'Price Deck'!A202</f>
        <v>10/2033</v>
      </c>
      <c r="B208" s="51">
        <f>'Liquids Type Curve'!A215</f>
        <v>16.088557465453363</v>
      </c>
      <c r="C208" s="51">
        <f>'Liquids Type Curve'!B215</f>
        <v>193.06268958544035</v>
      </c>
      <c r="D208" s="51">
        <f>'Liquids Type Curve'!C215</f>
        <v>5.0455461593446884</v>
      </c>
      <c r="E208" s="51">
        <f>'Liquids Type Curve'!D215</f>
        <v>153.46869568006761</v>
      </c>
      <c r="F208" s="51">
        <f>'Liquids Type Curve'!E215</f>
        <v>115102.91890637419</v>
      </c>
      <c r="G208" s="39"/>
      <c r="H208" s="51">
        <f t="shared" si="51"/>
        <v>16.088557465453363</v>
      </c>
      <c r="I208" s="39">
        <f t="shared" si="52"/>
        <v>193.06268958544035</v>
      </c>
      <c r="J208" s="51">
        <f t="shared" si="53"/>
        <v>1.1604756166492785</v>
      </c>
      <c r="K208" s="51">
        <f t="shared" si="54"/>
        <v>35.297800006415549</v>
      </c>
      <c r="L208" s="51">
        <f t="shared" si="55"/>
        <v>26473.671348466065</v>
      </c>
      <c r="M208" s="39"/>
      <c r="N208" s="51">
        <f t="shared" si="56"/>
        <v>5.6119113495525372</v>
      </c>
      <c r="O208" s="85">
        <f>('Price Deck'!R202/$B$2)/'Price Deck'!M202</f>
        <v>519.11365983258611</v>
      </c>
      <c r="Q208" s="155">
        <f t="shared" si="57"/>
        <v>0.33624473454810166</v>
      </c>
      <c r="R208" s="155">
        <f t="shared" si="58"/>
        <v>0.1</v>
      </c>
      <c r="S208" s="155">
        <f t="shared" si="59"/>
        <v>0.44635289643091203</v>
      </c>
      <c r="T208" s="155">
        <f t="shared" si="60"/>
        <v>0.33926201290792235</v>
      </c>
      <c r="U208" s="155">
        <f t="shared" si="61"/>
        <v>0.33624473454810166</v>
      </c>
      <c r="W208" s="155">
        <f t="shared" si="62"/>
        <v>-0.25432391967810408</v>
      </c>
      <c r="X208" s="157">
        <f t="shared" si="63"/>
        <v>8.1920814869997582E-2</v>
      </c>
      <c r="Y208" s="155">
        <f t="shared" si="64"/>
        <v>8.1920814869997582E-2</v>
      </c>
      <c r="AA208" s="85">
        <f>'Price Deck'!R202/'Price Deck'!M202</f>
        <v>82.532617862664324</v>
      </c>
      <c r="AB208" s="85">
        <f t="shared" si="65"/>
        <v>2913.2198393222448</v>
      </c>
      <c r="AC208" s="85">
        <f t="shared" si="66"/>
        <v>238.65334313272172</v>
      </c>
      <c r="AD208" s="85">
        <f t="shared" si="67"/>
        <v>6.7611393086635792</v>
      </c>
    </row>
    <row r="209" spans="1:30">
      <c r="A209" s="164" t="str">
        <f>'Price Deck'!A203</f>
        <v>11/2033</v>
      </c>
      <c r="B209" s="51">
        <f>'Liquids Type Curve'!A216</f>
        <v>16.171890798786695</v>
      </c>
      <c r="C209" s="51">
        <f>'Liquids Type Curve'!B216</f>
        <v>194.06268958544035</v>
      </c>
      <c r="D209" s="51">
        <f>'Liquids Type Curve'!C216</f>
        <v>5.0213082130616256</v>
      </c>
      <c r="E209" s="51">
        <f>'Liquids Type Curve'!D216</f>
        <v>152.73145814729111</v>
      </c>
      <c r="F209" s="51">
        <f>'Liquids Type Curve'!E216</f>
        <v>115255.65036452148</v>
      </c>
      <c r="G209" s="39"/>
      <c r="H209" s="51">
        <f t="shared" si="51"/>
        <v>16.171890798786695</v>
      </c>
      <c r="I209" s="39">
        <f t="shared" si="52"/>
        <v>194.06268958544035</v>
      </c>
      <c r="J209" s="51">
        <f t="shared" si="53"/>
        <v>1.1549008890041739</v>
      </c>
      <c r="K209" s="51">
        <f t="shared" si="54"/>
        <v>35.128235373876954</v>
      </c>
      <c r="L209" s="51">
        <f t="shared" si="55"/>
        <v>26508.799583839944</v>
      </c>
      <c r="M209" s="39"/>
      <c r="N209" s="51">
        <f t="shared" si="56"/>
        <v>5.5849526811467705</v>
      </c>
      <c r="O209" s="85">
        <f>('Price Deck'!R203/$B$2)/'Price Deck'!M203</f>
        <v>519.11365983258611</v>
      </c>
      <c r="Q209" s="155">
        <f t="shared" si="57"/>
        <v>0.33624473454810166</v>
      </c>
      <c r="R209" s="155">
        <f t="shared" si="58"/>
        <v>0.1</v>
      </c>
      <c r="S209" s="155">
        <f t="shared" si="59"/>
        <v>0.44635289643091203</v>
      </c>
      <c r="T209" s="155">
        <f t="shared" si="60"/>
        <v>0.33926201290792235</v>
      </c>
      <c r="U209" s="155">
        <f t="shared" si="61"/>
        <v>0.33624473454810166</v>
      </c>
      <c r="W209" s="155">
        <f t="shared" si="62"/>
        <v>-0.25436031388045188</v>
      </c>
      <c r="X209" s="157">
        <f t="shared" si="63"/>
        <v>8.1884420667649782E-2</v>
      </c>
      <c r="Y209" s="155">
        <f t="shared" si="64"/>
        <v>8.1884420667649782E-2</v>
      </c>
      <c r="AA209" s="85">
        <f>'Price Deck'!R203/'Price Deck'!M203</f>
        <v>82.532617862664324</v>
      </c>
      <c r="AB209" s="85">
        <f t="shared" si="65"/>
        <v>2899.2252263019141</v>
      </c>
      <c r="AC209" s="85">
        <f t="shared" si="66"/>
        <v>237.40137804076807</v>
      </c>
      <c r="AD209" s="85">
        <f t="shared" si="67"/>
        <v>6.7581355998687922</v>
      </c>
    </row>
    <row r="210" spans="1:30">
      <c r="A210" s="164" t="str">
        <f>'Price Deck'!A204</f>
        <v>12/2033</v>
      </c>
      <c r="B210" s="51">
        <f>'Liquids Type Curve'!A217</f>
        <v>16.255224132120027</v>
      </c>
      <c r="C210" s="51">
        <f>'Liquids Type Curve'!B217</f>
        <v>195.06268958544032</v>
      </c>
      <c r="D210" s="51">
        <f>'Liquids Type Curve'!C217</f>
        <v>4.9973103836605013</v>
      </c>
      <c r="E210" s="51">
        <f>'Liquids Type Curve'!D217</f>
        <v>152.00152416967359</v>
      </c>
      <c r="F210" s="51">
        <f>'Liquids Type Curve'!E217</f>
        <v>115407.65188869115</v>
      </c>
      <c r="G210" s="39"/>
      <c r="H210" s="51">
        <f t="shared" si="51"/>
        <v>16.255224132120027</v>
      </c>
      <c r="I210" s="39">
        <f t="shared" si="52"/>
        <v>195.06268958544032</v>
      </c>
      <c r="J210" s="51">
        <f t="shared" si="53"/>
        <v>1.1493813882419153</v>
      </c>
      <c r="K210" s="51">
        <f t="shared" si="54"/>
        <v>34.960350559024924</v>
      </c>
      <c r="L210" s="51">
        <f t="shared" si="55"/>
        <v>26543.759934398964</v>
      </c>
      <c r="M210" s="39"/>
      <c r="N210" s="51">
        <f t="shared" si="56"/>
        <v>5.5582610828682828</v>
      </c>
      <c r="O210" s="85">
        <f>('Price Deck'!R204/$B$2)/'Price Deck'!M204</f>
        <v>519.11365983258611</v>
      </c>
      <c r="Q210" s="155">
        <f t="shared" si="57"/>
        <v>0.33624473454810166</v>
      </c>
      <c r="R210" s="155">
        <f t="shared" si="58"/>
        <v>0.1</v>
      </c>
      <c r="S210" s="155">
        <f t="shared" si="59"/>
        <v>0.44635289643091203</v>
      </c>
      <c r="T210" s="155">
        <f t="shared" si="60"/>
        <v>0.33926201290792235</v>
      </c>
      <c r="U210" s="155">
        <f t="shared" si="61"/>
        <v>0.33624473454810166</v>
      </c>
      <c r="W210" s="155">
        <f t="shared" si="62"/>
        <v>-0.25439634753812784</v>
      </c>
      <c r="X210" s="157">
        <f t="shared" si="63"/>
        <v>8.1848387009973822E-2</v>
      </c>
      <c r="Y210" s="155">
        <f t="shared" si="64"/>
        <v>8.1848387009973822E-2</v>
      </c>
      <c r="AA210" s="85">
        <f>'Price Deck'!R204/'Price Deck'!M204</f>
        <v>82.532617862664324</v>
      </c>
      <c r="AB210" s="85">
        <f t="shared" si="65"/>
        <v>2885.3692530327871</v>
      </c>
      <c r="AC210" s="85">
        <f t="shared" si="66"/>
        <v>236.16281928890663</v>
      </c>
      <c r="AD210" s="85">
        <f t="shared" si="67"/>
        <v>6.7551616477696275</v>
      </c>
    </row>
    <row r="211" spans="1:30">
      <c r="A211" s="164" t="str">
        <f>'Price Deck'!A205</f>
        <v>01/2034</v>
      </c>
      <c r="B211" s="51">
        <f>'Liquids Type Curve'!A218</f>
        <v>16.338557465453359</v>
      </c>
      <c r="C211" s="51">
        <f>'Liquids Type Curve'!B218</f>
        <v>196.0626895854403</v>
      </c>
      <c r="D211" s="51">
        <f>'Liquids Type Curve'!C218</f>
        <v>4.9735490796141626</v>
      </c>
      <c r="E211" s="51">
        <f>'Liquids Type Curve'!D218</f>
        <v>151.2787845049308</v>
      </c>
      <c r="F211" s="51">
        <f>'Liquids Type Curve'!E218</f>
        <v>115558.93067319608</v>
      </c>
      <c r="G211" s="39"/>
      <c r="H211" s="51">
        <f t="shared" si="51"/>
        <v>16.338557465453359</v>
      </c>
      <c r="I211" s="39">
        <f t="shared" si="52"/>
        <v>196.0626895854403</v>
      </c>
      <c r="J211" s="51">
        <f t="shared" si="53"/>
        <v>1.1439162883112575</v>
      </c>
      <c r="K211" s="51">
        <f t="shared" si="54"/>
        <v>34.794120436134087</v>
      </c>
      <c r="L211" s="51">
        <f t="shared" si="55"/>
        <v>26578.554054835102</v>
      </c>
      <c r="M211" s="39"/>
      <c r="N211" s="51">
        <f t="shared" si="56"/>
        <v>5.5318325600391249</v>
      </c>
      <c r="O211" s="85">
        <f>('Price Deck'!R205/$B$2)/'Price Deck'!M205</f>
        <v>519.11365983258611</v>
      </c>
      <c r="Q211" s="155">
        <f t="shared" si="57"/>
        <v>0.33624473454810166</v>
      </c>
      <c r="R211" s="155">
        <f t="shared" si="58"/>
        <v>0.1</v>
      </c>
      <c r="S211" s="155">
        <f t="shared" si="59"/>
        <v>0.44635289643091203</v>
      </c>
      <c r="T211" s="155">
        <f t="shared" si="60"/>
        <v>0.33926201290792235</v>
      </c>
      <c r="U211" s="155">
        <f t="shared" si="61"/>
        <v>0.33624473454810166</v>
      </c>
      <c r="W211" s="155">
        <f t="shared" si="62"/>
        <v>-0.25443202604394716</v>
      </c>
      <c r="X211" s="157">
        <f t="shared" si="63"/>
        <v>8.1812708504154508E-2</v>
      </c>
      <c r="Y211" s="155">
        <f t="shared" si="64"/>
        <v>8.1812708504154508E-2</v>
      </c>
      <c r="AA211" s="85">
        <f>'Price Deck'!R205/'Price Deck'!M205</f>
        <v>82.532617862664324</v>
      </c>
      <c r="AB211" s="85">
        <f t="shared" si="65"/>
        <v>2871.6498458229739</v>
      </c>
      <c r="AC211" s="85">
        <f t="shared" si="66"/>
        <v>234.93745176231519</v>
      </c>
      <c r="AD211" s="85">
        <f t="shared" si="67"/>
        <v>6.7522170072829315</v>
      </c>
    </row>
    <row r="212" spans="1:30">
      <c r="A212" s="164" t="str">
        <f>'Price Deck'!A206</f>
        <v>02/2034</v>
      </c>
      <c r="B212" s="51">
        <f>'Liquids Type Curve'!A219</f>
        <v>16.421890798786691</v>
      </c>
      <c r="C212" s="51">
        <f>'Liquids Type Curve'!B219</f>
        <v>197.0626895854403</v>
      </c>
      <c r="D212" s="51">
        <f>'Liquids Type Curve'!C219</f>
        <v>4.950020781071248</v>
      </c>
      <c r="E212" s="51">
        <f>'Liquids Type Curve'!D219</f>
        <v>150.56313209091712</v>
      </c>
      <c r="F212" s="51">
        <f>'Liquids Type Curve'!E219</f>
        <v>115709.493805287</v>
      </c>
      <c r="G212" s="39"/>
      <c r="H212" s="51">
        <f t="shared" si="51"/>
        <v>16.421890798786691</v>
      </c>
      <c r="I212" s="39">
        <f t="shared" si="52"/>
        <v>197.0626895854403</v>
      </c>
      <c r="J212" s="51">
        <f t="shared" si="53"/>
        <v>1.1385047796463872</v>
      </c>
      <c r="K212" s="51">
        <f t="shared" si="54"/>
        <v>34.62952038091094</v>
      </c>
      <c r="L212" s="51">
        <f t="shared" si="55"/>
        <v>26613.183575216011</v>
      </c>
      <c r="M212" s="39"/>
      <c r="N212" s="51">
        <f t="shared" si="56"/>
        <v>5.5056631977027788</v>
      </c>
      <c r="O212" s="85">
        <f>('Price Deck'!R206/$B$2)/'Price Deck'!M206</f>
        <v>519.11365983258611</v>
      </c>
      <c r="Q212" s="155">
        <f t="shared" si="57"/>
        <v>0.33624473454810166</v>
      </c>
      <c r="R212" s="155">
        <f t="shared" si="58"/>
        <v>0.1</v>
      </c>
      <c r="S212" s="155">
        <f t="shared" si="59"/>
        <v>0.44635289643091203</v>
      </c>
      <c r="T212" s="155">
        <f t="shared" si="60"/>
        <v>0.33926201290792235</v>
      </c>
      <c r="U212" s="155">
        <f t="shared" si="61"/>
        <v>0.33624473454810166</v>
      </c>
      <c r="W212" s="155">
        <f t="shared" si="62"/>
        <v>-0.25446735468310128</v>
      </c>
      <c r="X212" s="157">
        <f t="shared" si="63"/>
        <v>8.1777379865000388E-2</v>
      </c>
      <c r="Y212" s="155">
        <f t="shared" si="64"/>
        <v>8.1777379865000388E-2</v>
      </c>
      <c r="AA212" s="85">
        <f>'Price Deck'!R206/'Price Deck'!M206</f>
        <v>82.532617862664324</v>
      </c>
      <c r="AB212" s="85">
        <f t="shared" si="65"/>
        <v>2858.0649723650686</v>
      </c>
      <c r="AC212" s="85">
        <f t="shared" si="66"/>
        <v>233.72506492395004</v>
      </c>
      <c r="AD212" s="85">
        <f t="shared" si="67"/>
        <v>6.7493012422080172</v>
      </c>
    </row>
    <row r="213" spans="1:30">
      <c r="A213" s="164" t="str">
        <f>'Price Deck'!A207</f>
        <v>03/2034</v>
      </c>
      <c r="B213" s="51">
        <f>'Liquids Type Curve'!A220</f>
        <v>16.505224132120023</v>
      </c>
      <c r="C213" s="51">
        <f>'Liquids Type Curve'!B220</f>
        <v>198.0626895854403</v>
      </c>
      <c r="D213" s="51">
        <f>'Liquids Type Curve'!C220</f>
        <v>4.9267220380709889</v>
      </c>
      <c r="E213" s="51">
        <f>'Liquids Type Curve'!D220</f>
        <v>149.85446199132591</v>
      </c>
      <c r="F213" s="51">
        <f>'Liquids Type Curve'!E220</f>
        <v>115859.34826727833</v>
      </c>
      <c r="G213" s="39"/>
      <c r="H213" s="51">
        <f t="shared" si="51"/>
        <v>16.505224132120023</v>
      </c>
      <c r="I213" s="39">
        <f t="shared" si="52"/>
        <v>198.0626895854403</v>
      </c>
      <c r="J213" s="51">
        <f t="shared" si="53"/>
        <v>1.1331460687563275</v>
      </c>
      <c r="K213" s="51">
        <f t="shared" si="54"/>
        <v>34.466526258004961</v>
      </c>
      <c r="L213" s="51">
        <f t="shared" si="55"/>
        <v>26647.650101474017</v>
      </c>
      <c r="M213" s="39"/>
      <c r="N213" s="51">
        <f t="shared" si="56"/>
        <v>5.4797491586385831</v>
      </c>
      <c r="O213" s="85">
        <f>('Price Deck'!R207/$B$2)/'Price Deck'!M207</f>
        <v>526.90036473007478</v>
      </c>
      <c r="Q213" s="155">
        <f t="shared" si="57"/>
        <v>0.33865861306632317</v>
      </c>
      <c r="R213" s="155">
        <f t="shared" si="58"/>
        <v>0.1</v>
      </c>
      <c r="S213" s="155">
        <f t="shared" si="59"/>
        <v>0.45421746837737553</v>
      </c>
      <c r="T213" s="155">
        <f t="shared" si="60"/>
        <v>0.34354470060154113</v>
      </c>
      <c r="U213" s="155">
        <f t="shared" si="61"/>
        <v>0.33865861306632317</v>
      </c>
      <c r="W213" s="155">
        <f t="shared" si="62"/>
        <v>-0.25450233863583793</v>
      </c>
      <c r="X213" s="157">
        <f t="shared" si="63"/>
        <v>8.4156274430485234E-2</v>
      </c>
      <c r="Y213" s="155">
        <f t="shared" si="64"/>
        <v>8.4156274430485234E-2</v>
      </c>
      <c r="AA213" s="85">
        <f>'Price Deck'!R207/'Price Deck'!M207</f>
        <v>83.770607130604276</v>
      </c>
      <c r="AB213" s="85">
        <f t="shared" si="65"/>
        <v>2887.2818303159897</v>
      </c>
      <c r="AC213" s="85">
        <f t="shared" si="66"/>
        <v>242.98288207022614</v>
      </c>
      <c r="AD213" s="85">
        <f t="shared" si="67"/>
        <v>7.0498222028914963</v>
      </c>
    </row>
    <row r="214" spans="1:30">
      <c r="A214" s="164" t="str">
        <f>'Price Deck'!A208</f>
        <v>04/2034</v>
      </c>
      <c r="B214" s="51">
        <f>'Liquids Type Curve'!A221</f>
        <v>16.588557465453356</v>
      </c>
      <c r="C214" s="51">
        <f>'Liquids Type Curve'!B221</f>
        <v>199.06268958544027</v>
      </c>
      <c r="D214" s="51">
        <f>'Liquids Type Curve'!C221</f>
        <v>4.9036494688113113</v>
      </c>
      <c r="E214" s="51">
        <f>'Liquids Type Curve'!D221</f>
        <v>149.15267134301072</v>
      </c>
      <c r="F214" s="51">
        <f>'Liquids Type Curve'!E221</f>
        <v>116008.50093862134</v>
      </c>
      <c r="G214" s="39"/>
      <c r="H214" s="51">
        <f t="shared" si="51"/>
        <v>16.588557465453356</v>
      </c>
      <c r="I214" s="39">
        <f t="shared" si="52"/>
        <v>199.06268958544027</v>
      </c>
      <c r="J214" s="51">
        <f t="shared" si="53"/>
        <v>1.1278393778266016</v>
      </c>
      <c r="K214" s="51">
        <f t="shared" si="54"/>
        <v>34.305114408892464</v>
      </c>
      <c r="L214" s="51">
        <f t="shared" si="55"/>
        <v>26681.955215882906</v>
      </c>
      <c r="M214" s="39"/>
      <c r="N214" s="51">
        <f t="shared" si="56"/>
        <v>5.4540866814354132</v>
      </c>
      <c r="O214" s="85">
        <f>('Price Deck'!R208/$B$2)/'Price Deck'!M208</f>
        <v>526.90036473007478</v>
      </c>
      <c r="Q214" s="155">
        <f t="shared" si="57"/>
        <v>0.33865861306632317</v>
      </c>
      <c r="R214" s="155">
        <f t="shared" si="58"/>
        <v>0.1</v>
      </c>
      <c r="S214" s="155">
        <f t="shared" si="59"/>
        <v>0.45421746837737553</v>
      </c>
      <c r="T214" s="155">
        <f t="shared" si="60"/>
        <v>0.34354470060154113</v>
      </c>
      <c r="U214" s="155">
        <f t="shared" si="61"/>
        <v>0.33865861306632317</v>
      </c>
      <c r="W214" s="155">
        <f t="shared" si="62"/>
        <v>-0.25453698298006222</v>
      </c>
      <c r="X214" s="157">
        <f t="shared" si="63"/>
        <v>8.4121630086260946E-2</v>
      </c>
      <c r="Y214" s="155">
        <f t="shared" si="64"/>
        <v>8.4121630086260946E-2</v>
      </c>
      <c r="AA214" s="85">
        <f>'Price Deck'!R208/'Price Deck'!M208</f>
        <v>83.770607130604276</v>
      </c>
      <c r="AB214" s="85">
        <f t="shared" si="65"/>
        <v>2873.7602617177627</v>
      </c>
      <c r="AC214" s="85">
        <f t="shared" si="66"/>
        <v>241.74539769281807</v>
      </c>
      <c r="AD214" s="85">
        <f t="shared" si="67"/>
        <v>7.0469200251421862</v>
      </c>
    </row>
    <row r="215" spans="1:30">
      <c r="A215" s="164" t="str">
        <f>'Price Deck'!A209</f>
        <v>05/2034</v>
      </c>
      <c r="B215" s="51">
        <f>'Liquids Type Curve'!A222</f>
        <v>16.671890798786688</v>
      </c>
      <c r="C215" s="51">
        <f>'Liquids Type Curve'!B222</f>
        <v>200.06268958544024</v>
      </c>
      <c r="D215" s="51">
        <f>'Liquids Type Curve'!C222</f>
        <v>4.8807997579682105</v>
      </c>
      <c r="E215" s="51">
        <f>'Liquids Type Curve'!D222</f>
        <v>148.45765930486641</v>
      </c>
      <c r="F215" s="51">
        <f>'Liquids Type Curve'!E222</f>
        <v>116156.9585979262</v>
      </c>
      <c r="G215" s="39"/>
      <c r="H215" s="51">
        <f t="shared" si="51"/>
        <v>16.671890798786688</v>
      </c>
      <c r="I215" s="39">
        <f t="shared" si="52"/>
        <v>200.06268958544024</v>
      </c>
      <c r="J215" s="51">
        <f t="shared" si="53"/>
        <v>1.1225839443326884</v>
      </c>
      <c r="K215" s="51">
        <f t="shared" si="54"/>
        <v>34.145261640119273</v>
      </c>
      <c r="L215" s="51">
        <f t="shared" si="55"/>
        <v>26716.100477523029</v>
      </c>
      <c r="M215" s="39"/>
      <c r="N215" s="51">
        <f t="shared" si="56"/>
        <v>5.4286720786224159</v>
      </c>
      <c r="O215" s="85">
        <f>('Price Deck'!R209/$B$2)/'Price Deck'!M209</f>
        <v>526.90036473007478</v>
      </c>
      <c r="Q215" s="155">
        <f t="shared" si="57"/>
        <v>0.33865861306632317</v>
      </c>
      <c r="R215" s="155">
        <f t="shared" si="58"/>
        <v>0.1</v>
      </c>
      <c r="S215" s="155">
        <f t="shared" si="59"/>
        <v>0.45421746837737553</v>
      </c>
      <c r="T215" s="155">
        <f t="shared" si="60"/>
        <v>0.34354470060154113</v>
      </c>
      <c r="U215" s="155">
        <f t="shared" si="61"/>
        <v>0.33865861306632317</v>
      </c>
      <c r="W215" s="155">
        <f t="shared" si="62"/>
        <v>-0.25457129269385975</v>
      </c>
      <c r="X215" s="157">
        <f t="shared" si="63"/>
        <v>8.4087320372463414E-2</v>
      </c>
      <c r="Y215" s="155">
        <f t="shared" si="64"/>
        <v>8.4087320372463414E-2</v>
      </c>
      <c r="AA215" s="85">
        <f>'Price Deck'!R209/'Price Deck'!M209</f>
        <v>83.770607130604276</v>
      </c>
      <c r="AB215" s="85">
        <f t="shared" si="65"/>
        <v>2860.3692982261241</v>
      </c>
      <c r="AC215" s="85">
        <f t="shared" si="66"/>
        <v>240.52078956349845</v>
      </c>
      <c r="AD215" s="85">
        <f t="shared" si="67"/>
        <v>7.0440458795868901</v>
      </c>
    </row>
    <row r="216" spans="1:30">
      <c r="A216" s="164" t="str">
        <f>'Price Deck'!A210</f>
        <v>06/2034</v>
      </c>
      <c r="B216" s="51">
        <f>'Liquids Type Curve'!A223</f>
        <v>16.75522413212002</v>
      </c>
      <c r="C216" s="51">
        <f>'Liquids Type Curve'!B223</f>
        <v>201.06268958544024</v>
      </c>
      <c r="D216" s="51">
        <f>'Liquids Type Curve'!C223</f>
        <v>4.858169655064815</v>
      </c>
      <c r="E216" s="51">
        <f>'Liquids Type Curve'!D223</f>
        <v>147.76932700822147</v>
      </c>
      <c r="F216" s="51">
        <f>'Liquids Type Curve'!E223</f>
        <v>116304.72792493443</v>
      </c>
      <c r="G216" s="39"/>
      <c r="H216" s="51">
        <f t="shared" si="51"/>
        <v>16.75522413212002</v>
      </c>
      <c r="I216" s="39">
        <f t="shared" si="52"/>
        <v>201.06268958544024</v>
      </c>
      <c r="J216" s="51">
        <f t="shared" si="53"/>
        <v>1.1173790206649075</v>
      </c>
      <c r="K216" s="51">
        <f t="shared" si="54"/>
        <v>33.986945211890941</v>
      </c>
      <c r="L216" s="51">
        <f t="shared" si="55"/>
        <v>26750.08742273492</v>
      </c>
      <c r="M216" s="39"/>
      <c r="N216" s="51">
        <f t="shared" si="56"/>
        <v>5.4035017348549941</v>
      </c>
      <c r="O216" s="85">
        <f>('Price Deck'!R210/$B$2)/'Price Deck'!M210</f>
        <v>526.90036473007478</v>
      </c>
      <c r="Q216" s="155">
        <f t="shared" si="57"/>
        <v>0.33865861306632317</v>
      </c>
      <c r="R216" s="155">
        <f t="shared" si="58"/>
        <v>0.1</v>
      </c>
      <c r="S216" s="155">
        <f t="shared" si="59"/>
        <v>0.45421746837737553</v>
      </c>
      <c r="T216" s="155">
        <f t="shared" si="60"/>
        <v>0.34354470060154113</v>
      </c>
      <c r="U216" s="155">
        <f t="shared" si="61"/>
        <v>0.33865861306632317</v>
      </c>
      <c r="W216" s="155">
        <f t="shared" si="62"/>
        <v>-0.2546052726579458</v>
      </c>
      <c r="X216" s="157">
        <f t="shared" si="63"/>
        <v>8.4053340408377364E-2</v>
      </c>
      <c r="Y216" s="155">
        <f t="shared" si="64"/>
        <v>8.4053340408377364E-2</v>
      </c>
      <c r="AA216" s="85">
        <f>'Price Deck'!R210/'Price Deck'!M210</f>
        <v>83.770607130604276</v>
      </c>
      <c r="AB216" s="85">
        <f t="shared" si="65"/>
        <v>2847.107034914688</v>
      </c>
      <c r="AC216" s="85">
        <f t="shared" si="66"/>
        <v>239.3088567847702</v>
      </c>
      <c r="AD216" s="85">
        <f t="shared" si="67"/>
        <v>7.0411993573651248</v>
      </c>
    </row>
    <row r="217" spans="1:30">
      <c r="A217" s="164" t="str">
        <f>'Price Deck'!A211</f>
        <v>07/2034</v>
      </c>
      <c r="B217" s="51">
        <f>'Liquids Type Curve'!A224</f>
        <v>16.838557465453352</v>
      </c>
      <c r="C217" s="51">
        <f>'Liquids Type Curve'!B224</f>
        <v>202.06268958544024</v>
      </c>
      <c r="D217" s="51">
        <f>'Liquids Type Curve'!C224</f>
        <v>4.8357559728882196</v>
      </c>
      <c r="E217" s="51">
        <f>'Liquids Type Curve'!D224</f>
        <v>147.08757750868335</v>
      </c>
      <c r="F217" s="51">
        <f>'Liquids Type Curve'!E224</f>
        <v>116451.81550244312</v>
      </c>
      <c r="G217" s="39"/>
      <c r="H217" s="51">
        <f t="shared" si="51"/>
        <v>16.838557465453352</v>
      </c>
      <c r="I217" s="39">
        <f t="shared" si="52"/>
        <v>202.06268958544024</v>
      </c>
      <c r="J217" s="51">
        <f t="shared" si="53"/>
        <v>1.1122238737642904</v>
      </c>
      <c r="K217" s="51">
        <f t="shared" si="54"/>
        <v>33.830142826997175</v>
      </c>
      <c r="L217" s="51">
        <f t="shared" si="55"/>
        <v>26783.917565561918</v>
      </c>
      <c r="M217" s="39"/>
      <c r="N217" s="51">
        <f t="shared" si="56"/>
        <v>5.3785721051539275</v>
      </c>
      <c r="O217" s="85">
        <f>('Price Deck'!R211/$B$2)/'Price Deck'!M211</f>
        <v>526.90036473007478</v>
      </c>
      <c r="Q217" s="155">
        <f t="shared" si="57"/>
        <v>0.33865861306632317</v>
      </c>
      <c r="R217" s="155">
        <f t="shared" si="58"/>
        <v>0.1</v>
      </c>
      <c r="S217" s="155">
        <f t="shared" si="59"/>
        <v>0.45421746837737553</v>
      </c>
      <c r="T217" s="155">
        <f t="shared" si="60"/>
        <v>0.34354470060154113</v>
      </c>
      <c r="U217" s="155">
        <f t="shared" si="61"/>
        <v>0.33865861306632317</v>
      </c>
      <c r="W217" s="155">
        <f t="shared" si="62"/>
        <v>-0.25463892765804225</v>
      </c>
      <c r="X217" s="157">
        <f t="shared" si="63"/>
        <v>8.401968540828092E-2</v>
      </c>
      <c r="Y217" s="155">
        <f t="shared" si="64"/>
        <v>8.401968540828092E-2</v>
      </c>
      <c r="AA217" s="85">
        <f>'Price Deck'!R211/'Price Deck'!M211</f>
        <v>83.770607130604276</v>
      </c>
      <c r="AB217" s="85">
        <f t="shared" si="65"/>
        <v>2833.9716039326108</v>
      </c>
      <c r="AC217" s="85">
        <f t="shared" si="66"/>
        <v>238.10940261841927</v>
      </c>
      <c r="AD217" s="85">
        <f t="shared" si="67"/>
        <v>7.0383800575740665</v>
      </c>
    </row>
    <row r="218" spans="1:30">
      <c r="A218" s="164" t="str">
        <f>'Price Deck'!A212</f>
        <v>08/2034</v>
      </c>
      <c r="B218" s="51">
        <f>'Liquids Type Curve'!A225</f>
        <v>16.921890798786684</v>
      </c>
      <c r="C218" s="51">
        <f>'Liquids Type Curve'!B225</f>
        <v>203.06268958544021</v>
      </c>
      <c r="D218" s="51">
        <f>'Liquids Type Curve'!C225</f>
        <v>4.8135555859527122</v>
      </c>
      <c r="E218" s="51">
        <f>'Liquids Type Curve'!D225</f>
        <v>146.41231573939501</v>
      </c>
      <c r="F218" s="51">
        <f>'Liquids Type Curve'!E225</f>
        <v>116598.22781818251</v>
      </c>
      <c r="G218" s="39"/>
      <c r="H218" s="51">
        <f t="shared" si="51"/>
        <v>16.921890798786684</v>
      </c>
      <c r="I218" s="39">
        <f t="shared" si="52"/>
        <v>203.06268958544021</v>
      </c>
      <c r="J218" s="51">
        <f t="shared" si="53"/>
        <v>1.1071177847691238</v>
      </c>
      <c r="K218" s="51">
        <f t="shared" si="54"/>
        <v>33.674832620060855</v>
      </c>
      <c r="L218" s="51">
        <f t="shared" si="55"/>
        <v>26817.59239818198</v>
      </c>
      <c r="M218" s="39"/>
      <c r="N218" s="51">
        <f t="shared" si="56"/>
        <v>5.353879713196104</v>
      </c>
      <c r="O218" s="85">
        <f>('Price Deck'!R212/$B$2)/'Price Deck'!M212</f>
        <v>526.90036473007478</v>
      </c>
      <c r="Q218" s="155">
        <f t="shared" si="57"/>
        <v>0.33865861306632317</v>
      </c>
      <c r="R218" s="155">
        <f t="shared" si="58"/>
        <v>0.1</v>
      </c>
      <c r="S218" s="155">
        <f t="shared" si="59"/>
        <v>0.45421746837737553</v>
      </c>
      <c r="T218" s="155">
        <f t="shared" si="60"/>
        <v>0.34354470060154113</v>
      </c>
      <c r="U218" s="155">
        <f t="shared" si="61"/>
        <v>0.33865861306632317</v>
      </c>
      <c r="W218" s="155">
        <f t="shared" si="62"/>
        <v>-0.25467226238718527</v>
      </c>
      <c r="X218" s="157">
        <f t="shared" si="63"/>
        <v>8.39863506791379E-2</v>
      </c>
      <c r="Y218" s="155">
        <f t="shared" si="64"/>
        <v>8.39863506791379E-2</v>
      </c>
      <c r="AA218" s="85">
        <f>'Price Deck'!R212/'Price Deck'!M212</f>
        <v>83.770607130604276</v>
      </c>
      <c r="AB218" s="85">
        <f t="shared" si="65"/>
        <v>2820.9611736039751</v>
      </c>
      <c r="AC218" s="85">
        <f t="shared" si="66"/>
        <v>236.92223437853588</v>
      </c>
      <c r="AD218" s="85">
        <f t="shared" si="67"/>
        <v>7.0355875870752209</v>
      </c>
    </row>
    <row r="219" spans="1:30">
      <c r="A219" s="164" t="str">
        <f>'Price Deck'!A213</f>
        <v>09/2034</v>
      </c>
      <c r="B219" s="51">
        <f>'Liquids Type Curve'!A226</f>
        <v>17.005224132120016</v>
      </c>
      <c r="C219" s="51">
        <f>'Liquids Type Curve'!B226</f>
        <v>204.06268958544018</v>
      </c>
      <c r="D219" s="51">
        <f>'Liquids Type Curve'!C226</f>
        <v>4.7915654290075684</v>
      </c>
      <c r="E219" s="51">
        <f>'Liquids Type Curve'!D226</f>
        <v>145.74344846564688</v>
      </c>
      <c r="F219" s="51">
        <f>'Liquids Type Curve'!E226</f>
        <v>116743.97126664815</v>
      </c>
      <c r="G219" s="39"/>
      <c r="H219" s="51">
        <f t="shared" si="51"/>
        <v>17.005224132120016</v>
      </c>
      <c r="I219" s="39">
        <f t="shared" si="52"/>
        <v>204.06268958544018</v>
      </c>
      <c r="J219" s="51">
        <f t="shared" si="53"/>
        <v>1.1020600486717407</v>
      </c>
      <c r="K219" s="51">
        <f t="shared" si="54"/>
        <v>33.520993147098785</v>
      </c>
      <c r="L219" s="51">
        <f t="shared" si="55"/>
        <v>26851.113391329076</v>
      </c>
      <c r="M219" s="39"/>
      <c r="N219" s="51">
        <f t="shared" si="56"/>
        <v>5.3294211496548041</v>
      </c>
      <c r="O219" s="85">
        <f>('Price Deck'!R213/$B$2)/'Price Deck'!M213</f>
        <v>526.90036473007478</v>
      </c>
      <c r="Q219" s="155">
        <f t="shared" si="57"/>
        <v>0.33865861306632317</v>
      </c>
      <c r="R219" s="155">
        <f t="shared" si="58"/>
        <v>0.1</v>
      </c>
      <c r="S219" s="155">
        <f t="shared" si="59"/>
        <v>0.45421746837737553</v>
      </c>
      <c r="T219" s="155">
        <f t="shared" si="60"/>
        <v>0.34354470060154113</v>
      </c>
      <c r="U219" s="155">
        <f t="shared" si="61"/>
        <v>0.33865861306632317</v>
      </c>
      <c r="W219" s="155">
        <f t="shared" si="62"/>
        <v>-0.25470528144796606</v>
      </c>
      <c r="X219" s="157">
        <f t="shared" si="63"/>
        <v>8.3953331618357108E-2</v>
      </c>
      <c r="Y219" s="155">
        <f t="shared" si="64"/>
        <v>8.3953331618357108E-2</v>
      </c>
      <c r="AA219" s="85">
        <f>'Price Deck'!R213/'Price Deck'!M213</f>
        <v>83.770607130604276</v>
      </c>
      <c r="AB219" s="85">
        <f t="shared" si="65"/>
        <v>2808.0739475532905</v>
      </c>
      <c r="AC219" s="85">
        <f t="shared" si="66"/>
        <v>235.74716332781051</v>
      </c>
      <c r="AD219" s="85">
        <f t="shared" si="67"/>
        <v>7.032821560306731</v>
      </c>
    </row>
    <row r="220" spans="1:30">
      <c r="A220" s="164" t="str">
        <f>'Price Deck'!A214</f>
        <v>10/2034</v>
      </c>
      <c r="B220" s="51">
        <f>'Liquids Type Curve'!A227</f>
        <v>17.088557465453349</v>
      </c>
      <c r="C220" s="51">
        <f>'Liquids Type Curve'!B227</f>
        <v>205.06268958544018</v>
      </c>
      <c r="D220" s="51">
        <f>'Liquids Type Curve'!C227</f>
        <v>4.7697824955880703</v>
      </c>
      <c r="E220" s="51">
        <f>'Liquids Type Curve'!D227</f>
        <v>145.08088424080381</v>
      </c>
      <c r="F220" s="51">
        <f>'Liquids Type Curve'!E227</f>
        <v>116889.05215088895</v>
      </c>
      <c r="G220" s="39"/>
      <c r="H220" s="51">
        <f t="shared" si="51"/>
        <v>17.088557465453349</v>
      </c>
      <c r="I220" s="39">
        <f t="shared" si="52"/>
        <v>205.06268958544018</v>
      </c>
      <c r="J220" s="51">
        <f t="shared" si="53"/>
        <v>1.0970499739852562</v>
      </c>
      <c r="K220" s="51">
        <f t="shared" si="54"/>
        <v>33.368603375384879</v>
      </c>
      <c r="L220" s="51">
        <f t="shared" si="55"/>
        <v>26884.48199470446</v>
      </c>
      <c r="M220" s="39"/>
      <c r="N220" s="51">
        <f t="shared" si="56"/>
        <v>5.3051930705880759</v>
      </c>
      <c r="O220" s="85">
        <f>('Price Deck'!R214/$B$2)/'Price Deck'!M214</f>
        <v>526.90036473007478</v>
      </c>
      <c r="Q220" s="155">
        <f t="shared" si="57"/>
        <v>0.33865861306632317</v>
      </c>
      <c r="R220" s="155">
        <f t="shared" si="58"/>
        <v>0.1</v>
      </c>
      <c r="S220" s="155">
        <f t="shared" si="59"/>
        <v>0.45421746837737553</v>
      </c>
      <c r="T220" s="155">
        <f t="shared" si="60"/>
        <v>0.34354470060154113</v>
      </c>
      <c r="U220" s="155">
        <f t="shared" si="61"/>
        <v>0.33865861306632317</v>
      </c>
      <c r="W220" s="155">
        <f t="shared" si="62"/>
        <v>-0.2547379893547061</v>
      </c>
      <c r="X220" s="157">
        <f t="shared" si="63"/>
        <v>8.3920623711617071E-2</v>
      </c>
      <c r="Y220" s="155">
        <f t="shared" si="64"/>
        <v>8.3920623711617071E-2</v>
      </c>
      <c r="AA220" s="85">
        <f>'Price Deck'!R214/'Price Deck'!M214</f>
        <v>83.770607130604276</v>
      </c>
      <c r="AB220" s="85">
        <f t="shared" si="65"/>
        <v>2795.3081638563226</v>
      </c>
      <c r="AC220" s="85">
        <f t="shared" si="66"/>
        <v>234.58400457699767</v>
      </c>
      <c r="AD220" s="85">
        <f t="shared" si="67"/>
        <v>7.0300815991011474</v>
      </c>
    </row>
    <row r="221" spans="1:30">
      <c r="A221" s="164" t="str">
        <f>'Price Deck'!A215</f>
        <v>11/2034</v>
      </c>
      <c r="B221" s="51">
        <f>'Liquids Type Curve'!A228</f>
        <v>17.171890798786681</v>
      </c>
      <c r="C221" s="51">
        <f>'Liquids Type Curve'!B228</f>
        <v>206.06268958544018</v>
      </c>
      <c r="D221" s="51">
        <f>'Liquids Type Curve'!C228</f>
        <v>4.7482038366082584</v>
      </c>
      <c r="E221" s="51">
        <f>'Liquids Type Curve'!D228</f>
        <v>144.42453336350121</v>
      </c>
      <c r="F221" s="51">
        <f>'Liquids Type Curve'!E228</f>
        <v>117033.47668425246</v>
      </c>
      <c r="G221" s="39"/>
      <c r="H221" s="51">
        <f t="shared" si="51"/>
        <v>17.171890798786681</v>
      </c>
      <c r="I221" s="39">
        <f t="shared" si="52"/>
        <v>206.06268958544018</v>
      </c>
      <c r="J221" s="51">
        <f t="shared" si="53"/>
        <v>1.0920868824198995</v>
      </c>
      <c r="K221" s="51">
        <f t="shared" si="54"/>
        <v>33.217642673605283</v>
      </c>
      <c r="L221" s="51">
        <f t="shared" si="55"/>
        <v>26917.699637378068</v>
      </c>
      <c r="M221" s="39"/>
      <c r="N221" s="51">
        <f t="shared" si="56"/>
        <v>5.2811921958735226</v>
      </c>
      <c r="O221" s="85">
        <f>('Price Deck'!R215/$B$2)/'Price Deck'!M215</f>
        <v>526.90036473007478</v>
      </c>
      <c r="Q221" s="155">
        <f t="shared" si="57"/>
        <v>0.33865861306632317</v>
      </c>
      <c r="R221" s="155">
        <f t="shared" si="58"/>
        <v>0.1</v>
      </c>
      <c r="S221" s="155">
        <f t="shared" si="59"/>
        <v>0.45421746837737553</v>
      </c>
      <c r="T221" s="155">
        <f t="shared" si="60"/>
        <v>0.34354470060154113</v>
      </c>
      <c r="U221" s="155">
        <f t="shared" si="61"/>
        <v>0.33865861306632317</v>
      </c>
      <c r="W221" s="155">
        <f t="shared" si="62"/>
        <v>-0.25477039053557077</v>
      </c>
      <c r="X221" s="157">
        <f t="shared" si="63"/>
        <v>8.3888222530752399E-2</v>
      </c>
      <c r="Y221" s="155">
        <f t="shared" si="64"/>
        <v>8.3888222530752399E-2</v>
      </c>
      <c r="AA221" s="85">
        <f>'Price Deck'!R215/'Price Deck'!M215</f>
        <v>83.770607130604276</v>
      </c>
      <c r="AB221" s="85">
        <f t="shared" si="65"/>
        <v>2782.6620942153836</v>
      </c>
      <c r="AC221" s="85">
        <f t="shared" si="66"/>
        <v>233.4325769874296</v>
      </c>
      <c r="AD221" s="85">
        <f t="shared" si="67"/>
        <v>7.0273673325083648</v>
      </c>
    </row>
    <row r="222" spans="1:30">
      <c r="A222" s="164" t="str">
        <f>'Price Deck'!A216</f>
        <v>01/2034</v>
      </c>
      <c r="B222" s="51">
        <f>'Liquids Type Curve'!A229</f>
        <v>17.255224132120013</v>
      </c>
      <c r="C222" s="51">
        <f>'Liquids Type Curve'!B229</f>
        <v>207.06268958544015</v>
      </c>
      <c r="D222" s="51">
        <f>'Liquids Type Curve'!C229</f>
        <v>4.7268265589939675</v>
      </c>
      <c r="E222" s="51">
        <f>'Liquids Type Curve'!D229</f>
        <v>143.77430783606653</v>
      </c>
      <c r="F222" s="51">
        <f>'Liquids Type Curve'!E229</f>
        <v>117177.25099208852</v>
      </c>
      <c r="G222" s="39"/>
      <c r="H222" s="51">
        <f t="shared" si="51"/>
        <v>17.255224132120013</v>
      </c>
      <c r="I222" s="39">
        <f t="shared" si="52"/>
        <v>207.06268958544015</v>
      </c>
      <c r="J222" s="51">
        <f t="shared" si="53"/>
        <v>1.0871701085686125</v>
      </c>
      <c r="K222" s="51">
        <f t="shared" si="54"/>
        <v>33.068090802295302</v>
      </c>
      <c r="L222" s="51">
        <f t="shared" si="55"/>
        <v>26950.767728180363</v>
      </c>
      <c r="M222" s="39"/>
      <c r="N222" s="51">
        <f t="shared" si="56"/>
        <v>5.257415307687892</v>
      </c>
      <c r="O222" s="85">
        <f>('Price Deck'!R216/$B$2)/'Price Deck'!M216</f>
        <v>526.90036473007478</v>
      </c>
      <c r="Q222" s="155">
        <f t="shared" si="57"/>
        <v>0.33865861306632317</v>
      </c>
      <c r="R222" s="155">
        <f t="shared" si="58"/>
        <v>0.1</v>
      </c>
      <c r="S222" s="155">
        <f t="shared" si="59"/>
        <v>0.45421746837737553</v>
      </c>
      <c r="T222" s="155">
        <f t="shared" si="60"/>
        <v>0.34354470060154113</v>
      </c>
      <c r="U222" s="155">
        <f t="shared" si="61"/>
        <v>0.33865861306632317</v>
      </c>
      <c r="W222" s="155">
        <f t="shared" si="62"/>
        <v>-0.25480248933462135</v>
      </c>
      <c r="X222" s="157">
        <f t="shared" si="63"/>
        <v>8.3856123731701815E-2</v>
      </c>
      <c r="Y222" s="155">
        <f t="shared" si="64"/>
        <v>8.3856123731701815E-2</v>
      </c>
      <c r="AA222" s="85">
        <f>'Price Deck'!R216/'Price Deck'!M216</f>
        <v>83.770607130604276</v>
      </c>
      <c r="AB222" s="85">
        <f t="shared" si="65"/>
        <v>2770.1340431582285</v>
      </c>
      <c r="AC222" s="85">
        <f t="shared" si="66"/>
        <v>232.29270307647582</v>
      </c>
      <c r="AD222" s="85">
        <f t="shared" si="67"/>
        <v>7.0246783966237345</v>
      </c>
    </row>
    <row r="223" spans="1:30">
      <c r="A223" s="164" t="str">
        <f>'Price Deck'!A217</f>
        <v>02/2034</v>
      </c>
      <c r="B223" s="51">
        <f>'Liquids Type Curve'!A230</f>
        <v>17.338557465453345</v>
      </c>
      <c r="C223" s="51">
        <f>'Liquids Type Curve'!B230</f>
        <v>208.06268958544013</v>
      </c>
      <c r="D223" s="51">
        <f>'Liquids Type Curve'!C230</f>
        <v>4.7056478243548634</v>
      </c>
      <c r="E223" s="51">
        <f>'Liquids Type Curve'!D230</f>
        <v>143.13012132412709</v>
      </c>
      <c r="F223" s="51">
        <f>'Liquids Type Curve'!E230</f>
        <v>117320.38111341264</v>
      </c>
      <c r="G223" s="39"/>
      <c r="H223" s="51">
        <f t="shared" si="51"/>
        <v>17.338557465453345</v>
      </c>
      <c r="I223" s="39">
        <f t="shared" si="52"/>
        <v>208.06268958544013</v>
      </c>
      <c r="J223" s="51">
        <f t="shared" si="53"/>
        <v>1.0822989996016186</v>
      </c>
      <c r="K223" s="51">
        <f t="shared" si="54"/>
        <v>32.919927904549233</v>
      </c>
      <c r="L223" s="51">
        <f t="shared" si="55"/>
        <v>26983.687656084909</v>
      </c>
      <c r="M223" s="39"/>
      <c r="N223" s="51">
        <f t="shared" si="56"/>
        <v>5.2338592490300542</v>
      </c>
      <c r="O223" s="85">
        <f>('Price Deck'!R217/$B$2)/'Price Deck'!M217</f>
        <v>526.90036473007478</v>
      </c>
      <c r="Q223" s="155">
        <f t="shared" si="57"/>
        <v>0.33865861306632317</v>
      </c>
      <c r="R223" s="155">
        <f t="shared" si="58"/>
        <v>0.1</v>
      </c>
      <c r="S223" s="155">
        <f t="shared" si="59"/>
        <v>0.45421746837737553</v>
      </c>
      <c r="T223" s="155">
        <f t="shared" si="60"/>
        <v>0.34354470060154113</v>
      </c>
      <c r="U223" s="155">
        <f t="shared" si="61"/>
        <v>0.33865861306632317</v>
      </c>
      <c r="W223" s="155">
        <f t="shared" si="62"/>
        <v>-0.25483429001380947</v>
      </c>
      <c r="X223" s="157">
        <f t="shared" si="63"/>
        <v>8.3824323052513694E-2</v>
      </c>
      <c r="Y223" s="155">
        <f t="shared" si="64"/>
        <v>8.3824323052513694E-2</v>
      </c>
      <c r="AA223" s="85">
        <f>'Price Deck'!R217/'Price Deck'!M217</f>
        <v>83.770607130604276</v>
      </c>
      <c r="AB223" s="85">
        <f t="shared" si="65"/>
        <v>2757.7223472598107</v>
      </c>
      <c r="AC223" s="85">
        <f t="shared" si="66"/>
        <v>231.16420892584273</v>
      </c>
      <c r="AD223" s="85">
        <f t="shared" si="67"/>
        <v>7.0220144344209805</v>
      </c>
    </row>
    <row r="224" spans="1:30">
      <c r="A224" s="164" t="str">
        <f>'Price Deck'!A218</f>
        <v>03/2034</v>
      </c>
      <c r="B224" s="51">
        <f>'Liquids Type Curve'!A231</f>
        <v>17.421890798786677</v>
      </c>
      <c r="C224" s="51">
        <f>'Liquids Type Curve'!B231</f>
        <v>209.06268958544013</v>
      </c>
      <c r="D224" s="51">
        <f>'Liquids Type Curve'!C231</f>
        <v>4.6846648476941732</v>
      </c>
      <c r="E224" s="51">
        <f>'Liquids Type Curve'!D231</f>
        <v>142.49188911736445</v>
      </c>
      <c r="F224" s="51">
        <f>'Liquids Type Curve'!E231</f>
        <v>117462.87300253</v>
      </c>
      <c r="G224" s="39"/>
      <c r="H224" s="51">
        <f t="shared" si="51"/>
        <v>17.421890798786677</v>
      </c>
      <c r="I224" s="39">
        <f t="shared" si="52"/>
        <v>209.06268958544013</v>
      </c>
      <c r="J224" s="51">
        <f t="shared" si="53"/>
        <v>1.0774729149696598</v>
      </c>
      <c r="K224" s="51">
        <f t="shared" si="54"/>
        <v>32.773134496993826</v>
      </c>
      <c r="L224" s="51">
        <f t="shared" si="55"/>
        <v>27016.460790581903</v>
      </c>
      <c r="M224" s="39"/>
      <c r="N224" s="51">
        <f t="shared" si="56"/>
        <v>5.2105209222858955</v>
      </c>
      <c r="O224" s="85">
        <f>('Price Deck'!R218/$B$2)/'Price Deck'!M218</f>
        <v>534.80387020102592</v>
      </c>
      <c r="Q224" s="155">
        <f t="shared" si="57"/>
        <v>0.341108699762318</v>
      </c>
      <c r="R224" s="155">
        <f t="shared" si="58"/>
        <v>0.1</v>
      </c>
      <c r="S224" s="155">
        <f t="shared" si="59"/>
        <v>0.46220000890303625</v>
      </c>
      <c r="T224" s="155">
        <f t="shared" si="60"/>
        <v>0.34789162861056422</v>
      </c>
      <c r="U224" s="155">
        <f t="shared" si="61"/>
        <v>0.341108699762318</v>
      </c>
      <c r="W224" s="155">
        <f t="shared" si="62"/>
        <v>-0.25486579675491405</v>
      </c>
      <c r="X224" s="157">
        <f t="shared" si="63"/>
        <v>8.6242903007403948E-2</v>
      </c>
      <c r="Y224" s="155">
        <f t="shared" si="64"/>
        <v>8.6242903007403948E-2</v>
      </c>
      <c r="AA224" s="85">
        <f>'Price Deck'!R218/'Price Deck'!M218</f>
        <v>85.02716623756335</v>
      </c>
      <c r="AB224" s="85">
        <f t="shared" si="65"/>
        <v>2786.6067550019161</v>
      </c>
      <c r="AC224" s="85">
        <f t="shared" si="66"/>
        <v>240.32505609140691</v>
      </c>
      <c r="AD224" s="85">
        <f t="shared" si="67"/>
        <v>7.3329896508205872</v>
      </c>
    </row>
    <row r="225" spans="1:30">
      <c r="A225" s="164" t="str">
        <f>'Price Deck'!A219</f>
        <v>04/2034</v>
      </c>
      <c r="B225" s="51">
        <f>'Liquids Type Curve'!A232</f>
        <v>17.505224132120009</v>
      </c>
      <c r="C225" s="51">
        <f>'Liquids Type Curve'!B232</f>
        <v>210.06268958544013</v>
      </c>
      <c r="D225" s="51">
        <f>'Liquids Type Curve'!C232</f>
        <v>4.6638748961548409</v>
      </c>
      <c r="E225" s="51">
        <f>'Liquids Type Curve'!D232</f>
        <v>141.8595280913764</v>
      </c>
      <c r="F225" s="51">
        <f>'Liquids Type Curve'!E232</f>
        <v>117604.73253062138</v>
      </c>
      <c r="G225" s="39"/>
      <c r="H225" s="51">
        <f t="shared" si="51"/>
        <v>17.505224132120009</v>
      </c>
      <c r="I225" s="39">
        <f t="shared" si="52"/>
        <v>210.06268958544013</v>
      </c>
      <c r="J225" s="51">
        <f t="shared" si="53"/>
        <v>1.0726912261156134</v>
      </c>
      <c r="K225" s="51">
        <f t="shared" si="54"/>
        <v>32.627691461016575</v>
      </c>
      <c r="L225" s="51">
        <f t="shared" si="55"/>
        <v>27049.088482042916</v>
      </c>
      <c r="M225" s="39"/>
      <c r="N225" s="51">
        <f t="shared" si="56"/>
        <v>5.1873972878337264</v>
      </c>
      <c r="O225" s="85">
        <f>('Price Deck'!R219/$B$2)/'Price Deck'!M219</f>
        <v>534.80387020102592</v>
      </c>
      <c r="Q225" s="155">
        <f t="shared" si="57"/>
        <v>0.341108699762318</v>
      </c>
      <c r="R225" s="155">
        <f t="shared" si="58"/>
        <v>0.1</v>
      </c>
      <c r="S225" s="155">
        <f t="shared" si="59"/>
        <v>0.46220000890303625</v>
      </c>
      <c r="T225" s="155">
        <f t="shared" si="60"/>
        <v>0.34789162861056422</v>
      </c>
      <c r="U225" s="155">
        <f t="shared" si="61"/>
        <v>0.341108699762318</v>
      </c>
      <c r="W225" s="155">
        <f t="shared" si="62"/>
        <v>-0.25489701366142448</v>
      </c>
      <c r="X225" s="157">
        <f t="shared" si="63"/>
        <v>8.6211686100893525E-2</v>
      </c>
      <c r="Y225" s="155">
        <f t="shared" si="64"/>
        <v>8.6211686100893525E-2</v>
      </c>
      <c r="AA225" s="85">
        <f>'Price Deck'!R219/'Price Deck'!M219</f>
        <v>85.02716623756335</v>
      </c>
      <c r="AB225" s="85">
        <f t="shared" si="65"/>
        <v>2774.2401458037825</v>
      </c>
      <c r="AC225" s="85">
        <f t="shared" si="66"/>
        <v>239.17192061853279</v>
      </c>
      <c r="AD225" s="85">
        <f t="shared" si="67"/>
        <v>7.3303353657213037</v>
      </c>
    </row>
    <row r="226" spans="1:30">
      <c r="A226" s="164" t="str">
        <f>'Price Deck'!A220</f>
        <v>05/2034</v>
      </c>
      <c r="B226" s="51">
        <f>'Liquids Type Curve'!A233</f>
        <v>17.588557465453341</v>
      </c>
      <c r="C226" s="51">
        <f>'Liquids Type Curve'!B233</f>
        <v>211.0626895854401</v>
      </c>
      <c r="D226" s="51">
        <f>'Liquids Type Curve'!C233</f>
        <v>4.6432752878009476</v>
      </c>
      <c r="E226" s="51">
        <f>'Liquids Type Curve'!D233</f>
        <v>141.23295667061217</v>
      </c>
      <c r="F226" s="51">
        <f>'Liquids Type Curve'!E233</f>
        <v>117745.96548729199</v>
      </c>
      <c r="G226" s="39"/>
      <c r="H226" s="51">
        <f t="shared" si="51"/>
        <v>17.588557465453341</v>
      </c>
      <c r="I226" s="39">
        <f t="shared" si="52"/>
        <v>211.0626895854401</v>
      </c>
      <c r="J226" s="51">
        <f t="shared" si="53"/>
        <v>1.0679533161942181</v>
      </c>
      <c r="K226" s="51">
        <f t="shared" si="54"/>
        <v>32.483580034240802</v>
      </c>
      <c r="L226" s="51">
        <f t="shared" si="55"/>
        <v>27081.572062077161</v>
      </c>
      <c r="M226" s="39"/>
      <c r="N226" s="51">
        <f t="shared" si="56"/>
        <v>5.1644853626889251</v>
      </c>
      <c r="O226" s="85">
        <f>('Price Deck'!R220/$B$2)/'Price Deck'!M220</f>
        <v>534.80387020102592</v>
      </c>
      <c r="Q226" s="155">
        <f t="shared" si="57"/>
        <v>0.341108699762318</v>
      </c>
      <c r="R226" s="155">
        <f t="shared" si="58"/>
        <v>0.1</v>
      </c>
      <c r="S226" s="155">
        <f t="shared" si="59"/>
        <v>0.46220000890303625</v>
      </c>
      <c r="T226" s="155">
        <f t="shared" si="60"/>
        <v>0.34789162861056422</v>
      </c>
      <c r="U226" s="155">
        <f t="shared" si="61"/>
        <v>0.341108699762318</v>
      </c>
      <c r="W226" s="155">
        <f t="shared" si="62"/>
        <v>-0.25492794476036995</v>
      </c>
      <c r="X226" s="157">
        <f t="shared" si="63"/>
        <v>8.6180755001948051E-2</v>
      </c>
      <c r="Y226" s="155">
        <f t="shared" si="64"/>
        <v>8.6180755001948051E-2</v>
      </c>
      <c r="AA226" s="85">
        <f>'Price Deck'!R220/'Price Deck'!M220</f>
        <v>85.02716623756335</v>
      </c>
      <c r="AB226" s="85">
        <f t="shared" si="65"/>
        <v>2761.9867595625865</v>
      </c>
      <c r="AC226" s="85">
        <f t="shared" si="66"/>
        <v>238.03010424448766</v>
      </c>
      <c r="AD226" s="85">
        <f t="shared" si="67"/>
        <v>7.3277053820293565</v>
      </c>
    </row>
    <row r="227" spans="1:30">
      <c r="A227" s="164" t="str">
        <f>'Price Deck'!A221</f>
        <v>06/2034</v>
      </c>
      <c r="B227" s="51">
        <f>'Liquids Type Curve'!A234</f>
        <v>17.671890798786674</v>
      </c>
      <c r="C227" s="51">
        <f>'Liquids Type Curve'!B234</f>
        <v>212.06268958544007</v>
      </c>
      <c r="D227" s="51">
        <f>'Liquids Type Curve'!C234</f>
        <v>4.6228633904331966</v>
      </c>
      <c r="E227" s="51">
        <f>'Liquids Type Curve'!D234</f>
        <v>140.61209479234307</v>
      </c>
      <c r="F227" s="51">
        <f>'Liquids Type Curve'!E234</f>
        <v>117886.57758208434</v>
      </c>
      <c r="G227" s="39"/>
      <c r="H227" s="51">
        <f t="shared" si="51"/>
        <v>17.671890798786674</v>
      </c>
      <c r="I227" s="39">
        <f t="shared" si="52"/>
        <v>212.06268958544007</v>
      </c>
      <c r="J227" s="51">
        <f t="shared" si="53"/>
        <v>1.0632585797996352</v>
      </c>
      <c r="K227" s="51">
        <f t="shared" si="54"/>
        <v>32.340781802238908</v>
      </c>
      <c r="L227" s="51">
        <f t="shared" si="55"/>
        <v>27113.9128438794</v>
      </c>
      <c r="M227" s="39"/>
      <c r="N227" s="51">
        <f t="shared" si="56"/>
        <v>5.141782219186446</v>
      </c>
      <c r="O227" s="85">
        <f>('Price Deck'!R221/$B$2)/'Price Deck'!M221</f>
        <v>534.80387020102592</v>
      </c>
      <c r="Q227" s="155">
        <f t="shared" si="57"/>
        <v>0.341108699762318</v>
      </c>
      <c r="R227" s="155">
        <f t="shared" si="58"/>
        <v>0.1</v>
      </c>
      <c r="S227" s="155">
        <f t="shared" si="59"/>
        <v>0.46220000890303625</v>
      </c>
      <c r="T227" s="155">
        <f t="shared" si="60"/>
        <v>0.34789162861056422</v>
      </c>
      <c r="U227" s="155">
        <f t="shared" si="61"/>
        <v>0.341108699762318</v>
      </c>
      <c r="W227" s="155">
        <f t="shared" si="62"/>
        <v>-0.25495859400409832</v>
      </c>
      <c r="X227" s="157">
        <f t="shared" si="63"/>
        <v>8.6150105758219686E-2</v>
      </c>
      <c r="Y227" s="155">
        <f t="shared" si="64"/>
        <v>8.6150105758219686E-2</v>
      </c>
      <c r="AA227" s="85">
        <f>'Price Deck'!R221/'Price Deck'!M221</f>
        <v>85.02716623756335</v>
      </c>
      <c r="AB227" s="85">
        <f t="shared" si="65"/>
        <v>2749.8450305517313</v>
      </c>
      <c r="AC227" s="85">
        <f t="shared" si="66"/>
        <v>236.89944020074648</v>
      </c>
      <c r="AD227" s="85">
        <f t="shared" si="67"/>
        <v>7.3250993636878086</v>
      </c>
    </row>
    <row r="228" spans="1:30">
      <c r="A228" s="164" t="str">
        <f>'Price Deck'!A222</f>
        <v>07/2034</v>
      </c>
      <c r="B228" s="51">
        <f>'Liquids Type Curve'!A235</f>
        <v>17.755224132120006</v>
      </c>
      <c r="C228" s="51">
        <f>'Liquids Type Curve'!B235</f>
        <v>213.06268958544007</v>
      </c>
      <c r="D228" s="51">
        <f>'Liquids Type Curve'!C235</f>
        <v>4.6026366204374183</v>
      </c>
      <c r="E228" s="51">
        <f>'Liquids Type Curve'!D235</f>
        <v>139.99686387163814</v>
      </c>
      <c r="F228" s="51">
        <f>'Liquids Type Curve'!E235</f>
        <v>118026.57444595598</v>
      </c>
      <c r="G228" s="39"/>
      <c r="H228" s="51">
        <f t="shared" si="51"/>
        <v>17.755224132120006</v>
      </c>
      <c r="I228" s="39">
        <f t="shared" si="52"/>
        <v>213.06268958544007</v>
      </c>
      <c r="J228" s="51">
        <f t="shared" si="53"/>
        <v>1.0586064227006062</v>
      </c>
      <c r="K228" s="51">
        <f t="shared" si="54"/>
        <v>32.199278690476774</v>
      </c>
      <c r="L228" s="51">
        <f t="shared" si="55"/>
        <v>27146.112122569877</v>
      </c>
      <c r="M228" s="39"/>
      <c r="N228" s="51">
        <f t="shared" si="56"/>
        <v>5.1192849837000818</v>
      </c>
      <c r="O228" s="85">
        <f>('Price Deck'!R222/$B$2)/'Price Deck'!M222</f>
        <v>534.80387020102592</v>
      </c>
      <c r="Q228" s="155">
        <f t="shared" si="57"/>
        <v>0.341108699762318</v>
      </c>
      <c r="R228" s="155">
        <f t="shared" si="58"/>
        <v>0.1</v>
      </c>
      <c r="S228" s="155">
        <f t="shared" si="59"/>
        <v>0.46220000890303625</v>
      </c>
      <c r="T228" s="155">
        <f t="shared" si="60"/>
        <v>0.34789162861056422</v>
      </c>
      <c r="U228" s="155">
        <f t="shared" si="61"/>
        <v>0.341108699762318</v>
      </c>
      <c r="W228" s="155">
        <f t="shared" si="62"/>
        <v>-0.25498896527200487</v>
      </c>
      <c r="X228" s="157">
        <f t="shared" si="63"/>
        <v>8.6119734490313127E-2</v>
      </c>
      <c r="Y228" s="155">
        <f t="shared" si="64"/>
        <v>8.6119734490313127E-2</v>
      </c>
      <c r="AA228" s="85">
        <f>'Price Deck'!R222/'Price Deck'!M222</f>
        <v>85.02716623756335</v>
      </c>
      <c r="AB228" s="85">
        <f t="shared" si="65"/>
        <v>2737.8134219447998</v>
      </c>
      <c r="AC228" s="85">
        <f t="shared" si="66"/>
        <v>235.77976498190176</v>
      </c>
      <c r="AD228" s="85">
        <f t="shared" si="67"/>
        <v>7.3225169808426713</v>
      </c>
    </row>
    <row r="229" spans="1:30">
      <c r="A229" s="164" t="str">
        <f>'Price Deck'!A223</f>
        <v>08/2034</v>
      </c>
      <c r="B229" s="51">
        <f>'Liquids Type Curve'!A236</f>
        <v>17.838557465453338</v>
      </c>
      <c r="C229" s="51">
        <f>'Liquids Type Curve'!B236</f>
        <v>214.06268958544007</v>
      </c>
      <c r="D229" s="51">
        <f>'Liquids Type Curve'!C236</f>
        <v>4.5825924416649766</v>
      </c>
      <c r="E229" s="51">
        <f>'Liquids Type Curve'!D236</f>
        <v>139.38718676730971</v>
      </c>
      <c r="F229" s="51">
        <f>'Liquids Type Curve'!E236</f>
        <v>118165.96163272329</v>
      </c>
      <c r="G229" s="39"/>
      <c r="H229" s="51">
        <f t="shared" si="51"/>
        <v>17.838557465453338</v>
      </c>
      <c r="I229" s="39">
        <f t="shared" si="52"/>
        <v>214.06268958544007</v>
      </c>
      <c r="J229" s="51">
        <f t="shared" si="53"/>
        <v>1.0539962615829446</v>
      </c>
      <c r="K229" s="51">
        <f t="shared" si="54"/>
        <v>32.059052956481239</v>
      </c>
      <c r="L229" s="51">
        <f t="shared" si="55"/>
        <v>27178.17117552636</v>
      </c>
      <c r="M229" s="39"/>
      <c r="N229" s="51">
        <f t="shared" si="56"/>
        <v>5.0969908353971887</v>
      </c>
      <c r="O229" s="85">
        <f>('Price Deck'!R223/$B$2)/'Price Deck'!M223</f>
        <v>534.80387020102592</v>
      </c>
      <c r="Q229" s="155">
        <f t="shared" si="57"/>
        <v>0.341108699762318</v>
      </c>
      <c r="R229" s="155">
        <f t="shared" si="58"/>
        <v>0.1</v>
      </c>
      <c r="S229" s="155">
        <f t="shared" si="59"/>
        <v>0.46220000890303625</v>
      </c>
      <c r="T229" s="155">
        <f t="shared" si="60"/>
        <v>0.34789162861056422</v>
      </c>
      <c r="U229" s="155">
        <f t="shared" si="61"/>
        <v>0.341108699762318</v>
      </c>
      <c r="W229" s="155">
        <f t="shared" si="62"/>
        <v>-0.25501906237221383</v>
      </c>
      <c r="X229" s="157">
        <f t="shared" si="63"/>
        <v>8.6089637390104168E-2</v>
      </c>
      <c r="Y229" s="155">
        <f t="shared" si="64"/>
        <v>8.6089637390104168E-2</v>
      </c>
      <c r="AA229" s="85">
        <f>'Price Deck'!R223/'Price Deck'!M223</f>
        <v>85.02716623756335</v>
      </c>
      <c r="AB229" s="85">
        <f t="shared" si="65"/>
        <v>2725.8904251495769</v>
      </c>
      <c r="AC229" s="85">
        <f t="shared" si="66"/>
        <v>234.67091826628396</v>
      </c>
      <c r="AD229" s="85">
        <f t="shared" si="67"/>
        <v>7.3199579096999363</v>
      </c>
    </row>
    <row r="230" spans="1:30">
      <c r="A230" s="164" t="str">
        <f>'Price Deck'!A224</f>
        <v>09/2034</v>
      </c>
      <c r="B230" s="51">
        <f>'Liquids Type Curve'!A237</f>
        <v>17.92189079878667</v>
      </c>
      <c r="C230" s="51">
        <f>'Liquids Type Curve'!B237</f>
        <v>215.06268958544004</v>
      </c>
      <c r="D230" s="51">
        <f>'Liquids Type Curve'!C237</f>
        <v>4.5627283643440322</v>
      </c>
      <c r="E230" s="51">
        <f>'Liquids Type Curve'!D237</f>
        <v>138.78298774879764</v>
      </c>
      <c r="F230" s="51">
        <f>'Liquids Type Curve'!E237</f>
        <v>118304.74462047209</v>
      </c>
      <c r="G230" s="39"/>
      <c r="H230" s="51">
        <f t="shared" si="51"/>
        <v>17.92189079878667</v>
      </c>
      <c r="I230" s="39">
        <f t="shared" si="52"/>
        <v>215.06268958544004</v>
      </c>
      <c r="J230" s="51">
        <f t="shared" si="53"/>
        <v>1.0494275237991275</v>
      </c>
      <c r="K230" s="51">
        <f t="shared" si="54"/>
        <v>31.920087182223458</v>
      </c>
      <c r="L230" s="51">
        <f t="shared" si="55"/>
        <v>27210.091262708582</v>
      </c>
      <c r="M230" s="39"/>
      <c r="N230" s="51">
        <f t="shared" si="56"/>
        <v>5.0748970050277364</v>
      </c>
      <c r="O230" s="85">
        <f>('Price Deck'!R224/$B$2)/'Price Deck'!M224</f>
        <v>534.80387020102592</v>
      </c>
      <c r="Q230" s="155">
        <f t="shared" si="57"/>
        <v>0.341108699762318</v>
      </c>
      <c r="R230" s="155">
        <f t="shared" si="58"/>
        <v>0.1</v>
      </c>
      <c r="S230" s="155">
        <f t="shared" si="59"/>
        <v>0.46220000890303625</v>
      </c>
      <c r="T230" s="155">
        <f t="shared" si="60"/>
        <v>0.34789162861056422</v>
      </c>
      <c r="U230" s="155">
        <f t="shared" si="61"/>
        <v>0.341108699762318</v>
      </c>
      <c r="W230" s="155">
        <f t="shared" si="62"/>
        <v>-0.25504888904321255</v>
      </c>
      <c r="X230" s="157">
        <f t="shared" si="63"/>
        <v>8.6059810719105456E-2</v>
      </c>
      <c r="Y230" s="155">
        <f t="shared" si="64"/>
        <v>8.6059810719105456E-2</v>
      </c>
      <c r="AA230" s="85">
        <f>'Price Deck'!R224/'Price Deck'!M224</f>
        <v>85.02716623756335</v>
      </c>
      <c r="AB230" s="85">
        <f t="shared" si="65"/>
        <v>2714.0745591604291</v>
      </c>
      <c r="AC230" s="85">
        <f t="shared" si="66"/>
        <v>233.57274283888611</v>
      </c>
      <c r="AD230" s="85">
        <f t="shared" si="67"/>
        <v>7.317421832386616</v>
      </c>
    </row>
    <row r="231" spans="1:30">
      <c r="A231" s="164" t="str">
        <f>'Price Deck'!A225</f>
        <v>10/2034</v>
      </c>
      <c r="B231" s="51">
        <f>'Liquids Type Curve'!A238</f>
        <v>18.005224132120002</v>
      </c>
      <c r="C231" s="51">
        <f>'Liquids Type Curve'!B238</f>
        <v>216.06268958544001</v>
      </c>
      <c r="D231" s="51">
        <f>'Liquids Type Curve'!C238</f>
        <v>4.5430419440207581</v>
      </c>
      <c r="E231" s="51">
        <f>'Liquids Type Curve'!D238</f>
        <v>138.18419246396473</v>
      </c>
      <c r="F231" s="51">
        <f>'Liquids Type Curve'!E238</f>
        <v>118442.92881293605</v>
      </c>
      <c r="G231" s="39"/>
      <c r="H231" s="51">
        <f t="shared" si="51"/>
        <v>18.005224132120002</v>
      </c>
      <c r="I231" s="39">
        <f t="shared" si="52"/>
        <v>216.06268958544001</v>
      </c>
      <c r="J231" s="51">
        <f t="shared" si="53"/>
        <v>1.0448996471247745</v>
      </c>
      <c r="K231" s="51">
        <f t="shared" si="54"/>
        <v>31.782364266711891</v>
      </c>
      <c r="L231" s="51">
        <f t="shared" si="55"/>
        <v>27241.873626975292</v>
      </c>
      <c r="M231" s="39"/>
      <c r="N231" s="51">
        <f t="shared" si="56"/>
        <v>5.0530007737466835</v>
      </c>
      <c r="O231" s="85">
        <f>('Price Deck'!R225/$B$2)/'Price Deck'!M225</f>
        <v>534.80387020102592</v>
      </c>
      <c r="Q231" s="155">
        <f t="shared" si="57"/>
        <v>0.341108699762318</v>
      </c>
      <c r="R231" s="155">
        <f t="shared" si="58"/>
        <v>0.1</v>
      </c>
      <c r="S231" s="155">
        <f t="shared" si="59"/>
        <v>0.46220000890303625</v>
      </c>
      <c r="T231" s="155">
        <f t="shared" si="60"/>
        <v>0.34789162861056422</v>
      </c>
      <c r="U231" s="155">
        <f t="shared" si="61"/>
        <v>0.341108699762318</v>
      </c>
      <c r="W231" s="155">
        <f t="shared" si="62"/>
        <v>-0.25507844895544202</v>
      </c>
      <c r="X231" s="157">
        <f t="shared" si="63"/>
        <v>8.6030250806875985E-2</v>
      </c>
      <c r="Y231" s="155">
        <f t="shared" si="64"/>
        <v>8.6030250806875985E-2</v>
      </c>
      <c r="AA231" s="85">
        <f>'Price Deck'!R225/'Price Deck'!M225</f>
        <v>85.02716623756335</v>
      </c>
      <c r="AB231" s="85">
        <f t="shared" si="65"/>
        <v>2702.3643699285053</v>
      </c>
      <c r="AC231" s="85">
        <f t="shared" si="66"/>
        <v>232.48508451651472</v>
      </c>
      <c r="AD231" s="85">
        <f t="shared" si="67"/>
        <v>7.3149084368155135</v>
      </c>
    </row>
    <row r="232" spans="1:30">
      <c r="A232" s="164" t="str">
        <f>'Price Deck'!A226</f>
        <v>11/2034</v>
      </c>
      <c r="B232" s="51">
        <f>'Liquids Type Curve'!A239</f>
        <v>18.088557465453334</v>
      </c>
      <c r="C232" s="51">
        <f>'Liquids Type Curve'!B239</f>
        <v>217.06268958544001</v>
      </c>
      <c r="D232" s="51">
        <f>'Liquids Type Curve'!C239</f>
        <v>4.5235307805294429</v>
      </c>
      <c r="E232" s="51">
        <f>'Liquids Type Curve'!D239</f>
        <v>137.59072790777057</v>
      </c>
      <c r="F232" s="51">
        <f>'Liquids Type Curve'!E239</f>
        <v>118580.51954084382</v>
      </c>
      <c r="G232" s="39"/>
      <c r="H232" s="51">
        <f t="shared" si="51"/>
        <v>18.088557465453334</v>
      </c>
      <c r="I232" s="39">
        <f t="shared" si="52"/>
        <v>217.06268958544001</v>
      </c>
      <c r="J232" s="51">
        <f t="shared" si="53"/>
        <v>1.0404120795217719</v>
      </c>
      <c r="K232" s="51">
        <f t="shared" si="54"/>
        <v>31.645867418787233</v>
      </c>
      <c r="L232" s="51">
        <f t="shared" si="55"/>
        <v>27273.519494394081</v>
      </c>
      <c r="M232" s="39"/>
      <c r="N232" s="51">
        <f t="shared" si="56"/>
        <v>5.0312994719684623</v>
      </c>
      <c r="O232" s="85">
        <f>('Price Deck'!R226/$B$2)/'Price Deck'!M226</f>
        <v>534.80387020102592</v>
      </c>
      <c r="Q232" s="155">
        <f t="shared" si="57"/>
        <v>0.341108699762318</v>
      </c>
      <c r="R232" s="155">
        <f t="shared" si="58"/>
        <v>0.1</v>
      </c>
      <c r="S232" s="155">
        <f t="shared" si="59"/>
        <v>0.46220000890303625</v>
      </c>
      <c r="T232" s="155">
        <f t="shared" si="60"/>
        <v>0.34789162861056422</v>
      </c>
      <c r="U232" s="155">
        <f t="shared" si="61"/>
        <v>0.341108699762318</v>
      </c>
      <c r="W232" s="155">
        <f t="shared" si="62"/>
        <v>-0.25510774571284262</v>
      </c>
      <c r="X232" s="157">
        <f t="shared" si="63"/>
        <v>8.6000954049475387E-2</v>
      </c>
      <c r="Y232" s="155">
        <f t="shared" si="64"/>
        <v>8.6000954049475387E-2</v>
      </c>
      <c r="AA232" s="85">
        <f>'Price Deck'!R226/'Price Deck'!M226</f>
        <v>85.02716623756335</v>
      </c>
      <c r="AB232" s="85">
        <f t="shared" si="65"/>
        <v>2690.7584297491117</v>
      </c>
      <c r="AC232" s="85">
        <f t="shared" si="66"/>
        <v>231.40779207509189</v>
      </c>
      <c r="AD232" s="85">
        <f t="shared" si="67"/>
        <v>7.3124174165537896</v>
      </c>
    </row>
    <row r="233" spans="1:30">
      <c r="A233" s="164" t="str">
        <f>'Price Deck'!A227</f>
        <v>12/2034</v>
      </c>
      <c r="B233" s="51">
        <f>'Liquids Type Curve'!A240</f>
        <v>18.171890798786666</v>
      </c>
      <c r="C233" s="51">
        <f>'Liquids Type Curve'!B240</f>
        <v>218.06268958544001</v>
      </c>
      <c r="D233" s="51">
        <f>'Liquids Type Curve'!C240</f>
        <v>4.5041925169906545</v>
      </c>
      <c r="E233" s="51">
        <f>'Liquids Type Curve'!D240</f>
        <v>137.00252239179909</v>
      </c>
      <c r="F233" s="51">
        <f>'Liquids Type Curve'!E240</f>
        <v>118717.52206323562</v>
      </c>
      <c r="G233" s="39"/>
      <c r="H233" s="51">
        <f t="shared" si="51"/>
        <v>18.171890798786666</v>
      </c>
      <c r="I233" s="39">
        <f t="shared" si="52"/>
        <v>218.06268958544001</v>
      </c>
      <c r="J233" s="51">
        <f t="shared" si="53"/>
        <v>1.0359642789078505</v>
      </c>
      <c r="K233" s="51">
        <f t="shared" si="54"/>
        <v>31.510580150113793</v>
      </c>
      <c r="L233" s="51">
        <f t="shared" si="55"/>
        <v>27305.030074544193</v>
      </c>
      <c r="M233" s="39"/>
      <c r="N233" s="51">
        <f t="shared" si="56"/>
        <v>5.0097904782526932</v>
      </c>
      <c r="O233" s="85">
        <f>('Price Deck'!R227/$B$2)/'Price Deck'!M227</f>
        <v>534.80387020102592</v>
      </c>
      <c r="Q233" s="155">
        <f t="shared" si="57"/>
        <v>0.341108699762318</v>
      </c>
      <c r="R233" s="155">
        <f t="shared" si="58"/>
        <v>0.1</v>
      </c>
      <c r="S233" s="155">
        <f t="shared" si="59"/>
        <v>0.46220000890303625</v>
      </c>
      <c r="T233" s="155">
        <f t="shared" si="60"/>
        <v>0.34789162861056422</v>
      </c>
      <c r="U233" s="155">
        <f t="shared" si="61"/>
        <v>0.341108699762318</v>
      </c>
      <c r="W233" s="155">
        <f t="shared" si="62"/>
        <v>-0.25513678285435887</v>
      </c>
      <c r="X233" s="157">
        <f t="shared" si="63"/>
        <v>8.5971916907959134E-2</v>
      </c>
      <c r="Y233" s="155">
        <f t="shared" si="64"/>
        <v>8.5971916907959134E-2</v>
      </c>
      <c r="AA233" s="85">
        <f>'Price Deck'!R227/'Price Deck'!M227</f>
        <v>85.02716623756335</v>
      </c>
      <c r="AB233" s="85">
        <f t="shared" si="65"/>
        <v>2679.2553366657894</v>
      </c>
      <c r="AC233" s="85">
        <f t="shared" si="66"/>
        <v>230.34071717903731</v>
      </c>
      <c r="AD233" s="85">
        <f t="shared" si="67"/>
        <v>7.3099484706950246</v>
      </c>
    </row>
    <row r="234" spans="1:30">
      <c r="A234" s="164" t="str">
        <f>'Price Deck'!A228</f>
        <v>01/2035</v>
      </c>
      <c r="B234" s="51">
        <f>'Liquids Type Curve'!A241</f>
        <v>18.255224132119999</v>
      </c>
      <c r="C234" s="51">
        <f>'Liquids Type Curve'!B241</f>
        <v>219.06268958543998</v>
      </c>
      <c r="D234" s="51">
        <f>'Liquids Type Curve'!C241</f>
        <v>4.4850248388365159</v>
      </c>
      <c r="E234" s="51">
        <f>'Liquids Type Curve'!D241</f>
        <v>136.41950551461071</v>
      </c>
      <c r="F234" s="51">
        <f>'Liquids Type Curve'!E241</f>
        <v>118853.94156875023</v>
      </c>
      <c r="G234" s="39"/>
      <c r="H234" s="51">
        <f t="shared" si="51"/>
        <v>18.255224132119999</v>
      </c>
      <c r="I234" s="39">
        <f t="shared" si="52"/>
        <v>219.06268958543998</v>
      </c>
      <c r="J234" s="51">
        <f t="shared" si="53"/>
        <v>1.0315557129323987</v>
      </c>
      <c r="K234" s="51">
        <f t="shared" si="54"/>
        <v>31.376486268360463</v>
      </c>
      <c r="L234" s="51">
        <f t="shared" si="55"/>
        <v>27336.406560812557</v>
      </c>
      <c r="M234" s="39"/>
      <c r="N234" s="51">
        <f t="shared" si="56"/>
        <v>4.9884712182200488</v>
      </c>
      <c r="O234" s="85">
        <f>('Price Deck'!R228/$B$2)/'Price Deck'!M228</f>
        <v>534.80387020102592</v>
      </c>
      <c r="Q234" s="155">
        <f t="shared" si="57"/>
        <v>0.341108699762318</v>
      </c>
      <c r="R234" s="155">
        <f t="shared" si="58"/>
        <v>0.1</v>
      </c>
      <c r="S234" s="155">
        <f t="shared" si="59"/>
        <v>0.46220000890303625</v>
      </c>
      <c r="T234" s="155">
        <f t="shared" si="60"/>
        <v>0.34789162861056422</v>
      </c>
      <c r="U234" s="155">
        <f t="shared" si="61"/>
        <v>0.341108699762318</v>
      </c>
      <c r="W234" s="155">
        <f t="shared" si="62"/>
        <v>-0.25516556385540295</v>
      </c>
      <c r="X234" s="157">
        <f t="shared" si="63"/>
        <v>8.5943135906915047E-2</v>
      </c>
      <c r="Y234" s="155">
        <f t="shared" si="64"/>
        <v>8.5943135906915047E-2</v>
      </c>
      <c r="AA234" s="85">
        <f>'Price Deck'!R228/'Price Deck'!M228</f>
        <v>85.02716623756335</v>
      </c>
      <c r="AB234" s="85">
        <f t="shared" si="65"/>
        <v>2667.853713890509</v>
      </c>
      <c r="AC234" s="85">
        <f t="shared" si="66"/>
        <v>229.28371431266007</v>
      </c>
      <c r="AD234" s="85">
        <f t="shared" si="67"/>
        <v>7.3075013037347665</v>
      </c>
    </row>
    <row r="235" spans="1:30">
      <c r="A235" s="164" t="str">
        <f>'Price Deck'!A229</f>
        <v>02/2035</v>
      </c>
      <c r="B235" s="51">
        <f>'Liquids Type Curve'!A242</f>
        <v>18.338557465453331</v>
      </c>
      <c r="C235" s="51">
        <f>'Liquids Type Curve'!B242</f>
        <v>220.06268958543995</v>
      </c>
      <c r="D235" s="51">
        <f>'Liquids Type Curve'!C242</f>
        <v>4.4660254728622615</v>
      </c>
      <c r="E235" s="51">
        <f>'Liquids Type Curve'!D242</f>
        <v>135.84160813289378</v>
      </c>
      <c r="F235" s="51">
        <f>'Liquids Type Curve'!E242</f>
        <v>118989.78317688312</v>
      </c>
      <c r="G235" s="39"/>
      <c r="H235" s="51">
        <f t="shared" si="51"/>
        <v>18.338557465453331</v>
      </c>
      <c r="I235" s="39">
        <f t="shared" si="52"/>
        <v>220.06268958543995</v>
      </c>
      <c r="J235" s="51">
        <f t="shared" si="53"/>
        <v>1.0271858587583202</v>
      </c>
      <c r="K235" s="51">
        <f t="shared" si="54"/>
        <v>31.243569870565572</v>
      </c>
      <c r="L235" s="51">
        <f t="shared" si="55"/>
        <v>27367.65013068312</v>
      </c>
      <c r="M235" s="39"/>
      <c r="N235" s="51">
        <f t="shared" si="56"/>
        <v>4.9673391634973401</v>
      </c>
      <c r="O235" s="85">
        <f>('Price Deck'!R229/$B$2)/'Price Deck'!M229</f>
        <v>542.82592825404117</v>
      </c>
      <c r="Q235" s="155">
        <f t="shared" si="57"/>
        <v>0.34359553775875273</v>
      </c>
      <c r="R235" s="155">
        <f t="shared" si="58"/>
        <v>0.1</v>
      </c>
      <c r="S235" s="155">
        <f t="shared" si="59"/>
        <v>0.47030228753658165</v>
      </c>
      <c r="T235" s="155">
        <f t="shared" si="60"/>
        <v>0.35230376053972268</v>
      </c>
      <c r="U235" s="155">
        <f t="shared" si="61"/>
        <v>0.34359553775875273</v>
      </c>
      <c r="W235" s="155">
        <f t="shared" si="62"/>
        <v>-0.25519409212927863</v>
      </c>
      <c r="X235" s="157">
        <f t="shared" si="63"/>
        <v>8.8401445629474107E-2</v>
      </c>
      <c r="Y235" s="155">
        <f t="shared" si="64"/>
        <v>8.8401445629474107E-2</v>
      </c>
      <c r="AA235" s="85">
        <f>'Price Deck'!R229/'Price Deck'!M229</f>
        <v>86.30257373112677</v>
      </c>
      <c r="AB235" s="85">
        <f t="shared" si="65"/>
        <v>2696.4004923780963</v>
      </c>
      <c r="AC235" s="85">
        <f t="shared" si="66"/>
        <v>238.36570152224948</v>
      </c>
      <c r="AD235" s="85">
        <f t="shared" si="67"/>
        <v>7.6292722793758836</v>
      </c>
    </row>
    <row r="236" spans="1:30">
      <c r="A236" s="164" t="str">
        <f>'Price Deck'!A230</f>
        <v>03/2035</v>
      </c>
      <c r="B236" s="51">
        <f>'Liquids Type Curve'!A243</f>
        <v>18.421890798786663</v>
      </c>
      <c r="C236" s="51">
        <f>'Liquids Type Curve'!B243</f>
        <v>221.06268958543995</v>
      </c>
      <c r="D236" s="51">
        <f>'Liquids Type Curve'!C243</f>
        <v>4.4471921863032486</v>
      </c>
      <c r="E236" s="51">
        <f>'Liquids Type Curve'!D243</f>
        <v>135.2687623333905</v>
      </c>
      <c r="F236" s="51">
        <f>'Liquids Type Curve'!E243</f>
        <v>119125.05193921652</v>
      </c>
      <c r="G236" s="39"/>
      <c r="H236" s="51">
        <f t="shared" si="51"/>
        <v>18.421890798786663</v>
      </c>
      <c r="I236" s="39">
        <f t="shared" si="52"/>
        <v>221.06268958543995</v>
      </c>
      <c r="J236" s="51">
        <f t="shared" si="53"/>
        <v>1.0228542028497472</v>
      </c>
      <c r="K236" s="51">
        <f t="shared" si="54"/>
        <v>31.111815336679815</v>
      </c>
      <c r="L236" s="51">
        <f t="shared" si="55"/>
        <v>27398.7619460198</v>
      </c>
      <c r="M236" s="39"/>
      <c r="N236" s="51">
        <f t="shared" si="56"/>
        <v>4.9463918306909305</v>
      </c>
      <c r="O236" s="85">
        <f>('Price Deck'!R230/$B$2)/'Price Deck'!M230</f>
        <v>542.82592825404117</v>
      </c>
      <c r="Q236" s="155">
        <f t="shared" si="57"/>
        <v>0.34359553775875273</v>
      </c>
      <c r="R236" s="155">
        <f t="shared" si="58"/>
        <v>0.1</v>
      </c>
      <c r="S236" s="155">
        <f t="shared" si="59"/>
        <v>0.47030228753658165</v>
      </c>
      <c r="T236" s="155">
        <f t="shared" si="60"/>
        <v>0.35230376053972268</v>
      </c>
      <c r="U236" s="155">
        <f t="shared" si="61"/>
        <v>0.34359553775875273</v>
      </c>
      <c r="W236" s="155">
        <f t="shared" si="62"/>
        <v>-0.25522237102856726</v>
      </c>
      <c r="X236" s="157">
        <f t="shared" si="63"/>
        <v>8.8373166730185471E-2</v>
      </c>
      <c r="Y236" s="155">
        <f t="shared" si="64"/>
        <v>8.8373166730185471E-2</v>
      </c>
      <c r="AA236" s="85">
        <f>'Price Deck'!R230/'Price Deck'!M230</f>
        <v>86.30257373112677</v>
      </c>
      <c r="AB236" s="85">
        <f t="shared" si="65"/>
        <v>2685.0297370030103</v>
      </c>
      <c r="AC236" s="85">
        <f t="shared" si="66"/>
        <v>237.28458062367307</v>
      </c>
      <c r="AD236" s="85">
        <f t="shared" si="67"/>
        <v>7.6268317375849906</v>
      </c>
    </row>
    <row r="237" spans="1:30">
      <c r="A237" s="164" t="str">
        <f>'Price Deck'!A231</f>
        <v>04/2035</v>
      </c>
      <c r="B237" s="51">
        <f>'Liquids Type Curve'!A244</f>
        <v>18.505224132119995</v>
      </c>
      <c r="C237" s="51">
        <f>'Liquids Type Curve'!B244</f>
        <v>222.06268958543995</v>
      </c>
      <c r="D237" s="51">
        <f>'Liquids Type Curve'!C244</f>
        <v>4.4285227859366376</v>
      </c>
      <c r="E237" s="51">
        <f>'Liquids Type Curve'!D244</f>
        <v>134.70090140557272</v>
      </c>
      <c r="F237" s="51">
        <f>'Liquids Type Curve'!E244</f>
        <v>119259.75284062208</v>
      </c>
      <c r="G237" s="39"/>
      <c r="H237" s="51">
        <f t="shared" si="51"/>
        <v>18.505224132119995</v>
      </c>
      <c r="I237" s="39">
        <f t="shared" si="52"/>
        <v>222.06268958543995</v>
      </c>
      <c r="J237" s="51">
        <f t="shared" si="53"/>
        <v>1.0185602407654266</v>
      </c>
      <c r="K237" s="51">
        <f t="shared" si="54"/>
        <v>30.981207323281726</v>
      </c>
      <c r="L237" s="51">
        <f t="shared" si="55"/>
        <v>27429.743153343079</v>
      </c>
      <c r="M237" s="39"/>
      <c r="N237" s="51">
        <f t="shared" si="56"/>
        <v>4.9256267803875682</v>
      </c>
      <c r="O237" s="85">
        <f>('Price Deck'!R231/$B$2)/'Price Deck'!M231</f>
        <v>542.82592825404117</v>
      </c>
      <c r="Q237" s="155">
        <f t="shared" si="57"/>
        <v>0.34359553775875273</v>
      </c>
      <c r="R237" s="155">
        <f t="shared" si="58"/>
        <v>0.1</v>
      </c>
      <c r="S237" s="155">
        <f t="shared" si="59"/>
        <v>0.47030228753658165</v>
      </c>
      <c r="T237" s="155">
        <f t="shared" si="60"/>
        <v>0.35230376053972268</v>
      </c>
      <c r="U237" s="155">
        <f t="shared" si="61"/>
        <v>0.34359553775875273</v>
      </c>
      <c r="W237" s="155">
        <f t="shared" si="62"/>
        <v>-0.25525040384647679</v>
      </c>
      <c r="X237" s="157">
        <f t="shared" si="63"/>
        <v>8.8345133912275942E-2</v>
      </c>
      <c r="Y237" s="155">
        <f t="shared" si="64"/>
        <v>8.8345133912275942E-2</v>
      </c>
      <c r="AA237" s="85">
        <f>'Price Deck'!R231/'Price Deck'!M231</f>
        <v>86.30257373112677</v>
      </c>
      <c r="AB237" s="85">
        <f t="shared" si="65"/>
        <v>2673.7579292968458</v>
      </c>
      <c r="AC237" s="85">
        <f t="shared" si="66"/>
        <v>236.21350231273948</v>
      </c>
      <c r="AD237" s="85">
        <f t="shared" si="67"/>
        <v>7.6244124332504626</v>
      </c>
    </row>
    <row r="238" spans="1:30">
      <c r="A238" s="164" t="str">
        <f>'Price Deck'!A232</f>
        <v>05/2035</v>
      </c>
      <c r="B238" s="51">
        <f>'Liquids Type Curve'!A245</f>
        <v>18.588557465453327</v>
      </c>
      <c r="C238" s="51">
        <f>'Liquids Type Curve'!B245</f>
        <v>223.06268958543993</v>
      </c>
      <c r="D238" s="51">
        <f>'Liquids Type Curve'!C245</f>
        <v>4.4100151172069522</v>
      </c>
      <c r="E238" s="51">
        <f>'Liquids Type Curve'!D245</f>
        <v>134.13795981504481</v>
      </c>
      <c r="F238" s="51">
        <f>'Liquids Type Curve'!E245</f>
        <v>119393.89080043712</v>
      </c>
      <c r="G238" s="39"/>
      <c r="H238" s="51">
        <f t="shared" si="51"/>
        <v>18.588557465453327</v>
      </c>
      <c r="I238" s="39">
        <f t="shared" si="52"/>
        <v>223.06268958543993</v>
      </c>
      <c r="J238" s="51">
        <f t="shared" si="53"/>
        <v>1.0143034769575991</v>
      </c>
      <c r="K238" s="51">
        <f t="shared" si="54"/>
        <v>30.851730757460306</v>
      </c>
      <c r="L238" s="51">
        <f t="shared" si="55"/>
        <v>27460.594884100537</v>
      </c>
      <c r="M238" s="39"/>
      <c r="N238" s="51">
        <f t="shared" si="56"/>
        <v>4.9050416161818031</v>
      </c>
      <c r="O238" s="85">
        <f>('Price Deck'!R232/$B$2)/'Price Deck'!M232</f>
        <v>542.82592825404117</v>
      </c>
      <c r="Q238" s="155">
        <f t="shared" si="57"/>
        <v>0.34359553775875273</v>
      </c>
      <c r="R238" s="155">
        <f t="shared" si="58"/>
        <v>0.1</v>
      </c>
      <c r="S238" s="155">
        <f t="shared" si="59"/>
        <v>0.47030228753658165</v>
      </c>
      <c r="T238" s="155">
        <f t="shared" si="60"/>
        <v>0.35230376053972268</v>
      </c>
      <c r="U238" s="155">
        <f t="shared" si="61"/>
        <v>0.34359553775875273</v>
      </c>
      <c r="W238" s="155">
        <f t="shared" si="62"/>
        <v>-0.25527819381815459</v>
      </c>
      <c r="X238" s="157">
        <f t="shared" si="63"/>
        <v>8.8317343940598148E-2</v>
      </c>
      <c r="Y238" s="155">
        <f t="shared" si="64"/>
        <v>8.8317343940598148E-2</v>
      </c>
      <c r="AA238" s="85">
        <f>'Price Deck'!R232/'Price Deck'!M232</f>
        <v>86.30257373112677</v>
      </c>
      <c r="AB238" s="85">
        <f t="shared" si="65"/>
        <v>2662.5837684285898</v>
      </c>
      <c r="AC238" s="85">
        <f t="shared" si="66"/>
        <v>235.15232644696169</v>
      </c>
      <c r="AD238" s="85">
        <f t="shared" si="67"/>
        <v>7.6220140871707542</v>
      </c>
    </row>
    <row r="239" spans="1:30">
      <c r="A239" s="164" t="str">
        <f>'Price Deck'!A233</f>
        <v>06/2035</v>
      </c>
      <c r="B239" s="51">
        <f>'Liquids Type Curve'!A246</f>
        <v>18.671890798786659</v>
      </c>
      <c r="C239" s="51">
        <f>'Liquids Type Curve'!B246</f>
        <v>224.0626895854399</v>
      </c>
      <c r="D239" s="51">
        <f>'Liquids Type Curve'!C246</f>
        <v>4.3916670633748236</v>
      </c>
      <c r="E239" s="51">
        <f>'Liquids Type Curve'!D246</f>
        <v>133.57987317765088</v>
      </c>
      <c r="F239" s="51">
        <f>'Liquids Type Curve'!E246</f>
        <v>119527.47067361476</v>
      </c>
      <c r="G239" s="39"/>
      <c r="H239" s="51">
        <f t="shared" si="51"/>
        <v>18.671890798786659</v>
      </c>
      <c r="I239" s="39">
        <f t="shared" si="52"/>
        <v>224.0626895854399</v>
      </c>
      <c r="J239" s="51">
        <f t="shared" si="53"/>
        <v>1.0100834245762094</v>
      </c>
      <c r="K239" s="51">
        <f t="shared" si="54"/>
        <v>30.723370830859704</v>
      </c>
      <c r="L239" s="51">
        <f t="shared" si="55"/>
        <v>27491.318254931397</v>
      </c>
      <c r="M239" s="39"/>
      <c r="N239" s="51">
        <f t="shared" si="56"/>
        <v>4.8846339837291657</v>
      </c>
      <c r="O239" s="85">
        <f>('Price Deck'!R233/$B$2)/'Price Deck'!M233</f>
        <v>542.82592825404117</v>
      </c>
      <c r="Q239" s="155">
        <f t="shared" si="57"/>
        <v>0.34359553775875273</v>
      </c>
      <c r="R239" s="155">
        <f t="shared" si="58"/>
        <v>0.1</v>
      </c>
      <c r="S239" s="155">
        <f t="shared" si="59"/>
        <v>0.47030228753658165</v>
      </c>
      <c r="T239" s="155">
        <f t="shared" si="60"/>
        <v>0.35230376053972268</v>
      </c>
      <c r="U239" s="155">
        <f t="shared" si="61"/>
        <v>0.34359553775875273</v>
      </c>
      <c r="W239" s="155">
        <f t="shared" si="62"/>
        <v>-0.25530574412196561</v>
      </c>
      <c r="X239" s="157">
        <f t="shared" si="63"/>
        <v>8.8289793636787128E-2</v>
      </c>
      <c r="Y239" s="155">
        <f t="shared" si="64"/>
        <v>8.8289793636787128E-2</v>
      </c>
      <c r="AA239" s="85">
        <f>'Price Deck'!R233/'Price Deck'!M233</f>
        <v>86.30257373112677</v>
      </c>
      <c r="AB239" s="85">
        <f t="shared" si="65"/>
        <v>2651.5059763990193</v>
      </c>
      <c r="AC239" s="85">
        <f t="shared" si="66"/>
        <v>234.10091548297717</v>
      </c>
      <c r="AD239" s="85">
        <f t="shared" si="67"/>
        <v>7.6196364250447886</v>
      </c>
    </row>
    <row r="240" spans="1:30">
      <c r="A240" s="164" t="str">
        <f>'Price Deck'!A234</f>
        <v>07/2035</v>
      </c>
      <c r="B240" s="51">
        <f>'Liquids Type Curve'!A247</f>
        <v>18.755224132119992</v>
      </c>
      <c r="C240" s="51">
        <f>'Liquids Type Curve'!B247</f>
        <v>225.0626895854399</v>
      </c>
      <c r="D240" s="51">
        <f>'Liquids Type Curve'!C247</f>
        <v>4.3734765446881179</v>
      </c>
      <c r="E240" s="51">
        <f>'Liquids Type Curve'!D247</f>
        <v>133.02657823426358</v>
      </c>
      <c r="F240" s="51">
        <f>'Liquids Type Curve'!E247</f>
        <v>119660.49725184902</v>
      </c>
      <c r="G240" s="39"/>
      <c r="H240" s="51">
        <f t="shared" si="51"/>
        <v>18.755224132119992</v>
      </c>
      <c r="I240" s="39">
        <f t="shared" si="52"/>
        <v>225.0626895854399</v>
      </c>
      <c r="J240" s="51">
        <f t="shared" si="53"/>
        <v>1.0058996052782672</v>
      </c>
      <c r="K240" s="51">
        <f t="shared" si="54"/>
        <v>30.596112993880624</v>
      </c>
      <c r="L240" s="51">
        <f t="shared" si="55"/>
        <v>27521.914367925277</v>
      </c>
      <c r="M240" s="39"/>
      <c r="N240" s="51">
        <f t="shared" si="56"/>
        <v>4.8644015698242589</v>
      </c>
      <c r="O240" s="85">
        <f>('Price Deck'!R234/$B$2)/'Price Deck'!M234</f>
        <v>542.82592825404117</v>
      </c>
      <c r="Q240" s="155">
        <f t="shared" si="57"/>
        <v>0.34359553775875273</v>
      </c>
      <c r="R240" s="155">
        <f t="shared" si="58"/>
        <v>0.1</v>
      </c>
      <c r="S240" s="155">
        <f t="shared" si="59"/>
        <v>0.47030228753658165</v>
      </c>
      <c r="T240" s="155">
        <f t="shared" si="60"/>
        <v>0.35230376053972268</v>
      </c>
      <c r="U240" s="155">
        <f t="shared" si="61"/>
        <v>0.34359553775875273</v>
      </c>
      <c r="W240" s="155">
        <f t="shared" si="62"/>
        <v>-0.25533305788073729</v>
      </c>
      <c r="X240" s="157">
        <f t="shared" si="63"/>
        <v>8.8262479878015443E-2</v>
      </c>
      <c r="Y240" s="155">
        <f t="shared" si="64"/>
        <v>8.8262479878015443E-2</v>
      </c>
      <c r="AA240" s="85">
        <f>'Price Deck'!R234/'Price Deck'!M234</f>
        <v>86.30257373112677</v>
      </c>
      <c r="AB240" s="85">
        <f t="shared" si="65"/>
        <v>2640.5232975402682</v>
      </c>
      <c r="AC240" s="85">
        <f t="shared" si="66"/>
        <v>233.0591344165789</v>
      </c>
      <c r="AD240" s="85">
        <f t="shared" si="67"/>
        <v>7.6172791773645203</v>
      </c>
    </row>
    <row r="241" spans="1:30">
      <c r="A241" s="164" t="str">
        <f>'Price Deck'!A235</f>
        <v>08/2035</v>
      </c>
      <c r="B241" s="51">
        <f>'Liquids Type Curve'!A248</f>
        <v>18.838557465453324</v>
      </c>
      <c r="C241" s="51">
        <f>'Liquids Type Curve'!B248</f>
        <v>226.0626895854399</v>
      </c>
      <c r="D241" s="51">
        <f>'Liquids Type Curve'!C248</f>
        <v>4.3554415175748922</v>
      </c>
      <c r="E241" s="51">
        <f>'Liquids Type Curve'!D248</f>
        <v>132.4780128262363</v>
      </c>
      <c r="F241" s="51">
        <f>'Liquids Type Curve'!E248</f>
        <v>119792.97526467526</v>
      </c>
      <c r="G241" s="39"/>
      <c r="H241" s="51">
        <f t="shared" si="51"/>
        <v>18.838557465453324</v>
      </c>
      <c r="I241" s="39">
        <f t="shared" si="52"/>
        <v>226.0626895854399</v>
      </c>
      <c r="J241" s="51">
        <f t="shared" si="53"/>
        <v>1.0017515490422253</v>
      </c>
      <c r="K241" s="51">
        <f t="shared" si="54"/>
        <v>30.469942950034348</v>
      </c>
      <c r="L241" s="51">
        <f t="shared" si="55"/>
        <v>27552.38431087531</v>
      </c>
      <c r="M241" s="39"/>
      <c r="N241" s="51">
        <f t="shared" si="56"/>
        <v>4.8443421015031234</v>
      </c>
      <c r="O241" s="85">
        <f>('Price Deck'!R235/$B$2)/'Price Deck'!M235</f>
        <v>542.82592825404117</v>
      </c>
      <c r="Q241" s="155">
        <f t="shared" si="57"/>
        <v>0.34359553775875273</v>
      </c>
      <c r="R241" s="155">
        <f t="shared" si="58"/>
        <v>0.1</v>
      </c>
      <c r="S241" s="155">
        <f t="shared" si="59"/>
        <v>0.47030228753658165</v>
      </c>
      <c r="T241" s="155">
        <f t="shared" si="60"/>
        <v>0.35230376053972268</v>
      </c>
      <c r="U241" s="155">
        <f t="shared" si="61"/>
        <v>0.34359553775875273</v>
      </c>
      <c r="W241" s="155">
        <f t="shared" si="62"/>
        <v>-0.25536013816297082</v>
      </c>
      <c r="X241" s="157">
        <f t="shared" si="63"/>
        <v>8.8235399595781916E-2</v>
      </c>
      <c r="Y241" s="155">
        <f t="shared" si="64"/>
        <v>8.8235399595781916E-2</v>
      </c>
      <c r="AA241" s="85">
        <f>'Price Deck'!R235/'Price Deck'!M235</f>
        <v>86.30257373112677</v>
      </c>
      <c r="AB241" s="85">
        <f t="shared" si="65"/>
        <v>2629.6344980285658</v>
      </c>
      <c r="AC241" s="85">
        <f t="shared" si="66"/>
        <v>232.02685072440389</v>
      </c>
      <c r="AD241" s="85">
        <f t="shared" si="67"/>
        <v>7.6149420793104019</v>
      </c>
    </row>
    <row r="242" spans="1:30">
      <c r="A242" s="164" t="str">
        <f>'Price Deck'!A236</f>
        <v>09/2035</v>
      </c>
      <c r="B242" s="51">
        <f>'Liquids Type Curve'!A249</f>
        <v>18.921890798786656</v>
      </c>
      <c r="C242" s="51">
        <f>'Liquids Type Curve'!B249</f>
        <v>227.06268958543987</v>
      </c>
      <c r="D242" s="51">
        <f>'Liquids Type Curve'!C249</f>
        <v>4.3375599738573545</v>
      </c>
      <c r="E242" s="51">
        <f>'Liquids Type Curve'!D249</f>
        <v>131.93411587149453</v>
      </c>
      <c r="F242" s="51">
        <f>'Liquids Type Curve'!E249</f>
        <v>119924.90938054676</v>
      </c>
      <c r="G242" s="39"/>
      <c r="H242" s="51">
        <f t="shared" si="51"/>
        <v>18.921890798786656</v>
      </c>
      <c r="I242" s="39">
        <f t="shared" si="52"/>
        <v>227.06268958543987</v>
      </c>
      <c r="J242" s="51">
        <f t="shared" si="53"/>
        <v>0.99763879398719157</v>
      </c>
      <c r="K242" s="51">
        <f t="shared" si="54"/>
        <v>30.344846650443742</v>
      </c>
      <c r="L242" s="51">
        <f t="shared" si="55"/>
        <v>27582.729157525755</v>
      </c>
      <c r="M242" s="39"/>
      <c r="N242" s="51">
        <f t="shared" si="56"/>
        <v>4.8244533451689628</v>
      </c>
      <c r="O242" s="85">
        <f>('Price Deck'!R236/$B$2)/'Price Deck'!M236</f>
        <v>542.82592825404117</v>
      </c>
      <c r="Q242" s="155">
        <f t="shared" si="57"/>
        <v>0.34359553775875273</v>
      </c>
      <c r="R242" s="155">
        <f t="shared" si="58"/>
        <v>0.1</v>
      </c>
      <c r="S242" s="155">
        <f t="shared" si="59"/>
        <v>0.47030228753658165</v>
      </c>
      <c r="T242" s="155">
        <f t="shared" si="60"/>
        <v>0.35230376053972268</v>
      </c>
      <c r="U242" s="155">
        <f t="shared" si="61"/>
        <v>0.34359553775875273</v>
      </c>
      <c r="W242" s="155">
        <f t="shared" si="62"/>
        <v>-0.25538698798402193</v>
      </c>
      <c r="X242" s="157">
        <f t="shared" si="63"/>
        <v>8.8208549774730804E-2</v>
      </c>
      <c r="Y242" s="155">
        <f t="shared" si="64"/>
        <v>8.8208549774730804E-2</v>
      </c>
      <c r="AA242" s="85">
        <f>'Price Deck'!R236/'Price Deck'!M236</f>
        <v>86.30257373112677</v>
      </c>
      <c r="AB242" s="85">
        <f t="shared" si="65"/>
        <v>2618.838365409656</v>
      </c>
      <c r="AC242" s="85">
        <f t="shared" si="66"/>
        <v>231.00393430721229</v>
      </c>
      <c r="AD242" s="85">
        <f t="shared" si="67"/>
        <v>7.6126248706494701</v>
      </c>
    </row>
    <row r="243" spans="1:30">
      <c r="A243" s="164" t="str">
        <f>'Price Deck'!A237</f>
        <v>10/2035</v>
      </c>
      <c r="B243" s="51">
        <f>'Liquids Type Curve'!A250</f>
        <v>19.005224132119988</v>
      </c>
      <c r="C243" s="51">
        <f>'Liquids Type Curve'!B250</f>
        <v>228.06268958543984</v>
      </c>
      <c r="D243" s="51">
        <f>'Liquids Type Curve'!C250</f>
        <v>4.3198299399863549</v>
      </c>
      <c r="E243" s="51">
        <f>'Liquids Type Curve'!D250</f>
        <v>131.39482734125164</v>
      </c>
      <c r="F243" s="51">
        <f>'Liquids Type Curve'!E250</f>
        <v>120056.30420788801</v>
      </c>
      <c r="G243" s="39"/>
      <c r="H243" s="51">
        <f t="shared" si="51"/>
        <v>19.005224132119988</v>
      </c>
      <c r="I243" s="39">
        <f t="shared" si="52"/>
        <v>228.06268958543984</v>
      </c>
      <c r="J243" s="51">
        <f t="shared" si="53"/>
        <v>0.99356088619686167</v>
      </c>
      <c r="K243" s="51">
        <f t="shared" si="54"/>
        <v>30.220810288487879</v>
      </c>
      <c r="L243" s="51">
        <f t="shared" si="55"/>
        <v>27612.949967814242</v>
      </c>
      <c r="M243" s="39"/>
      <c r="N243" s="51">
        <f t="shared" si="56"/>
        <v>4.8047331057407039</v>
      </c>
      <c r="O243" s="85">
        <f>('Price Deck'!R237/$B$2)/'Price Deck'!M237</f>
        <v>542.82592825404117</v>
      </c>
      <c r="Q243" s="155">
        <f t="shared" si="57"/>
        <v>0.34359553775875273</v>
      </c>
      <c r="R243" s="155">
        <f t="shared" si="58"/>
        <v>0.1</v>
      </c>
      <c r="S243" s="155">
        <f t="shared" si="59"/>
        <v>0.47030228753658165</v>
      </c>
      <c r="T243" s="155">
        <f t="shared" si="60"/>
        <v>0.35230376053972268</v>
      </c>
      <c r="U243" s="155">
        <f t="shared" si="61"/>
        <v>0.34359553775875273</v>
      </c>
      <c r="W243" s="155">
        <f t="shared" si="62"/>
        <v>-0.25541361030725007</v>
      </c>
      <c r="X243" s="157">
        <f t="shared" si="63"/>
        <v>8.8181927451502662E-2</v>
      </c>
      <c r="Y243" s="155">
        <f t="shared" si="64"/>
        <v>8.8181927451502662E-2</v>
      </c>
      <c r="AA243" s="85">
        <f>'Price Deck'!R237/'Price Deck'!M237</f>
        <v>86.30257373112677</v>
      </c>
      <c r="AB243" s="85">
        <f t="shared" si="65"/>
        <v>2608.1337081366196</v>
      </c>
      <c r="AC243" s="85">
        <f t="shared" si="66"/>
        <v>229.990257434722</v>
      </c>
      <c r="AD243" s="85">
        <f t="shared" si="67"/>
        <v>7.6103272956361794</v>
      </c>
    </row>
    <row r="244" spans="1:30">
      <c r="A244" s="164" t="str">
        <f>'Price Deck'!A238</f>
        <v>11/2035</v>
      </c>
      <c r="B244" s="51">
        <f>'Liquids Type Curve'!A251</f>
        <v>19.08855746545332</v>
      </c>
      <c r="C244" s="51">
        <f>'Liquids Type Curve'!B251</f>
        <v>229.06268958543984</v>
      </c>
      <c r="D244" s="51">
        <f>'Liquids Type Curve'!C251</f>
        <v>4.3022494762956418</v>
      </c>
      <c r="E244" s="51">
        <f>'Liquids Type Curve'!D251</f>
        <v>130.86008823732578</v>
      </c>
      <c r="F244" s="51">
        <f>'Liquids Type Curve'!E251</f>
        <v>120187.16429612534</v>
      </c>
      <c r="G244" s="39"/>
      <c r="H244" s="51">
        <f t="shared" si="51"/>
        <v>19.08855746545332</v>
      </c>
      <c r="I244" s="39">
        <f t="shared" si="52"/>
        <v>229.06268958543984</v>
      </c>
      <c r="J244" s="51">
        <f t="shared" si="53"/>
        <v>0.98951737954799768</v>
      </c>
      <c r="K244" s="51">
        <f t="shared" si="54"/>
        <v>30.097820294584931</v>
      </c>
      <c r="L244" s="51">
        <f t="shared" si="55"/>
        <v>27643.04778810883</v>
      </c>
      <c r="M244" s="39"/>
      <c r="N244" s="51">
        <f t="shared" si="56"/>
        <v>4.785179225823545</v>
      </c>
      <c r="O244" s="85">
        <f>('Price Deck'!R238/$B$2)/'Price Deck'!M238</f>
        <v>542.82592825404117</v>
      </c>
      <c r="Q244" s="155">
        <f t="shared" si="57"/>
        <v>0.34359553775875273</v>
      </c>
      <c r="R244" s="155">
        <f t="shared" si="58"/>
        <v>0.1</v>
      </c>
      <c r="S244" s="155">
        <f t="shared" si="59"/>
        <v>0.47030228753658165</v>
      </c>
      <c r="T244" s="155">
        <f t="shared" si="60"/>
        <v>0.35230376053972268</v>
      </c>
      <c r="U244" s="155">
        <f t="shared" si="61"/>
        <v>0.34359553775875273</v>
      </c>
      <c r="W244" s="155">
        <f t="shared" si="62"/>
        <v>-0.25544000804513822</v>
      </c>
      <c r="X244" s="157">
        <f t="shared" si="63"/>
        <v>8.8155529713614511E-2</v>
      </c>
      <c r="Y244" s="155">
        <f t="shared" si="64"/>
        <v>8.8155529713614511E-2</v>
      </c>
      <c r="AA244" s="85">
        <f>'Price Deck'!R238/'Price Deck'!M238</f>
        <v>86.30257373112677</v>
      </c>
      <c r="AB244" s="85">
        <f t="shared" si="65"/>
        <v>2597.5193551196198</v>
      </c>
      <c r="AC244" s="85">
        <f t="shared" si="66"/>
        <v>228.98569469193646</v>
      </c>
      <c r="AD244" s="85">
        <f t="shared" si="67"/>
        <v>7.6080491029157535</v>
      </c>
    </row>
    <row r="245" spans="1:30">
      <c r="A245" s="164" t="str">
        <f>'Price Deck'!A239</f>
        <v>01/2035</v>
      </c>
      <c r="B245" s="51">
        <f>'Liquids Type Curve'!A252</f>
        <v>19.171890798786652</v>
      </c>
      <c r="C245" s="51">
        <f>'Liquids Type Curve'!B252</f>
        <v>230.06268958543984</v>
      </c>
      <c r="D245" s="51">
        <f>'Liquids Type Curve'!C252</f>
        <v>4.2848166762753888</v>
      </c>
      <c r="E245" s="51">
        <f>'Liquids Type Curve'!D252</f>
        <v>130.32984057004307</v>
      </c>
      <c r="F245" s="51">
        <f>'Liquids Type Curve'!E252</f>
        <v>120317.49413669539</v>
      </c>
      <c r="G245" s="39"/>
      <c r="H245" s="51">
        <f t="shared" si="51"/>
        <v>19.171890798786652</v>
      </c>
      <c r="I245" s="39">
        <f t="shared" si="52"/>
        <v>230.06268958543984</v>
      </c>
      <c r="J245" s="51">
        <f t="shared" si="53"/>
        <v>0.98550783554333943</v>
      </c>
      <c r="K245" s="51">
        <f t="shared" si="54"/>
        <v>29.97586333110991</v>
      </c>
      <c r="L245" s="51">
        <f t="shared" si="55"/>
        <v>27673.02365143994</v>
      </c>
      <c r="M245" s="39"/>
      <c r="N245" s="51">
        <f t="shared" si="56"/>
        <v>4.7657895849009364</v>
      </c>
      <c r="O245" s="85">
        <f>('Price Deck'!R239/$B$2)/'Price Deck'!M239</f>
        <v>542.82592825404117</v>
      </c>
      <c r="Q245" s="155">
        <f t="shared" si="57"/>
        <v>0.34359553775875273</v>
      </c>
      <c r="R245" s="155">
        <f t="shared" si="58"/>
        <v>0.1</v>
      </c>
      <c r="S245" s="155">
        <f t="shared" si="59"/>
        <v>0.47030228753658165</v>
      </c>
      <c r="T245" s="155">
        <f t="shared" si="60"/>
        <v>0.35230376053972268</v>
      </c>
      <c r="U245" s="155">
        <f t="shared" si="61"/>
        <v>0.34359553775875273</v>
      </c>
      <c r="W245" s="155">
        <f t="shared" si="62"/>
        <v>-0.25546618406038374</v>
      </c>
      <c r="X245" s="157">
        <f t="shared" si="63"/>
        <v>8.8129353698368995E-2</v>
      </c>
      <c r="Y245" s="155">
        <f t="shared" si="64"/>
        <v>8.8129353698368995E-2</v>
      </c>
      <c r="AA245" s="85">
        <f>'Price Deck'!R239/'Price Deck'!M239</f>
        <v>86.30257373112677</v>
      </c>
      <c r="AB245" s="85">
        <f t="shared" si="65"/>
        <v>2586.9941552872924</v>
      </c>
      <c r="AC245" s="85">
        <f t="shared" si="66"/>
        <v>227.99012292692711</v>
      </c>
      <c r="AD245" s="85">
        <f t="shared" si="67"/>
        <v>7.60579004543004</v>
      </c>
    </row>
    <row r="246" spans="1:30">
      <c r="A246" s="164" t="str">
        <f>'Price Deck'!A240</f>
        <v>02/2035</v>
      </c>
      <c r="B246" s="51">
        <f>'Liquids Type Curve'!A253</f>
        <v>19.255224132119984</v>
      </c>
      <c r="C246" s="51">
        <f>'Liquids Type Curve'!B253</f>
        <v>231.06268958543981</v>
      </c>
      <c r="D246" s="51">
        <f>'Liquids Type Curve'!C253</f>
        <v>4.2675296658643314</v>
      </c>
      <c r="E246" s="51">
        <f>'Liquids Type Curve'!D253</f>
        <v>129.80402733670675</v>
      </c>
      <c r="F246" s="51">
        <f>'Liquids Type Curve'!E253</f>
        <v>120447.29816403209</v>
      </c>
      <c r="G246" s="39"/>
      <c r="H246" s="51">
        <f t="shared" si="51"/>
        <v>19.255224132119984</v>
      </c>
      <c r="I246" s="39">
        <f t="shared" si="52"/>
        <v>231.06268958543981</v>
      </c>
      <c r="J246" s="51">
        <f t="shared" si="53"/>
        <v>0.98153182314879628</v>
      </c>
      <c r="K246" s="51">
        <f t="shared" si="54"/>
        <v>29.854926287442556</v>
      </c>
      <c r="L246" s="51">
        <f t="shared" si="55"/>
        <v>27702.878577727384</v>
      </c>
      <c r="M246" s="39"/>
      <c r="N246" s="51">
        <f t="shared" si="56"/>
        <v>4.7465620985472601</v>
      </c>
      <c r="O246" s="85">
        <f>('Price Deck'!R240/$B$2)/'Price Deck'!M240</f>
        <v>542.82592825404117</v>
      </c>
      <c r="Q246" s="155">
        <f t="shared" si="57"/>
        <v>0.34359553775875273</v>
      </c>
      <c r="R246" s="155">
        <f t="shared" si="58"/>
        <v>0.1</v>
      </c>
      <c r="S246" s="155">
        <f t="shared" si="59"/>
        <v>0.47030228753658165</v>
      </c>
      <c r="T246" s="155">
        <f t="shared" si="60"/>
        <v>0.35230376053972268</v>
      </c>
      <c r="U246" s="155">
        <f t="shared" si="61"/>
        <v>0.34359553775875273</v>
      </c>
      <c r="W246" s="155">
        <f t="shared" si="62"/>
        <v>-0.25549214116696123</v>
      </c>
      <c r="X246" s="157">
        <f t="shared" si="63"/>
        <v>8.8103396591791505E-2</v>
      </c>
      <c r="Y246" s="155">
        <f t="shared" si="64"/>
        <v>8.8103396591791505E-2</v>
      </c>
      <c r="AA246" s="85">
        <f>'Price Deck'!R240/'Price Deck'!M240</f>
        <v>86.30257373112677</v>
      </c>
      <c r="AB246" s="85">
        <f t="shared" si="65"/>
        <v>2576.5569771593659</v>
      </c>
      <c r="AC246" s="85">
        <f t="shared" si="66"/>
        <v>227.00342120001909</v>
      </c>
      <c r="AD246" s="85">
        <f t="shared" si="67"/>
        <v>7.6035498803257884</v>
      </c>
    </row>
    <row r="247" spans="1:30">
      <c r="A247" s="164" t="str">
        <f>'Price Deck'!A241</f>
        <v>03/2035</v>
      </c>
      <c r="B247" s="51">
        <f>'Liquids Type Curve'!A254</f>
        <v>19.338557465453317</v>
      </c>
      <c r="C247" s="51">
        <f>'Liquids Type Curve'!B254</f>
        <v>232.06268958543978</v>
      </c>
      <c r="D247" s="51">
        <f>'Liquids Type Curve'!C254</f>
        <v>4.250386602760079</v>
      </c>
      <c r="E247" s="51">
        <f>'Liquids Type Curve'!D254</f>
        <v>129.28259250061907</v>
      </c>
      <c r="F247" s="51">
        <f>'Liquids Type Curve'!E254</f>
        <v>120576.58075653271</v>
      </c>
      <c r="G247" s="39"/>
      <c r="H247" s="51">
        <f t="shared" si="51"/>
        <v>19.338557465453317</v>
      </c>
      <c r="I247" s="39">
        <f t="shared" si="52"/>
        <v>232.06268958543978</v>
      </c>
      <c r="J247" s="51">
        <f t="shared" si="53"/>
        <v>0.97758891863481823</v>
      </c>
      <c r="K247" s="51">
        <f t="shared" si="54"/>
        <v>29.73499627514239</v>
      </c>
      <c r="L247" s="51">
        <f t="shared" si="55"/>
        <v>27732.613574002524</v>
      </c>
      <c r="M247" s="39"/>
      <c r="N247" s="51">
        <f t="shared" si="56"/>
        <v>4.7274947176607185</v>
      </c>
      <c r="O247" s="85">
        <f>('Price Deck'!R241/$B$2)/'Price Deck'!M241</f>
        <v>550.96831717785165</v>
      </c>
      <c r="Q247" s="155">
        <f t="shared" si="57"/>
        <v>0.34611967832513396</v>
      </c>
      <c r="R247" s="155">
        <f t="shared" si="58"/>
        <v>0.1</v>
      </c>
      <c r="S247" s="155">
        <f t="shared" si="59"/>
        <v>0.47852610034963017</v>
      </c>
      <c r="T247" s="155">
        <f t="shared" si="60"/>
        <v>0.3567820744478184</v>
      </c>
      <c r="U247" s="155">
        <f t="shared" si="61"/>
        <v>0.34611967832513396</v>
      </c>
      <c r="W247" s="155">
        <f t="shared" si="62"/>
        <v>-0.25551788213115806</v>
      </c>
      <c r="X247" s="157">
        <f t="shared" si="63"/>
        <v>9.0601796193975903E-2</v>
      </c>
      <c r="Y247" s="155">
        <f t="shared" si="64"/>
        <v>9.0601796193975903E-2</v>
      </c>
      <c r="AA247" s="85">
        <f>'Price Deck'!R241/'Price Deck'!M241</f>
        <v>87.597112337093648</v>
      </c>
      <c r="AB247" s="85">
        <f t="shared" si="65"/>
        <v>2604.699809056709</v>
      </c>
      <c r="AC247" s="85">
        <f t="shared" si="66"/>
        <v>235.9904812466439</v>
      </c>
      <c r="AD247" s="85">
        <f t="shared" si="67"/>
        <v>7.9364557191461707</v>
      </c>
    </row>
    <row r="248" spans="1:30">
      <c r="A248" s="164" t="str">
        <f>'Price Deck'!A242</f>
        <v>04/2035</v>
      </c>
      <c r="B248" s="51">
        <f>'Liquids Type Curve'!A255</f>
        <v>19.421890798786649</v>
      </c>
      <c r="C248" s="51">
        <f>'Liquids Type Curve'!B255</f>
        <v>233.06268958543978</v>
      </c>
      <c r="D248" s="51">
        <f>'Liquids Type Curve'!C255</f>
        <v>4.2333856757468737</v>
      </c>
      <c r="E248" s="51">
        <f>'Liquids Type Curve'!D255</f>
        <v>128.76548097063409</v>
      </c>
      <c r="F248" s="51">
        <f>'Liquids Type Curve'!E255</f>
        <v>120705.34623750334</v>
      </c>
      <c r="G248" s="39"/>
      <c r="H248" s="51">
        <f t="shared" si="51"/>
        <v>19.421890798786649</v>
      </c>
      <c r="I248" s="39">
        <f t="shared" si="52"/>
        <v>233.06268958543978</v>
      </c>
      <c r="J248" s="51">
        <f t="shared" si="53"/>
        <v>0.97367870542178103</v>
      </c>
      <c r="K248" s="51">
        <f t="shared" si="54"/>
        <v>29.61606062324584</v>
      </c>
      <c r="L248" s="51">
        <f t="shared" si="55"/>
        <v>27762.229634625768</v>
      </c>
      <c r="M248" s="39"/>
      <c r="N248" s="51">
        <f t="shared" si="56"/>
        <v>4.7085854277156409</v>
      </c>
      <c r="O248" s="85">
        <f>('Price Deck'!R242/$B$2)/'Price Deck'!M242</f>
        <v>550.96831717785165</v>
      </c>
      <c r="Q248" s="155">
        <f t="shared" si="57"/>
        <v>0.34611967832513396</v>
      </c>
      <c r="R248" s="155">
        <f t="shared" si="58"/>
        <v>0.1</v>
      </c>
      <c r="S248" s="155">
        <f t="shared" si="59"/>
        <v>0.47852610034963017</v>
      </c>
      <c r="T248" s="155">
        <f t="shared" si="60"/>
        <v>0.3567820744478184</v>
      </c>
      <c r="U248" s="155">
        <f t="shared" si="61"/>
        <v>0.34611967832513396</v>
      </c>
      <c r="W248" s="155">
        <f t="shared" si="62"/>
        <v>-0.25554340967258393</v>
      </c>
      <c r="X248" s="157">
        <f t="shared" si="63"/>
        <v>9.0576268652550029E-2</v>
      </c>
      <c r="Y248" s="155">
        <f t="shared" si="64"/>
        <v>9.0576268652550029E-2</v>
      </c>
      <c r="AA248" s="85">
        <f>'Price Deck'!R242/'Price Deck'!M242</f>
        <v>87.597112337093648</v>
      </c>
      <c r="AB248" s="85">
        <f t="shared" si="65"/>
        <v>2594.2813893966418</v>
      </c>
      <c r="AC248" s="85">
        <f t="shared" si="66"/>
        <v>234.98032808630097</v>
      </c>
      <c r="AD248" s="85">
        <f t="shared" si="67"/>
        <v>7.9342195802321989</v>
      </c>
    </row>
    <row r="249" spans="1:30">
      <c r="A249" s="164" t="str">
        <f>'Price Deck'!A243</f>
        <v>05/2035</v>
      </c>
      <c r="B249" s="51">
        <f>'Liquids Type Curve'!A256</f>
        <v>19.505224132119981</v>
      </c>
      <c r="C249" s="51">
        <f>'Liquids Type Curve'!B256</f>
        <v>234.06268958543978</v>
      </c>
      <c r="D249" s="51">
        <f>'Liquids Type Curve'!C256</f>
        <v>4.2165251040404943</v>
      </c>
      <c r="E249" s="51">
        <f>'Liquids Type Curve'!D256</f>
        <v>128.25263858123171</v>
      </c>
      <c r="F249" s="51">
        <f>'Liquids Type Curve'!E256</f>
        <v>120833.59887608458</v>
      </c>
      <c r="G249" s="39"/>
      <c r="H249" s="51">
        <f t="shared" si="51"/>
        <v>19.505224132119981</v>
      </c>
      <c r="I249" s="39">
        <f t="shared" si="52"/>
        <v>234.06268958543978</v>
      </c>
      <c r="J249" s="51">
        <f t="shared" si="53"/>
        <v>0.96980077392931374</v>
      </c>
      <c r="K249" s="51">
        <f t="shared" si="54"/>
        <v>29.498106873683295</v>
      </c>
      <c r="L249" s="51">
        <f t="shared" si="55"/>
        <v>27791.727741499453</v>
      </c>
      <c r="M249" s="39"/>
      <c r="N249" s="51">
        <f t="shared" si="56"/>
        <v>4.6898322480338477</v>
      </c>
      <c r="O249" s="85">
        <f>('Price Deck'!R243/$B$2)/'Price Deck'!M243</f>
        <v>550.96831717785165</v>
      </c>
      <c r="Q249" s="155">
        <f t="shared" si="57"/>
        <v>0.34611967832513396</v>
      </c>
      <c r="R249" s="155">
        <f t="shared" si="58"/>
        <v>0.1</v>
      </c>
      <c r="S249" s="155">
        <f t="shared" si="59"/>
        <v>0.47852610034963017</v>
      </c>
      <c r="T249" s="155">
        <f t="shared" si="60"/>
        <v>0.3567820744478184</v>
      </c>
      <c r="U249" s="155">
        <f t="shared" si="61"/>
        <v>0.34611967832513396</v>
      </c>
      <c r="W249" s="155">
        <f t="shared" si="62"/>
        <v>-0.25556872646515433</v>
      </c>
      <c r="X249" s="157">
        <f t="shared" si="63"/>
        <v>9.0550951859979634E-2</v>
      </c>
      <c r="Y249" s="155">
        <f t="shared" si="64"/>
        <v>9.0550951859979634E-2</v>
      </c>
      <c r="AA249" s="85">
        <f>'Price Deck'!R243/'Price Deck'!M243</f>
        <v>87.597112337093648</v>
      </c>
      <c r="AB249" s="85">
        <f t="shared" si="65"/>
        <v>2583.94898154563</v>
      </c>
      <c r="AC249" s="85">
        <f t="shared" si="66"/>
        <v>233.97903983658173</v>
      </c>
      <c r="AD249" s="85">
        <f t="shared" si="67"/>
        <v>7.9320019023093948</v>
      </c>
    </row>
    <row r="250" spans="1:30">
      <c r="A250" s="164" t="str">
        <f>'Price Deck'!A244</f>
        <v>06/2035</v>
      </c>
      <c r="B250" s="51">
        <f>'Liquids Type Curve'!A257</f>
        <v>19.588557465453313</v>
      </c>
      <c r="C250" s="51">
        <f>'Liquids Type Curve'!B257</f>
        <v>235.06268958543976</v>
      </c>
      <c r="D250" s="51">
        <f>'Liquids Type Curve'!C257</f>
        <v>4.1998031366496411</v>
      </c>
      <c r="E250" s="51">
        <f>'Liquids Type Curve'!D257</f>
        <v>127.74401207309326</v>
      </c>
      <c r="F250" s="51">
        <f>'Liquids Type Curve'!E257</f>
        <v>120961.34288815767</v>
      </c>
      <c r="G250" s="39"/>
      <c r="H250" s="51">
        <f t="shared" si="51"/>
        <v>19.588557465453313</v>
      </c>
      <c r="I250" s="39">
        <f t="shared" si="52"/>
        <v>235.06268958543976</v>
      </c>
      <c r="J250" s="51">
        <f t="shared" si="53"/>
        <v>0.96595472142941752</v>
      </c>
      <c r="K250" s="51">
        <f t="shared" si="54"/>
        <v>29.381122776811452</v>
      </c>
      <c r="L250" s="51">
        <f t="shared" si="55"/>
        <v>27821.108864276266</v>
      </c>
      <c r="M250" s="39"/>
      <c r="N250" s="51">
        <f t="shared" si="56"/>
        <v>4.6712332310743507</v>
      </c>
      <c r="O250" s="85">
        <f>('Price Deck'!R244/$B$2)/'Price Deck'!M244</f>
        <v>550.96831717785165</v>
      </c>
      <c r="Q250" s="155">
        <f t="shared" si="57"/>
        <v>0.34611967832513396</v>
      </c>
      <c r="R250" s="155">
        <f t="shared" si="58"/>
        <v>0.1</v>
      </c>
      <c r="S250" s="155">
        <f t="shared" si="59"/>
        <v>0.47852610034963017</v>
      </c>
      <c r="T250" s="155">
        <f t="shared" si="60"/>
        <v>0.3567820744478184</v>
      </c>
      <c r="U250" s="155">
        <f t="shared" si="61"/>
        <v>0.34611967832513396</v>
      </c>
      <c r="W250" s="155">
        <f t="shared" si="62"/>
        <v>-0.25559383513804962</v>
      </c>
      <c r="X250" s="157">
        <f t="shared" si="63"/>
        <v>9.0525843187084343E-2</v>
      </c>
      <c r="Y250" s="155">
        <f t="shared" si="64"/>
        <v>9.0525843187084343E-2</v>
      </c>
      <c r="AA250" s="85">
        <f>'Price Deck'!R244/'Price Deck'!M244</f>
        <v>87.597112337093648</v>
      </c>
      <c r="AB250" s="85">
        <f t="shared" si="65"/>
        <v>2573.7015124702934</v>
      </c>
      <c r="AC250" s="85">
        <f t="shared" si="66"/>
        <v>232.98649952824758</v>
      </c>
      <c r="AD250" s="85">
        <f t="shared" si="67"/>
        <v>7.9298024550691499</v>
      </c>
    </row>
    <row r="251" spans="1:30">
      <c r="A251" s="164" t="str">
        <f>'Price Deck'!A245</f>
        <v>07/2035</v>
      </c>
      <c r="B251" s="51">
        <f>'Liquids Type Curve'!A258</f>
        <v>19.671890798786645</v>
      </c>
      <c r="C251" s="51">
        <f>'Liquids Type Curve'!B258</f>
        <v>236.06268958543973</v>
      </c>
      <c r="D251" s="51">
        <f>'Liquids Type Curve'!C258</f>
        <v>4.1832180517533475</v>
      </c>
      <c r="E251" s="51">
        <f>'Liquids Type Curve'!D258</f>
        <v>127.23954907416433</v>
      </c>
      <c r="F251" s="51">
        <f>'Liquids Type Curve'!E258</f>
        <v>121088.58243723183</v>
      </c>
      <c r="G251" s="39"/>
      <c r="H251" s="51">
        <f t="shared" ref="H251:H255" si="68">B251</f>
        <v>19.671890798786645</v>
      </c>
      <c r="I251" s="39">
        <f t="shared" ref="I251:I255" si="69">C251</f>
        <v>236.06268958543973</v>
      </c>
      <c r="J251" s="51">
        <f t="shared" si="53"/>
        <v>0.96214015190326996</v>
      </c>
      <c r="K251" s="51">
        <f t="shared" si="54"/>
        <v>29.265096287057798</v>
      </c>
      <c r="L251" s="51">
        <f t="shared" si="55"/>
        <v>27850.373960563324</v>
      </c>
      <c r="M251" s="39"/>
      <c r="N251" s="51">
        <f t="shared" si="56"/>
        <v>4.6527864617408818</v>
      </c>
      <c r="O251" s="85">
        <f>('Price Deck'!R245/$B$2)/'Price Deck'!M245</f>
        <v>550.96831717785165</v>
      </c>
      <c r="Q251" s="155">
        <f t="shared" si="57"/>
        <v>0.34611967832513396</v>
      </c>
      <c r="R251" s="155">
        <f t="shared" si="58"/>
        <v>0.1</v>
      </c>
      <c r="S251" s="155">
        <f t="shared" si="59"/>
        <v>0.47852610034963017</v>
      </c>
      <c r="T251" s="155">
        <f t="shared" si="60"/>
        <v>0.3567820744478184</v>
      </c>
      <c r="U251" s="155">
        <f t="shared" si="61"/>
        <v>0.34611967832513396</v>
      </c>
      <c r="W251" s="155">
        <f t="shared" si="62"/>
        <v>-0.25561873827664983</v>
      </c>
      <c r="X251" s="157">
        <f t="shared" si="63"/>
        <v>9.0500940048484135E-2</v>
      </c>
      <c r="Y251" s="155">
        <f t="shared" si="64"/>
        <v>9.0500940048484135E-2</v>
      </c>
      <c r="AA251" s="85">
        <f>'Price Deck'!R245/'Price Deck'!M245</f>
        <v>87.597112337093648</v>
      </c>
      <c r="AB251" s="85">
        <f t="shared" si="65"/>
        <v>2563.5379270132639</v>
      </c>
      <c r="AC251" s="85">
        <f t="shared" si="66"/>
        <v>232.0025922446427</v>
      </c>
      <c r="AD251" s="85">
        <f t="shared" si="67"/>
        <v>7.9276210120396415</v>
      </c>
    </row>
    <row r="252" spans="1:30">
      <c r="A252" s="164" t="str">
        <f>'Price Deck'!A246</f>
        <v>08/2035</v>
      </c>
      <c r="B252" s="51">
        <f>'Liquids Type Curve'!A259</f>
        <v>19.755224132119977</v>
      </c>
      <c r="C252" s="51">
        <f>'Liquids Type Curve'!B259</f>
        <v>237.06268958543973</v>
      </c>
      <c r="D252" s="51">
        <f>'Liquids Type Curve'!C259</f>
        <v>4.1667681560940659</v>
      </c>
      <c r="E252" s="51">
        <f>'Liquids Type Curve'!D259</f>
        <v>126.73919808119452</v>
      </c>
      <c r="F252" s="51">
        <f>'Liquids Type Curve'!E259</f>
        <v>121215.32163531303</v>
      </c>
      <c r="G252" s="39"/>
      <c r="H252" s="51">
        <f t="shared" si="68"/>
        <v>19.755224132119977</v>
      </c>
      <c r="I252" s="39">
        <f t="shared" si="69"/>
        <v>237.06268958543973</v>
      </c>
      <c r="J252" s="51">
        <f t="shared" si="53"/>
        <v>0.9583566759016352</v>
      </c>
      <c r="K252" s="51">
        <f t="shared" si="54"/>
        <v>29.150015558674738</v>
      </c>
      <c r="L252" s="51">
        <f t="shared" si="55"/>
        <v>27879.523976121996</v>
      </c>
      <c r="M252" s="39"/>
      <c r="N252" s="51">
        <f t="shared" si="56"/>
        <v>4.6344900567068485</v>
      </c>
      <c r="O252" s="85">
        <f>('Price Deck'!R246/$B$2)/'Price Deck'!M246</f>
        <v>550.96831717785165</v>
      </c>
      <c r="Q252" s="155">
        <f t="shared" si="57"/>
        <v>0.34611967832513396</v>
      </c>
      <c r="R252" s="155">
        <f t="shared" si="58"/>
        <v>0.1</v>
      </c>
      <c r="S252" s="155">
        <f t="shared" si="59"/>
        <v>0.47852610034963017</v>
      </c>
      <c r="T252" s="155">
        <f t="shared" si="60"/>
        <v>0.3567820744478184</v>
      </c>
      <c r="U252" s="155">
        <f t="shared" si="61"/>
        <v>0.34611967832513396</v>
      </c>
      <c r="W252" s="155">
        <f t="shared" si="62"/>
        <v>-0.25564343842344578</v>
      </c>
      <c r="X252" s="157">
        <f t="shared" si="63"/>
        <v>9.0476239901688182E-2</v>
      </c>
      <c r="Y252" s="155">
        <f t="shared" si="64"/>
        <v>9.0476239901688182E-2</v>
      </c>
      <c r="AA252" s="85">
        <f>'Price Deck'!R246/'Price Deck'!M246</f>
        <v>87.597112337093648</v>
      </c>
      <c r="AB252" s="85">
        <f t="shared" si="65"/>
        <v>2553.4571875212587</v>
      </c>
      <c r="AC252" s="85">
        <f t="shared" si="66"/>
        <v>231.0272050768634</v>
      </c>
      <c r="AD252" s="85">
        <f t="shared" si="67"/>
        <v>7.9254573505060151</v>
      </c>
    </row>
    <row r="253" spans="1:30">
      <c r="A253" s="164" t="str">
        <f>'Price Deck'!A247</f>
        <v>09/2035</v>
      </c>
      <c r="B253" s="51">
        <f>'Liquids Type Curve'!A260</f>
        <v>19.838557465453309</v>
      </c>
      <c r="C253" s="51">
        <f>'Liquids Type Curve'!B260</f>
        <v>238.06268958543973</v>
      </c>
      <c r="D253" s="51">
        <f>'Liquids Type Curve'!C260</f>
        <v>4.1504517843857558</v>
      </c>
      <c r="E253" s="51">
        <f>'Liquids Type Curve'!D260</f>
        <v>126.24290844173341</v>
      </c>
      <c r="F253" s="51">
        <f>'Liquids Type Curve'!E260</f>
        <v>121341.56454375476</v>
      </c>
      <c r="G253" s="39"/>
      <c r="H253" s="51">
        <f t="shared" si="68"/>
        <v>19.838557465453309</v>
      </c>
      <c r="I253" s="39">
        <f t="shared" si="69"/>
        <v>238.06268958543973</v>
      </c>
      <c r="J253" s="51">
        <f t="shared" si="53"/>
        <v>0.95460391040872383</v>
      </c>
      <c r="K253" s="51">
        <f t="shared" si="54"/>
        <v>29.035868941598686</v>
      </c>
      <c r="L253" s="51">
        <f t="shared" si="55"/>
        <v>27908.559845063595</v>
      </c>
      <c r="M253" s="39"/>
      <c r="N253" s="51">
        <f t="shared" si="56"/>
        <v>4.6163421637569853</v>
      </c>
      <c r="O253" s="85">
        <f>('Price Deck'!R247/$B$2)/'Price Deck'!M247</f>
        <v>550.96831717785165</v>
      </c>
      <c r="Q253" s="155">
        <f t="shared" si="57"/>
        <v>0.34611967832513396</v>
      </c>
      <c r="R253" s="155">
        <f t="shared" si="58"/>
        <v>0.1</v>
      </c>
      <c r="S253" s="155">
        <f t="shared" si="59"/>
        <v>0.47852610034963017</v>
      </c>
      <c r="T253" s="155">
        <f t="shared" si="60"/>
        <v>0.3567820744478184</v>
      </c>
      <c r="U253" s="155">
        <f t="shared" si="61"/>
        <v>0.34611967832513396</v>
      </c>
      <c r="W253" s="155">
        <f t="shared" si="62"/>
        <v>-0.25566793807892807</v>
      </c>
      <c r="X253" s="157">
        <f t="shared" si="63"/>
        <v>9.0451740246205892E-2</v>
      </c>
      <c r="Y253" s="155">
        <f t="shared" si="64"/>
        <v>9.0451740246205892E-2</v>
      </c>
      <c r="AA253" s="85">
        <f>'Price Deck'!R247/'Price Deck'!M247</f>
        <v>87.597112337093648</v>
      </c>
      <c r="AB253" s="85">
        <f t="shared" si="65"/>
        <v>2543.4582734823484</v>
      </c>
      <c r="AC253" s="85">
        <f t="shared" si="66"/>
        <v>230.06022708008868</v>
      </c>
      <c r="AD253" s="85">
        <f t="shared" si="67"/>
        <v>7.9233112514325112</v>
      </c>
    </row>
    <row r="254" spans="1:30">
      <c r="A254" s="164" t="str">
        <f>'Price Deck'!A248</f>
        <v>10/2035</v>
      </c>
      <c r="B254" s="51">
        <f>'Liquids Type Curve'!A261</f>
        <v>19.921890798786642</v>
      </c>
      <c r="C254" s="51">
        <f>'Liquids Type Curve'!B261</f>
        <v>239.0626895854397</v>
      </c>
      <c r="D254" s="51">
        <f>'Liquids Type Curve'!C261</f>
        <v>4.134267298736761</v>
      </c>
      <c r="E254" s="51">
        <f>'Liquids Type Curve'!D261</f>
        <v>125.75063033657649</v>
      </c>
      <c r="F254" s="51">
        <f>'Liquids Type Curve'!E261</f>
        <v>121467.31517409135</v>
      </c>
      <c r="G254" s="39"/>
      <c r="H254" s="51">
        <f t="shared" si="68"/>
        <v>19.921890798786642</v>
      </c>
      <c r="I254" s="39">
        <f t="shared" si="69"/>
        <v>239.0626895854397</v>
      </c>
      <c r="J254" s="51">
        <f t="shared" si="53"/>
        <v>0.95088147870945505</v>
      </c>
      <c r="K254" s="51">
        <f t="shared" si="54"/>
        <v>28.922644977412595</v>
      </c>
      <c r="L254" s="51">
        <f t="shared" si="55"/>
        <v>27937.482490041009</v>
      </c>
      <c r="M254" s="39"/>
      <c r="N254" s="51">
        <f t="shared" si="56"/>
        <v>4.5983409611454409</v>
      </c>
      <c r="O254" s="85">
        <f>('Price Deck'!R248/$B$2)/'Price Deck'!M248</f>
        <v>550.96831717785165</v>
      </c>
      <c r="Q254" s="155">
        <f t="shared" si="57"/>
        <v>0.34611967832513396</v>
      </c>
      <c r="R254" s="155">
        <f t="shared" si="58"/>
        <v>0.1</v>
      </c>
      <c r="S254" s="155">
        <f t="shared" si="59"/>
        <v>0.47852610034963017</v>
      </c>
      <c r="T254" s="155">
        <f t="shared" si="60"/>
        <v>0.3567820744478184</v>
      </c>
      <c r="U254" s="155">
        <f t="shared" si="61"/>
        <v>0.34611967832513396</v>
      </c>
      <c r="W254" s="155">
        <f t="shared" si="62"/>
        <v>-0.25569223970245364</v>
      </c>
      <c r="X254" s="157">
        <f t="shared" si="63"/>
        <v>9.0427438622680323E-2</v>
      </c>
      <c r="Y254" s="155">
        <f t="shared" si="64"/>
        <v>9.0427438622680323E-2</v>
      </c>
      <c r="AA254" s="85">
        <f>'Price Deck'!R248/'Price Deck'!M248</f>
        <v>87.597112337093648</v>
      </c>
      <c r="AB254" s="85">
        <f t="shared" si="65"/>
        <v>2533.5401811722886</v>
      </c>
      <c r="AC254" s="85">
        <f t="shared" si="66"/>
        <v>229.10154923105151</v>
      </c>
      <c r="AD254" s="85">
        <f t="shared" si="67"/>
        <v>7.9211824993865694</v>
      </c>
    </row>
    <row r="255" spans="1:30">
      <c r="A255" s="164" t="str">
        <f>'Price Deck'!A249</f>
        <v>11/2035</v>
      </c>
      <c r="B255" s="51">
        <f>'Liquids Type Curve'!A262</f>
        <v>20.005224132119974</v>
      </c>
      <c r="C255" s="51">
        <f>'Liquids Type Curve'!B262</f>
        <v>240.06268958543967</v>
      </c>
      <c r="D255" s="51">
        <f>'Liquids Type Curve'!C262</f>
        <v>4.1182130880868941</v>
      </c>
      <c r="E255" s="51">
        <f>'Liquids Type Curve'!D262</f>
        <v>125.26231476264303</v>
      </c>
      <c r="F255" s="51">
        <f>'Liquids Type Curve'!E262</f>
        <v>121592.57748885399</v>
      </c>
      <c r="G255" s="39"/>
      <c r="H255" s="51">
        <f t="shared" si="68"/>
        <v>20.005224132119974</v>
      </c>
      <c r="I255" s="39">
        <f t="shared" si="69"/>
        <v>240.06268958543967</v>
      </c>
      <c r="J255" s="51">
        <f t="shared" si="53"/>
        <v>0.9471890102599857</v>
      </c>
      <c r="K255" s="51">
        <f t="shared" si="54"/>
        <v>28.810332395407897</v>
      </c>
      <c r="L255" s="51">
        <f t="shared" si="55"/>
        <v>27966.292822436419</v>
      </c>
      <c r="M255" s="39"/>
      <c r="N255" s="51">
        <f t="shared" si="56"/>
        <v>4.5804846569696807</v>
      </c>
      <c r="O255" s="85">
        <f>('Price Deck'!R249/$B$2)/'Price Deck'!M249</f>
        <v>550.96831717785165</v>
      </c>
      <c r="Q255" s="155">
        <f t="shared" si="57"/>
        <v>0.34611967832513396</v>
      </c>
      <c r="R255" s="155">
        <f t="shared" si="58"/>
        <v>0.1</v>
      </c>
      <c r="S255" s="155">
        <f t="shared" si="59"/>
        <v>0.47852610034963017</v>
      </c>
      <c r="T255" s="155">
        <f t="shared" si="60"/>
        <v>0.3567820744478184</v>
      </c>
      <c r="U255" s="155">
        <f t="shared" si="61"/>
        <v>0.34611967832513396</v>
      </c>
      <c r="W255" s="155">
        <f t="shared" si="62"/>
        <v>-0.25571634571309093</v>
      </c>
      <c r="X255" s="157">
        <f t="shared" si="63"/>
        <v>9.040333261204303E-2</v>
      </c>
      <c r="Y255" s="155">
        <f t="shared" si="64"/>
        <v>9.040333261204303E-2</v>
      </c>
      <c r="AA255" s="85">
        <f>'Price Deck'!R249/'Price Deck'!M249</f>
        <v>87.597112337093648</v>
      </c>
      <c r="AB255" s="85">
        <f t="shared" si="65"/>
        <v>2523.7019233095539</v>
      </c>
      <c r="AC255" s="85">
        <f t="shared" si="66"/>
        <v>228.15106438660632</v>
      </c>
      <c r="AD255" s="85">
        <f t="shared" si="67"/>
        <v>7.9190708824647755</v>
      </c>
    </row>
  </sheetData>
  <mergeCells count="3">
    <mergeCell ref="E1:I1"/>
    <mergeCell ref="R9:U9"/>
    <mergeCell ref="J1:L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3"/>
  <dimension ref="A1:CW382"/>
  <sheetViews>
    <sheetView workbookViewId="0">
      <selection activeCell="D14" sqref="D14"/>
    </sheetView>
  </sheetViews>
  <sheetFormatPr defaultColWidth="11" defaultRowHeight="15.9"/>
  <cols>
    <col min="1" max="1" width="20" bestFit="1" customWidth="1"/>
    <col min="2" max="2" width="12.85546875" bestFit="1" customWidth="1"/>
    <col min="3" max="3" width="21.140625" bestFit="1" customWidth="1"/>
    <col min="4" max="4" width="23.85546875" bestFit="1" customWidth="1"/>
    <col min="5" max="5" width="25.35546875" bestFit="1" customWidth="1"/>
    <col min="6" max="6" width="23.5" bestFit="1" customWidth="1"/>
  </cols>
  <sheetData>
    <row r="1" spans="1:101">
      <c r="A1" s="35" t="s">
        <v>705</v>
      </c>
      <c r="C1" s="52"/>
      <c r="D1" s="52"/>
    </row>
    <row r="2" spans="1:101" ht="16.3" thickBot="1">
      <c r="C2" s="39"/>
      <c r="D2" s="53"/>
      <c r="F2" t="s">
        <v>697</v>
      </c>
      <c r="G2" s="44" t="s">
        <v>691</v>
      </c>
      <c r="H2" s="44">
        <v>0.52173913043478304</v>
      </c>
      <c r="I2" s="44">
        <v>0.92517694641051296</v>
      </c>
      <c r="J2" s="44">
        <v>1.4742163801819901</v>
      </c>
      <c r="K2" s="44">
        <v>2.0262891809908901</v>
      </c>
      <c r="L2" s="44">
        <v>2.57836198179979</v>
      </c>
      <c r="M2" s="44">
        <v>3.2699696663296201</v>
      </c>
      <c r="N2" s="44">
        <v>4.09807886754297</v>
      </c>
      <c r="O2" s="44">
        <v>4.5864509605662196</v>
      </c>
      <c r="P2" s="44">
        <v>4.99898887765419</v>
      </c>
      <c r="Q2" s="44">
        <v>5.8270980788675404</v>
      </c>
      <c r="R2" s="44">
        <v>6.6643073811931197</v>
      </c>
      <c r="S2" s="44">
        <v>7.43174924165824</v>
      </c>
      <c r="T2" s="44">
        <v>8.0626895854398395</v>
      </c>
      <c r="U2" s="44">
        <v>8.5571284125379101</v>
      </c>
      <c r="V2" s="44">
        <v>9.2608695652173907</v>
      </c>
      <c r="W2" s="44">
        <v>9.8250758341759301</v>
      </c>
      <c r="X2" s="44">
        <v>10.459049544994899</v>
      </c>
      <c r="Y2" s="44">
        <v>11.0960566228513</v>
      </c>
      <c r="Z2" s="44">
        <v>11.8665318503538</v>
      </c>
      <c r="AA2" s="44">
        <v>12.779575328614699</v>
      </c>
      <c r="AB2" s="44">
        <v>13.483316481294199</v>
      </c>
      <c r="AC2" s="44">
        <v>14.259858442871501</v>
      </c>
      <c r="AD2" s="44">
        <v>14.8907987866531</v>
      </c>
      <c r="AE2" s="44">
        <v>15.3791708796764</v>
      </c>
      <c r="AF2" s="44">
        <v>15.9433771486349</v>
      </c>
      <c r="AG2" s="44">
        <v>16.5803842264914</v>
      </c>
      <c r="AH2" s="44">
        <v>17.138523761375101</v>
      </c>
      <c r="AI2" s="44">
        <v>17.766430738119301</v>
      </c>
      <c r="AJ2" s="44">
        <v>18.324570273003001</v>
      </c>
      <c r="AK2" s="44">
        <v>18.749241658240599</v>
      </c>
      <c r="AL2" s="44">
        <v>19.167846309403402</v>
      </c>
      <c r="AM2" s="44">
        <v>19.6562184024266</v>
      </c>
      <c r="AN2" s="44">
        <v>20.074823053589402</v>
      </c>
      <c r="AO2" s="44">
        <v>20.635995955510602</v>
      </c>
      <c r="AP2" s="44">
        <v>21.197168857431699</v>
      </c>
      <c r="AQ2" s="44">
        <v>21.828109201213302</v>
      </c>
      <c r="AR2" s="44">
        <v>22.322548028311399</v>
      </c>
      <c r="AS2" s="44">
        <v>22.671385237613698</v>
      </c>
      <c r="AT2" s="44">
        <v>23.508594539939299</v>
      </c>
      <c r="AU2" s="44">
        <v>23.857431749241599</v>
      </c>
      <c r="AV2" s="44">
        <v>24.206268958543902</v>
      </c>
      <c r="AW2" s="44">
        <v>24.694641051567199</v>
      </c>
      <c r="AX2" s="44">
        <v>23.0899898887765</v>
      </c>
      <c r="AY2" s="44">
        <v>25.398382204246701</v>
      </c>
      <c r="AZ2" s="44">
        <v>25.962588473205201</v>
      </c>
      <c r="BA2" s="44">
        <v>26.866531850353901</v>
      </c>
      <c r="BB2" s="44">
        <v>27.427704752275002</v>
      </c>
      <c r="BC2" s="44">
        <v>27.985844287158699</v>
      </c>
      <c r="BD2" s="44">
        <v>28.550050556117199</v>
      </c>
      <c r="BE2" s="44">
        <v>29.108190091000999</v>
      </c>
      <c r="BF2" s="44">
        <v>29.6632962588473</v>
      </c>
      <c r="BG2" s="44">
        <v>30.2912032355915</v>
      </c>
      <c r="BH2" s="44">
        <v>30.9191102123356</v>
      </c>
      <c r="BI2" s="44">
        <v>31.267947421637999</v>
      </c>
      <c r="BJ2" s="44">
        <v>31.895854398382198</v>
      </c>
      <c r="BK2" s="44">
        <v>32.393326592517703</v>
      </c>
      <c r="BL2" s="44">
        <v>33.021233569261803</v>
      </c>
      <c r="BM2" s="44">
        <v>33.855409504550003</v>
      </c>
      <c r="BN2" s="44">
        <v>34.483316481294203</v>
      </c>
      <c r="BO2" s="44">
        <v>35.180990899898802</v>
      </c>
      <c r="BP2" s="44">
        <v>35.599595551061597</v>
      </c>
      <c r="BQ2" s="44">
        <v>36.436804853387201</v>
      </c>
      <c r="BR2" s="44">
        <v>36.994944388270902</v>
      </c>
      <c r="BS2" s="44">
        <v>37.692618806875601</v>
      </c>
      <c r="BT2" s="44">
        <v>38.180990899898802</v>
      </c>
      <c r="BU2" s="44">
        <v>38.808897876643002</v>
      </c>
      <c r="BV2" s="44">
        <v>39.5065722952477</v>
      </c>
      <c r="BW2" s="44">
        <v>40.067745197168797</v>
      </c>
      <c r="BX2" s="44">
        <v>40.559150657229502</v>
      </c>
      <c r="BY2" s="44">
        <v>40.977755308392297</v>
      </c>
      <c r="BZ2" s="44">
        <v>41.396359959555099</v>
      </c>
      <c r="CA2" s="44">
        <v>42.024266936299298</v>
      </c>
      <c r="CB2" s="44">
        <v>42.721941354903898</v>
      </c>
      <c r="CC2" s="44">
        <v>43.210313447927199</v>
      </c>
      <c r="CD2" s="44">
        <v>44.047522750252703</v>
      </c>
      <c r="CE2" s="44">
        <v>44.675429726996903</v>
      </c>
      <c r="CF2" s="44">
        <v>45.582406471182999</v>
      </c>
      <c r="CG2" s="44">
        <v>46.349848331648097</v>
      </c>
      <c r="CH2" s="44">
        <v>47.117290192113202</v>
      </c>
      <c r="CI2" s="44">
        <v>48.163801820020197</v>
      </c>
      <c r="CJ2" s="44">
        <v>49.210313447927199</v>
      </c>
      <c r="CK2" s="44">
        <v>49.977755308392297</v>
      </c>
      <c r="CL2" s="44">
        <v>50.814964610717901</v>
      </c>
      <c r="CM2" s="44">
        <v>51.373104145601602</v>
      </c>
      <c r="CN2" s="44">
        <v>51.864509605662299</v>
      </c>
      <c r="CO2" s="44">
        <v>52.355915065722897</v>
      </c>
      <c r="CP2" s="44">
        <v>52.914054600606597</v>
      </c>
      <c r="CQ2" s="44">
        <v>53.541961577350797</v>
      </c>
      <c r="CR2" s="44">
        <v>54.169868554094997</v>
      </c>
      <c r="CS2" s="44">
        <v>54.8008088978766</v>
      </c>
      <c r="CT2" s="44">
        <v>55.289180990899901</v>
      </c>
      <c r="CU2" s="44">
        <v>56.262891809909</v>
      </c>
      <c r="CV2" s="44">
        <v>57.175935288169804</v>
      </c>
      <c r="CW2" s="44">
        <v>57.937310414560102</v>
      </c>
    </row>
    <row r="3" spans="1:101">
      <c r="A3" t="s">
        <v>714</v>
      </c>
      <c r="C3" s="39"/>
      <c r="D3" s="53"/>
      <c r="F3" t="s">
        <v>709</v>
      </c>
      <c r="G3" t="s">
        <v>692</v>
      </c>
      <c r="H3">
        <v>55.2173913043478</v>
      </c>
      <c r="I3">
        <v>63.913043478260803</v>
      </c>
      <c r="J3">
        <v>69.130434782608702</v>
      </c>
      <c r="K3">
        <v>72.608695652173907</v>
      </c>
      <c r="L3">
        <v>76.086956521739197</v>
      </c>
      <c r="M3">
        <v>79.565217391304401</v>
      </c>
      <c r="N3">
        <v>84.7826086956522</v>
      </c>
      <c r="O3">
        <v>84.7826086956522</v>
      </c>
      <c r="P3">
        <v>88.260869565217405</v>
      </c>
      <c r="Q3">
        <v>93.478260869565304</v>
      </c>
      <c r="R3">
        <v>93.478260869565304</v>
      </c>
      <c r="S3">
        <v>93.478260869565304</v>
      </c>
      <c r="T3">
        <v>91.739130434782595</v>
      </c>
      <c r="U3">
        <v>88.260869565217405</v>
      </c>
      <c r="V3">
        <v>84.7826086956522</v>
      </c>
      <c r="W3">
        <v>81.304347826086996</v>
      </c>
      <c r="X3">
        <v>77.826086956521806</v>
      </c>
      <c r="Y3">
        <v>72.608695652173907</v>
      </c>
      <c r="Z3">
        <v>70.869565217391198</v>
      </c>
      <c r="AA3">
        <v>67.391304347826093</v>
      </c>
      <c r="AB3">
        <v>63.913043478260803</v>
      </c>
      <c r="AC3">
        <v>58.695652173913103</v>
      </c>
      <c r="AD3">
        <v>56.956521739130402</v>
      </c>
      <c r="AE3">
        <v>56.956521739130402</v>
      </c>
      <c r="AF3">
        <v>53.478260869565197</v>
      </c>
      <c r="AG3">
        <v>48.260869565217298</v>
      </c>
      <c r="AH3">
        <v>48.260869565217298</v>
      </c>
      <c r="AI3">
        <v>47.6</v>
      </c>
      <c r="AJ3">
        <v>46</v>
      </c>
      <c r="AK3">
        <v>44.782608695652101</v>
      </c>
      <c r="AL3">
        <v>44.782608695652101</v>
      </c>
      <c r="AM3">
        <v>44.4</v>
      </c>
      <c r="AN3">
        <v>44.2</v>
      </c>
      <c r="AO3">
        <v>43.043478260869499</v>
      </c>
      <c r="AP3">
        <v>41.304347826086897</v>
      </c>
      <c r="AQ3">
        <v>39.565217391304301</v>
      </c>
      <c r="AR3">
        <v>38</v>
      </c>
      <c r="AS3">
        <v>37</v>
      </c>
      <c r="AT3">
        <v>36.086956521739097</v>
      </c>
      <c r="AU3">
        <v>36.086956521739097</v>
      </c>
      <c r="AV3">
        <v>36.086956521739097</v>
      </c>
      <c r="AW3">
        <v>35</v>
      </c>
      <c r="AX3">
        <v>34.6</v>
      </c>
      <c r="AY3">
        <v>32.6086956521738</v>
      </c>
      <c r="AZ3">
        <v>31</v>
      </c>
      <c r="BA3">
        <v>30.869565217391202</v>
      </c>
      <c r="BB3">
        <v>29.130434782608599</v>
      </c>
      <c r="BC3">
        <v>29.130434782608599</v>
      </c>
      <c r="BD3">
        <v>27</v>
      </c>
      <c r="BE3">
        <v>26</v>
      </c>
      <c r="BF3">
        <v>27.391304347826001</v>
      </c>
      <c r="BG3">
        <v>26.8</v>
      </c>
      <c r="BH3">
        <v>26</v>
      </c>
      <c r="BI3">
        <v>25</v>
      </c>
      <c r="BJ3">
        <v>24</v>
      </c>
      <c r="BK3">
        <v>23.9</v>
      </c>
      <c r="BL3">
        <v>23.4</v>
      </c>
      <c r="BM3">
        <v>23.5</v>
      </c>
      <c r="BN3">
        <v>23.8</v>
      </c>
      <c r="BO3">
        <v>23.7</v>
      </c>
      <c r="BP3">
        <v>23.65</v>
      </c>
      <c r="BQ3">
        <v>23.6</v>
      </c>
      <c r="BR3">
        <v>23.5</v>
      </c>
      <c r="BS3">
        <v>23.4</v>
      </c>
      <c r="BT3">
        <v>23.6</v>
      </c>
      <c r="BU3">
        <v>23.5</v>
      </c>
      <c r="BV3">
        <v>23.1</v>
      </c>
      <c r="BW3">
        <v>22.173913043478102</v>
      </c>
      <c r="BX3">
        <v>21.5</v>
      </c>
      <c r="BY3">
        <f t="shared" ref="BY3:CM3" si="0">BX3-0.2</f>
        <v>21.3</v>
      </c>
      <c r="BZ3">
        <f t="shared" si="0"/>
        <v>21.1</v>
      </c>
      <c r="CA3">
        <f t="shared" si="0"/>
        <v>20.900000000000002</v>
      </c>
      <c r="CB3">
        <f t="shared" si="0"/>
        <v>20.700000000000003</v>
      </c>
      <c r="CC3">
        <f t="shared" si="0"/>
        <v>20.500000000000004</v>
      </c>
      <c r="CD3">
        <f t="shared" si="0"/>
        <v>20.300000000000004</v>
      </c>
      <c r="CE3">
        <f t="shared" si="0"/>
        <v>20.100000000000005</v>
      </c>
      <c r="CF3">
        <f t="shared" si="0"/>
        <v>19.900000000000006</v>
      </c>
      <c r="CG3">
        <f t="shared" si="0"/>
        <v>19.700000000000006</v>
      </c>
      <c r="CH3">
        <f t="shared" si="0"/>
        <v>19.500000000000007</v>
      </c>
      <c r="CI3">
        <f t="shared" si="0"/>
        <v>19.300000000000008</v>
      </c>
      <c r="CJ3">
        <f t="shared" si="0"/>
        <v>19.100000000000009</v>
      </c>
      <c r="CK3">
        <f t="shared" si="0"/>
        <v>18.900000000000009</v>
      </c>
      <c r="CL3">
        <f t="shared" si="0"/>
        <v>18.70000000000001</v>
      </c>
      <c r="CM3">
        <f t="shared" si="0"/>
        <v>18.500000000000011</v>
      </c>
      <c r="CN3">
        <v>17.7</v>
      </c>
      <c r="CO3">
        <f>CN3-0.3</f>
        <v>17.399999999999999</v>
      </c>
      <c r="CP3">
        <f>CO3-0.3</f>
        <v>17.099999999999998</v>
      </c>
      <c r="CQ3">
        <f>CP3-0.3</f>
        <v>16.799999999999997</v>
      </c>
      <c r="CR3">
        <f>CQ3-0.3</f>
        <v>16.499999999999996</v>
      </c>
      <c r="CS3">
        <f>CR3-0.2</f>
        <v>16.299999999999997</v>
      </c>
      <c r="CT3">
        <v>15.2</v>
      </c>
      <c r="CU3">
        <v>14</v>
      </c>
      <c r="CV3">
        <v>13.4782608695651</v>
      </c>
      <c r="CW3">
        <v>13</v>
      </c>
    </row>
    <row r="4" spans="1:101">
      <c r="A4" t="s">
        <v>693</v>
      </c>
      <c r="B4" s="45">
        <v>681.33966223147354</v>
      </c>
      <c r="C4" s="39"/>
      <c r="D4" s="53"/>
    </row>
    <row r="5" spans="1:101">
      <c r="A5" t="s">
        <v>694</v>
      </c>
      <c r="B5" s="45">
        <v>-0.9320807731351004</v>
      </c>
      <c r="C5" s="39"/>
      <c r="D5" s="53"/>
    </row>
    <row r="6" spans="1:101">
      <c r="C6" s="39"/>
      <c r="D6" s="53"/>
    </row>
    <row r="7" spans="1:101">
      <c r="A7" t="s">
        <v>695</v>
      </c>
      <c r="B7" s="42">
        <f>SUMPRODUCT(T11:CW11,T11:CW11)</f>
        <v>214.5076767281229</v>
      </c>
      <c r="C7" s="39"/>
      <c r="D7" s="53"/>
    </row>
    <row r="8" spans="1:101" ht="16.3" thickBot="1">
      <c r="C8" s="39"/>
      <c r="D8" s="53"/>
      <c r="F8" t="s">
        <v>697</v>
      </c>
      <c r="G8" s="44" t="s">
        <v>691</v>
      </c>
      <c r="H8" s="44">
        <v>0.52173913043478304</v>
      </c>
      <c r="I8" s="44">
        <v>0.92517694641051296</v>
      </c>
      <c r="J8" s="44">
        <v>1.4742163801819901</v>
      </c>
      <c r="K8" s="44">
        <v>2.0262891809908901</v>
      </c>
      <c r="L8" s="44">
        <v>2.57836198179979</v>
      </c>
      <c r="M8" s="44">
        <v>3.2699696663296201</v>
      </c>
      <c r="N8" s="44">
        <v>4.09807886754297</v>
      </c>
      <c r="O8" s="44">
        <v>4.5864509605662196</v>
      </c>
      <c r="P8" s="44">
        <v>4.99898887765419</v>
      </c>
      <c r="Q8" s="44">
        <v>5.8270980788675404</v>
      </c>
      <c r="R8" s="44">
        <v>6.6643073811931197</v>
      </c>
      <c r="S8" s="44">
        <v>7.43174924165824</v>
      </c>
      <c r="T8" s="44">
        <v>8.0626895854398395</v>
      </c>
      <c r="U8" s="44">
        <v>8.5571284125379101</v>
      </c>
      <c r="V8" s="44">
        <v>9.2608695652173907</v>
      </c>
      <c r="W8" s="44">
        <v>9.8250758341759301</v>
      </c>
      <c r="X8" s="44">
        <v>10.459049544994899</v>
      </c>
      <c r="Y8" s="44">
        <v>11.0960566228513</v>
      </c>
      <c r="Z8" s="44">
        <v>11.8665318503538</v>
      </c>
      <c r="AA8" s="44">
        <v>12.779575328614699</v>
      </c>
      <c r="AB8" s="44">
        <v>13.483316481294199</v>
      </c>
      <c r="AC8" s="44">
        <v>14.259858442871501</v>
      </c>
      <c r="AD8" s="44">
        <v>14.8907987866531</v>
      </c>
      <c r="AE8" s="44">
        <v>15.3791708796764</v>
      </c>
      <c r="AF8" s="44">
        <v>15.9433771486349</v>
      </c>
      <c r="AG8" s="44">
        <v>16.5803842264914</v>
      </c>
      <c r="AH8" s="44">
        <v>17.138523761375101</v>
      </c>
      <c r="AI8" s="44">
        <v>17.766430738119301</v>
      </c>
      <c r="AJ8" s="44">
        <v>18.324570273003001</v>
      </c>
      <c r="AK8" s="44">
        <v>18.749241658240599</v>
      </c>
      <c r="AL8" s="44">
        <v>19.167846309403402</v>
      </c>
      <c r="AM8" s="44">
        <v>19.6562184024266</v>
      </c>
      <c r="AN8" s="44">
        <v>20.074823053589402</v>
      </c>
      <c r="AO8" s="44">
        <v>20.635995955510602</v>
      </c>
      <c r="AP8" s="44">
        <v>21.197168857431699</v>
      </c>
      <c r="AQ8" s="44">
        <v>21.828109201213302</v>
      </c>
      <c r="AR8" s="44">
        <v>22.322548028311399</v>
      </c>
      <c r="AS8" s="44">
        <v>22.671385237613698</v>
      </c>
      <c r="AT8" s="44">
        <v>23.508594539939299</v>
      </c>
      <c r="AU8" s="44">
        <v>23.857431749241599</v>
      </c>
      <c r="AV8" s="44">
        <v>24.206268958543902</v>
      </c>
      <c r="AW8" s="44">
        <v>24.694641051567199</v>
      </c>
      <c r="AX8" s="44">
        <v>23.0899898887765</v>
      </c>
      <c r="AY8" s="44">
        <v>25.398382204246701</v>
      </c>
      <c r="AZ8" s="44">
        <v>25.962588473205201</v>
      </c>
      <c r="BA8" s="44">
        <v>26.866531850353901</v>
      </c>
      <c r="BB8" s="44">
        <v>27.427704752275002</v>
      </c>
      <c r="BC8" s="44">
        <v>27.985844287158699</v>
      </c>
      <c r="BD8" s="44">
        <v>28.550050556117199</v>
      </c>
      <c r="BE8" s="44">
        <v>29.108190091000999</v>
      </c>
      <c r="BF8" s="44">
        <v>29.6632962588473</v>
      </c>
      <c r="BG8" s="44">
        <v>30.2912032355915</v>
      </c>
      <c r="BH8" s="44">
        <v>30.9191102123356</v>
      </c>
      <c r="BI8" s="44">
        <v>31.267947421637999</v>
      </c>
      <c r="BJ8" s="44">
        <v>31.895854398382198</v>
      </c>
      <c r="BK8" s="44">
        <v>32.393326592517703</v>
      </c>
      <c r="BL8" s="44">
        <v>33.021233569261803</v>
      </c>
      <c r="BM8" s="44">
        <v>33.855409504550003</v>
      </c>
      <c r="BN8" s="44">
        <v>34.483316481294203</v>
      </c>
      <c r="BO8" s="44">
        <v>35.180990899898802</v>
      </c>
      <c r="BP8" s="44">
        <v>35.599595551061597</v>
      </c>
      <c r="BQ8" s="44">
        <v>36.436804853387201</v>
      </c>
      <c r="BR8" s="44">
        <v>36.994944388270902</v>
      </c>
      <c r="BS8" s="44">
        <v>37.692618806875601</v>
      </c>
      <c r="BT8" s="44">
        <v>38.180990899898802</v>
      </c>
      <c r="BU8" s="44">
        <v>38.808897876643002</v>
      </c>
      <c r="BV8" s="44">
        <v>39.5065722952477</v>
      </c>
      <c r="BW8" s="44">
        <v>40.067745197168797</v>
      </c>
      <c r="BX8" s="44">
        <v>40.559150657229502</v>
      </c>
      <c r="BY8" s="44">
        <v>40.977755308392297</v>
      </c>
      <c r="BZ8" s="44">
        <v>41.396359959555099</v>
      </c>
      <c r="CA8" s="44">
        <v>42.024266936299298</v>
      </c>
      <c r="CB8" s="44">
        <v>42.721941354903898</v>
      </c>
      <c r="CC8" s="44">
        <v>43.210313447927199</v>
      </c>
      <c r="CD8" s="44">
        <v>44.047522750252703</v>
      </c>
      <c r="CE8" s="44">
        <v>44.675429726996903</v>
      </c>
      <c r="CF8" s="44">
        <v>45.582406471182999</v>
      </c>
      <c r="CG8" s="44">
        <v>46.349848331648097</v>
      </c>
      <c r="CH8" s="44">
        <v>47.117290192113202</v>
      </c>
      <c r="CI8" s="44">
        <v>48.163801820020197</v>
      </c>
      <c r="CJ8" s="44">
        <v>49.210313447927199</v>
      </c>
      <c r="CK8" s="44">
        <v>49.977755308392297</v>
      </c>
      <c r="CL8" s="44">
        <v>50.814964610717901</v>
      </c>
      <c r="CM8" s="44">
        <v>51.373104145601602</v>
      </c>
      <c r="CN8" s="44">
        <v>51.864509605662299</v>
      </c>
      <c r="CO8" s="44">
        <v>52.355915065722897</v>
      </c>
      <c r="CP8" s="44">
        <v>52.914054600606597</v>
      </c>
      <c r="CQ8" s="44">
        <v>53.541961577350797</v>
      </c>
      <c r="CR8" s="44">
        <v>54.169868554094997</v>
      </c>
      <c r="CS8" s="44">
        <v>54.8008088978766</v>
      </c>
      <c r="CT8" s="44">
        <v>55.289180990899901</v>
      </c>
      <c r="CU8" s="44">
        <v>56.262891809909</v>
      </c>
      <c r="CV8" s="44">
        <v>57.175935288169804</v>
      </c>
      <c r="CW8" s="44">
        <v>57.937310414560102</v>
      </c>
    </row>
    <row r="9" spans="1:101">
      <c r="C9" s="39"/>
      <c r="D9" s="53"/>
      <c r="F9" t="s">
        <v>709</v>
      </c>
      <c r="G9" t="s">
        <v>692</v>
      </c>
      <c r="H9" s="42">
        <v>55.2173913043478</v>
      </c>
      <c r="I9" s="42">
        <v>63.913043478260803</v>
      </c>
      <c r="J9" s="42">
        <v>69.130434782608702</v>
      </c>
      <c r="K9" s="42">
        <v>72.608695652173907</v>
      </c>
      <c r="L9" s="42">
        <v>76.086956521739197</v>
      </c>
      <c r="M9" s="42">
        <v>79.565217391304401</v>
      </c>
      <c r="N9" s="42">
        <v>84.7826086956522</v>
      </c>
      <c r="O9" s="42">
        <v>84.7826086956522</v>
      </c>
      <c r="P9" s="42">
        <v>88.260869565217405</v>
      </c>
      <c r="Q9" s="42">
        <v>93.478260869565304</v>
      </c>
      <c r="R9" s="42">
        <v>93.478260869565304</v>
      </c>
      <c r="S9" s="42">
        <v>93.478260869565304</v>
      </c>
      <c r="T9" s="42">
        <v>92</v>
      </c>
      <c r="U9">
        <f>$B$4*(U8^$B$5)</f>
        <v>92.120995372715925</v>
      </c>
      <c r="V9">
        <f t="shared" ref="V9:BT9" si="1">$B$4*(V8^$B$5)</f>
        <v>85.578790484104587</v>
      </c>
      <c r="W9">
        <f t="shared" si="1"/>
        <v>80.989076647273635</v>
      </c>
      <c r="X9">
        <f t="shared" si="1"/>
        <v>76.403732255914406</v>
      </c>
      <c r="Y9">
        <f t="shared" si="1"/>
        <v>72.307284887452639</v>
      </c>
      <c r="Z9">
        <f t="shared" si="1"/>
        <v>67.921474308973316</v>
      </c>
      <c r="AA9">
        <f t="shared" si="1"/>
        <v>63.387115407746784</v>
      </c>
      <c r="AB9">
        <f t="shared" si="1"/>
        <v>60.29785495560251</v>
      </c>
      <c r="AC9">
        <f t="shared" si="1"/>
        <v>57.231492226131593</v>
      </c>
      <c r="AD9">
        <f t="shared" si="1"/>
        <v>54.967927038038489</v>
      </c>
      <c r="AE9">
        <f t="shared" si="1"/>
        <v>53.339177543588029</v>
      </c>
      <c r="AF9">
        <f t="shared" si="1"/>
        <v>51.577664963477488</v>
      </c>
      <c r="AG9">
        <f t="shared" si="1"/>
        <v>49.728230070300846</v>
      </c>
      <c r="AH9">
        <f t="shared" si="1"/>
        <v>48.2170659866512</v>
      </c>
      <c r="AI9">
        <f t="shared" si="1"/>
        <v>46.626773321639483</v>
      </c>
      <c r="AJ9">
        <f t="shared" si="1"/>
        <v>45.301663639019303</v>
      </c>
      <c r="AK9">
        <f t="shared" si="1"/>
        <v>44.344527660975409</v>
      </c>
      <c r="AL9">
        <f t="shared" si="1"/>
        <v>43.441192706386495</v>
      </c>
      <c r="AM9">
        <f t="shared" si="1"/>
        <v>42.434317325749952</v>
      </c>
      <c r="AN9">
        <f t="shared" si="1"/>
        <v>41.608977449618436</v>
      </c>
      <c r="AO9">
        <f t="shared" si="1"/>
        <v>40.553335433458301</v>
      </c>
      <c r="AP9">
        <f t="shared" si="1"/>
        <v>39.551738551427647</v>
      </c>
      <c r="AQ9">
        <f t="shared" si="1"/>
        <v>38.48508876307514</v>
      </c>
      <c r="AR9">
        <f t="shared" si="1"/>
        <v>37.689948034547733</v>
      </c>
      <c r="AS9">
        <f t="shared" si="1"/>
        <v>37.149129013202192</v>
      </c>
      <c r="AT9">
        <f t="shared" si="1"/>
        <v>35.914486409261485</v>
      </c>
      <c r="AU9">
        <f t="shared" si="1"/>
        <v>35.424776323694175</v>
      </c>
      <c r="AV9">
        <f t="shared" si="1"/>
        <v>34.948708091845987</v>
      </c>
      <c r="AW9">
        <f t="shared" si="1"/>
        <v>34.304054443753998</v>
      </c>
      <c r="AX9">
        <f t="shared" si="1"/>
        <v>36.520996129833584</v>
      </c>
      <c r="AY9">
        <f t="shared" si="1"/>
        <v>33.417269232582349</v>
      </c>
      <c r="AZ9">
        <f t="shared" si="1"/>
        <v>32.739881512830024</v>
      </c>
      <c r="BA9">
        <f t="shared" si="1"/>
        <v>31.711954560226769</v>
      </c>
      <c r="BB9">
        <f t="shared" si="1"/>
        <v>31.106770256443202</v>
      </c>
      <c r="BC9">
        <f t="shared" si="1"/>
        <v>30.528129538297755</v>
      </c>
      <c r="BD9">
        <f t="shared" si="1"/>
        <v>29.965427869878141</v>
      </c>
      <c r="BE9">
        <f t="shared" si="1"/>
        <v>29.429524769365919</v>
      </c>
      <c r="BF9">
        <f t="shared" si="1"/>
        <v>28.915870140108286</v>
      </c>
      <c r="BG9">
        <f t="shared" si="1"/>
        <v>28.356786876672032</v>
      </c>
      <c r="BH9">
        <f t="shared" si="1"/>
        <v>27.819655545004927</v>
      </c>
      <c r="BI9">
        <f t="shared" si="1"/>
        <v>27.530258632268374</v>
      </c>
      <c r="BJ9">
        <f t="shared" si="1"/>
        <v>27.024763232886002</v>
      </c>
      <c r="BK9">
        <f t="shared" si="1"/>
        <v>26.637722749811097</v>
      </c>
      <c r="BL9">
        <f t="shared" si="1"/>
        <v>26.165295510095774</v>
      </c>
      <c r="BM9">
        <f t="shared" si="1"/>
        <v>25.563879138564499</v>
      </c>
      <c r="BN9">
        <f t="shared" si="1"/>
        <v>25.129732128990444</v>
      </c>
      <c r="BO9">
        <f t="shared" si="1"/>
        <v>24.664916627077133</v>
      </c>
      <c r="BP9">
        <f t="shared" si="1"/>
        <v>24.39447950538333</v>
      </c>
      <c r="BQ9">
        <f t="shared" si="1"/>
        <v>23.871625534102492</v>
      </c>
      <c r="BR9">
        <f t="shared" si="1"/>
        <v>23.535764511651379</v>
      </c>
      <c r="BS9">
        <f t="shared" si="1"/>
        <v>23.129458672777904</v>
      </c>
      <c r="BT9">
        <f t="shared" si="1"/>
        <v>22.853583808461792</v>
      </c>
      <c r="BU9">
        <f t="shared" ref="BU9:CW9" si="2">$B$4*(BU8^$B$5)</f>
        <v>22.50874843902616</v>
      </c>
      <c r="BV9">
        <f t="shared" si="2"/>
        <v>22.138024720651888</v>
      </c>
      <c r="BW9">
        <f t="shared" si="2"/>
        <v>21.848888996130409</v>
      </c>
      <c r="BX9">
        <f t="shared" si="2"/>
        <v>21.602050176449644</v>
      </c>
      <c r="BY9">
        <f t="shared" si="2"/>
        <v>21.396292716059232</v>
      </c>
      <c r="BZ9">
        <f t="shared" si="2"/>
        <v>21.194556613069992</v>
      </c>
      <c r="CA9">
        <f t="shared" si="2"/>
        <v>20.899235472688147</v>
      </c>
      <c r="CB9">
        <f t="shared" si="2"/>
        <v>20.580941830309907</v>
      </c>
      <c r="CC9">
        <f t="shared" si="2"/>
        <v>20.364046825654739</v>
      </c>
      <c r="CD9">
        <f t="shared" si="2"/>
        <v>20.003042554231662</v>
      </c>
      <c r="CE9">
        <f t="shared" si="2"/>
        <v>19.74087166881338</v>
      </c>
      <c r="CF9">
        <f t="shared" si="2"/>
        <v>19.374506452112218</v>
      </c>
      <c r="CG9">
        <f t="shared" si="2"/>
        <v>19.075330318016988</v>
      </c>
      <c r="CH9">
        <f t="shared" si="2"/>
        <v>18.785574373366551</v>
      </c>
      <c r="CI9">
        <f t="shared" si="2"/>
        <v>18.404838174756772</v>
      </c>
      <c r="CJ9">
        <f t="shared" si="2"/>
        <v>18.039757026331415</v>
      </c>
      <c r="CK9">
        <f t="shared" si="2"/>
        <v>17.781423583391273</v>
      </c>
      <c r="CL9">
        <f t="shared" si="2"/>
        <v>17.508207127072456</v>
      </c>
      <c r="CM9">
        <f t="shared" si="2"/>
        <v>17.33084412526156</v>
      </c>
      <c r="CN9">
        <f t="shared" si="2"/>
        <v>17.177741316836553</v>
      </c>
      <c r="CO9">
        <f t="shared" si="2"/>
        <v>17.02741580173069</v>
      </c>
      <c r="CP9">
        <f t="shared" si="2"/>
        <v>16.859948446116999</v>
      </c>
      <c r="CQ9">
        <f t="shared" si="2"/>
        <v>16.675580900158543</v>
      </c>
      <c r="CR9">
        <f t="shared" si="2"/>
        <v>16.495344012310685</v>
      </c>
      <c r="CS9">
        <f t="shared" si="2"/>
        <v>16.318256993587745</v>
      </c>
      <c r="CT9">
        <f t="shared" si="2"/>
        <v>16.183866463717571</v>
      </c>
      <c r="CU9">
        <f t="shared" si="2"/>
        <v>15.922650006223014</v>
      </c>
      <c r="CV9">
        <f t="shared" si="2"/>
        <v>15.685521435462366</v>
      </c>
      <c r="CW9">
        <f t="shared" si="2"/>
        <v>15.493306314826768</v>
      </c>
    </row>
    <row r="10" spans="1:101">
      <c r="C10" s="39"/>
      <c r="D10" s="53"/>
    </row>
    <row r="11" spans="1:101">
      <c r="C11" s="39"/>
      <c r="D11" s="53"/>
      <c r="F11" t="s">
        <v>696</v>
      </c>
      <c r="T11">
        <f>T9-T3</f>
        <v>0.2608695652174049</v>
      </c>
      <c r="U11">
        <f t="shared" ref="U11:CF11" si="3">U9-U3</f>
        <v>3.8601258074985196</v>
      </c>
      <c r="V11">
        <f t="shared" si="3"/>
        <v>0.79618178845238674</v>
      </c>
      <c r="W11">
        <f t="shared" si="3"/>
        <v>-0.31527117881336153</v>
      </c>
      <c r="X11">
        <f t="shared" si="3"/>
        <v>-1.4223547006074</v>
      </c>
      <c r="Y11">
        <f t="shared" si="3"/>
        <v>-0.30141076472126827</v>
      </c>
      <c r="Z11">
        <f t="shared" si="3"/>
        <v>-2.9480909084178819</v>
      </c>
      <c r="AA11">
        <f t="shared" si="3"/>
        <v>-4.0041889400793096</v>
      </c>
      <c r="AB11">
        <f t="shared" si="3"/>
        <v>-3.6151885226582934</v>
      </c>
      <c r="AC11">
        <f t="shared" si="3"/>
        <v>-1.4641599477815106</v>
      </c>
      <c r="AD11">
        <f t="shared" si="3"/>
        <v>-1.9885947010919125</v>
      </c>
      <c r="AE11">
        <f t="shared" si="3"/>
        <v>-3.6173441955423726</v>
      </c>
      <c r="AF11">
        <f t="shared" si="3"/>
        <v>-1.9005959060877089</v>
      </c>
      <c r="AG11">
        <f t="shared" si="3"/>
        <v>1.4673605050835477</v>
      </c>
      <c r="AH11">
        <f t="shared" si="3"/>
        <v>-4.3803578566098622E-2</v>
      </c>
      <c r="AI11">
        <f t="shared" si="3"/>
        <v>-0.97322667836051835</v>
      </c>
      <c r="AJ11">
        <f t="shared" si="3"/>
        <v>-0.69833636098069718</v>
      </c>
      <c r="AK11">
        <f t="shared" si="3"/>
        <v>-0.43808103467669213</v>
      </c>
      <c r="AL11">
        <f t="shared" si="3"/>
        <v>-1.3414159892656059</v>
      </c>
      <c r="AM11">
        <f t="shared" si="3"/>
        <v>-1.9656826742500471</v>
      </c>
      <c r="AN11">
        <f t="shared" si="3"/>
        <v>-2.5910225503815667</v>
      </c>
      <c r="AO11">
        <f t="shared" si="3"/>
        <v>-2.4901428274111979</v>
      </c>
      <c r="AP11">
        <f t="shared" si="3"/>
        <v>-1.7526092746592496</v>
      </c>
      <c r="AQ11">
        <f t="shared" si="3"/>
        <v>-1.0801286282291613</v>
      </c>
      <c r="AR11">
        <f t="shared" si="3"/>
        <v>-0.3100519654522671</v>
      </c>
      <c r="AS11">
        <f t="shared" si="3"/>
        <v>0.14912901320219163</v>
      </c>
      <c r="AT11">
        <f t="shared" si="3"/>
        <v>-0.17247011247761179</v>
      </c>
      <c r="AU11">
        <f t="shared" si="3"/>
        <v>-0.66218019804492201</v>
      </c>
      <c r="AV11">
        <f t="shared" si="3"/>
        <v>-1.1382484298931104</v>
      </c>
      <c r="AW11">
        <f t="shared" si="3"/>
        <v>-0.69594555624600218</v>
      </c>
      <c r="AX11">
        <f t="shared" si="3"/>
        <v>1.9209961298335827</v>
      </c>
      <c r="AY11">
        <f t="shared" si="3"/>
        <v>0.80857358040854876</v>
      </c>
      <c r="AZ11">
        <f t="shared" si="3"/>
        <v>1.7398815128300242</v>
      </c>
      <c r="BA11">
        <f t="shared" si="3"/>
        <v>0.84238934283556688</v>
      </c>
      <c r="BB11">
        <f t="shared" si="3"/>
        <v>1.9763354738346024</v>
      </c>
      <c r="BC11">
        <f t="shared" si="3"/>
        <v>1.3976947556891552</v>
      </c>
      <c r="BD11">
        <f t="shared" si="3"/>
        <v>2.9654278698781411</v>
      </c>
      <c r="BE11">
        <f t="shared" si="3"/>
        <v>3.4295247693659192</v>
      </c>
      <c r="BF11">
        <f t="shared" si="3"/>
        <v>1.5245657922822851</v>
      </c>
      <c r="BG11">
        <f t="shared" si="3"/>
        <v>1.5567868766720316</v>
      </c>
      <c r="BH11">
        <f t="shared" si="3"/>
        <v>1.8196555450049274</v>
      </c>
      <c r="BI11">
        <f t="shared" si="3"/>
        <v>2.5302586322683744</v>
      </c>
      <c r="BJ11">
        <f t="shared" si="3"/>
        <v>3.0247632328860021</v>
      </c>
      <c r="BK11">
        <f t="shared" si="3"/>
        <v>2.7377227498110983</v>
      </c>
      <c r="BL11">
        <f t="shared" si="3"/>
        <v>2.7652955100957755</v>
      </c>
      <c r="BM11">
        <f t="shared" si="3"/>
        <v>2.0638791385644986</v>
      </c>
      <c r="BN11">
        <f t="shared" si="3"/>
        <v>1.3297321289904431</v>
      </c>
      <c r="BO11">
        <f t="shared" si="3"/>
        <v>0.96491662707713388</v>
      </c>
      <c r="BP11">
        <f t="shared" si="3"/>
        <v>0.74447950538333174</v>
      </c>
      <c r="BQ11">
        <f t="shared" si="3"/>
        <v>0.27162553410249046</v>
      </c>
      <c r="BR11">
        <f t="shared" si="3"/>
        <v>3.5764511651379394E-2</v>
      </c>
      <c r="BS11">
        <f t="shared" si="3"/>
        <v>-0.27054132722209445</v>
      </c>
      <c r="BT11">
        <f t="shared" si="3"/>
        <v>-0.74641619153820926</v>
      </c>
      <c r="BU11">
        <f t="shared" si="3"/>
        <v>-0.99125156097383993</v>
      </c>
      <c r="BV11">
        <f t="shared" si="3"/>
        <v>-0.96197527934811333</v>
      </c>
      <c r="BW11">
        <f t="shared" si="3"/>
        <v>-0.32502404734769286</v>
      </c>
      <c r="BX11">
        <f t="shared" si="3"/>
        <v>0.10205017644964443</v>
      </c>
      <c r="BY11">
        <f t="shared" si="3"/>
        <v>9.6292716059231509E-2</v>
      </c>
      <c r="BZ11">
        <f t="shared" si="3"/>
        <v>9.4556613069990192E-2</v>
      </c>
      <c r="CA11">
        <f t="shared" si="3"/>
        <v>-7.6452731185483458E-4</v>
      </c>
      <c r="CB11">
        <f t="shared" si="3"/>
        <v>-0.11905816969009564</v>
      </c>
      <c r="CC11">
        <f t="shared" si="3"/>
        <v>-0.13595317434526422</v>
      </c>
      <c r="CD11">
        <f t="shared" si="3"/>
        <v>-0.29695744576834215</v>
      </c>
      <c r="CE11">
        <f t="shared" si="3"/>
        <v>-0.35912833118662491</v>
      </c>
      <c r="CF11">
        <f t="shared" si="3"/>
        <v>-0.52549354788778757</v>
      </c>
      <c r="CG11">
        <f t="shared" ref="CG11:CW11" si="4">CG9-CG3</f>
        <v>-0.62466968198301842</v>
      </c>
      <c r="CH11">
        <f t="shared" si="4"/>
        <v>-0.71442562663345655</v>
      </c>
      <c r="CI11">
        <f t="shared" si="4"/>
        <v>-0.8951618252432354</v>
      </c>
      <c r="CJ11">
        <f t="shared" si="4"/>
        <v>-1.0602429736685934</v>
      </c>
      <c r="CK11">
        <f t="shared" si="4"/>
        <v>-1.118576416608736</v>
      </c>
      <c r="CL11">
        <f t="shared" si="4"/>
        <v>-1.1917928729275538</v>
      </c>
      <c r="CM11">
        <f t="shared" si="4"/>
        <v>-1.1691558747384505</v>
      </c>
      <c r="CN11">
        <f t="shared" si="4"/>
        <v>-0.52225868316344659</v>
      </c>
      <c r="CO11">
        <f t="shared" si="4"/>
        <v>-0.37258419826930833</v>
      </c>
      <c r="CP11">
        <f t="shared" si="4"/>
        <v>-0.24005155388299926</v>
      </c>
      <c r="CQ11">
        <f t="shared" si="4"/>
        <v>-0.12441909984145383</v>
      </c>
      <c r="CR11">
        <f t="shared" si="4"/>
        <v>-4.6559876893113028E-3</v>
      </c>
      <c r="CS11">
        <f t="shared" si="4"/>
        <v>1.8256993587748127E-2</v>
      </c>
      <c r="CT11">
        <f t="shared" si="4"/>
        <v>0.9838664637175718</v>
      </c>
      <c r="CU11">
        <f t="shared" si="4"/>
        <v>1.9226500062230141</v>
      </c>
      <c r="CV11">
        <f t="shared" si="4"/>
        <v>2.2072605658972666</v>
      </c>
      <c r="CW11">
        <f t="shared" si="4"/>
        <v>2.4933063148267678</v>
      </c>
    </row>
    <row r="12" spans="1:101">
      <c r="C12" s="39"/>
      <c r="D12" s="53"/>
    </row>
    <row r="13" spans="1:101">
      <c r="C13" s="39"/>
      <c r="D13" s="53"/>
    </row>
    <row r="14" spans="1:101">
      <c r="C14" s="39"/>
      <c r="D14" s="53"/>
    </row>
    <row r="15" spans="1:101">
      <c r="A15" s="35" t="s">
        <v>710</v>
      </c>
    </row>
    <row r="17" spans="1:5">
      <c r="A17" s="52" t="s">
        <v>711</v>
      </c>
      <c r="B17" s="52" t="s">
        <v>712</v>
      </c>
      <c r="C17" s="52" t="s">
        <v>713</v>
      </c>
      <c r="D17" s="52" t="s">
        <v>718</v>
      </c>
      <c r="E17" s="52" t="s">
        <v>715</v>
      </c>
    </row>
    <row r="18" spans="1:5">
      <c r="A18" s="51">
        <f>B18/12</f>
        <v>4.3478260869565251E-2</v>
      </c>
      <c r="B18" s="270">
        <v>0.52173913043478304</v>
      </c>
      <c r="C18" s="268">
        <v>55.2173913043478</v>
      </c>
      <c r="D18" s="51">
        <f>C18*(365/12)</f>
        <v>1679.5289855072456</v>
      </c>
      <c r="E18" s="51">
        <f>D18</f>
        <v>1679.5289855072456</v>
      </c>
    </row>
    <row r="19" spans="1:5">
      <c r="A19" s="51">
        <f t="shared" ref="A19:A30" si="5">B19/12</f>
        <v>7.7098078867542746E-2</v>
      </c>
      <c r="B19" s="270">
        <v>0.92517694641051296</v>
      </c>
      <c r="C19" s="268">
        <v>63.913043478260803</v>
      </c>
      <c r="D19" s="51">
        <f>C19*(365/12)</f>
        <v>1944.0217391304329</v>
      </c>
      <c r="E19" s="51">
        <f>E18+D19</f>
        <v>3623.5507246376783</v>
      </c>
    </row>
    <row r="20" spans="1:5">
      <c r="A20" s="51">
        <f t="shared" si="5"/>
        <v>0.12285136501516584</v>
      </c>
      <c r="B20" s="270">
        <v>1.4742163801819901</v>
      </c>
      <c r="C20" s="268">
        <v>69.130434782608702</v>
      </c>
      <c r="D20" s="51">
        <f t="shared" ref="D20:D83" si="6">C20*(365/12)</f>
        <v>2102.717391304348</v>
      </c>
      <c r="E20" s="51">
        <f t="shared" ref="E20:E30" si="7">E19+D20</f>
        <v>5726.2681159420263</v>
      </c>
    </row>
    <row r="21" spans="1:5">
      <c r="A21" s="51">
        <f>B21/12</f>
        <v>0.16885743174924084</v>
      </c>
      <c r="B21" s="270">
        <v>2.0262891809908901</v>
      </c>
      <c r="C21" s="268">
        <v>72.608695652173907</v>
      </c>
      <c r="D21" s="51">
        <f t="shared" si="6"/>
        <v>2208.514492753623</v>
      </c>
      <c r="E21" s="51">
        <f t="shared" si="7"/>
        <v>7934.7826086956493</v>
      </c>
    </row>
    <row r="22" spans="1:5">
      <c r="A22" s="51">
        <f t="shared" si="5"/>
        <v>0.21486349848331585</v>
      </c>
      <c r="B22" s="270">
        <v>2.57836198179979</v>
      </c>
      <c r="C22" s="268">
        <v>76.086956521739197</v>
      </c>
      <c r="D22" s="51">
        <f t="shared" si="6"/>
        <v>2314.3115942029008</v>
      </c>
      <c r="E22" s="51">
        <f t="shared" si="7"/>
        <v>10249.09420289855</v>
      </c>
    </row>
    <row r="23" spans="1:5">
      <c r="A23" s="51">
        <f t="shared" si="5"/>
        <v>0.272497472194135</v>
      </c>
      <c r="B23" s="270">
        <v>3.2699696663296201</v>
      </c>
      <c r="C23" s="268">
        <v>79.565217391304401</v>
      </c>
      <c r="D23" s="51">
        <f t="shared" si="6"/>
        <v>2420.1086956521758</v>
      </c>
      <c r="E23" s="51">
        <f t="shared" si="7"/>
        <v>12669.202898550726</v>
      </c>
    </row>
    <row r="24" spans="1:5">
      <c r="A24" s="51">
        <f t="shared" si="5"/>
        <v>0.3415065722952475</v>
      </c>
      <c r="B24" s="270">
        <v>4.09807886754297</v>
      </c>
      <c r="C24" s="268">
        <v>84.7826086956522</v>
      </c>
      <c r="D24" s="51">
        <f t="shared" si="6"/>
        <v>2578.8043478260879</v>
      </c>
      <c r="E24" s="51">
        <f t="shared" si="7"/>
        <v>15248.007246376814</v>
      </c>
    </row>
    <row r="25" spans="1:5">
      <c r="A25" s="51">
        <f t="shared" si="5"/>
        <v>0.38220424671385161</v>
      </c>
      <c r="B25" s="270">
        <v>4.5864509605662196</v>
      </c>
      <c r="C25" s="268">
        <v>84.7826086956522</v>
      </c>
      <c r="D25" s="51">
        <f t="shared" si="6"/>
        <v>2578.8043478260879</v>
      </c>
      <c r="E25" s="51">
        <f t="shared" si="7"/>
        <v>17826.811594202904</v>
      </c>
    </row>
    <row r="26" spans="1:5">
      <c r="A26" s="51">
        <f t="shared" si="5"/>
        <v>0.4165824064711825</v>
      </c>
      <c r="B26" s="270">
        <v>4.99898887765419</v>
      </c>
      <c r="C26" s="268">
        <v>88.260869565217405</v>
      </c>
      <c r="D26" s="51">
        <f t="shared" si="6"/>
        <v>2684.6014492753629</v>
      </c>
      <c r="E26" s="51">
        <f t="shared" si="7"/>
        <v>20511.413043478267</v>
      </c>
    </row>
    <row r="27" spans="1:5">
      <c r="A27" s="51">
        <f t="shared" si="5"/>
        <v>0.48559150657229505</v>
      </c>
      <c r="B27" s="270">
        <v>5.8270980788675404</v>
      </c>
      <c r="C27" s="268">
        <v>93.478260869565304</v>
      </c>
      <c r="D27" s="51">
        <f t="shared" si="6"/>
        <v>2843.2971014492782</v>
      </c>
      <c r="E27" s="51">
        <f t="shared" si="7"/>
        <v>23354.710144927547</v>
      </c>
    </row>
    <row r="28" spans="1:5">
      <c r="A28" s="51">
        <f t="shared" si="5"/>
        <v>0.55535894843276001</v>
      </c>
      <c r="B28" s="270">
        <v>6.6643073811931197</v>
      </c>
      <c r="C28" s="268">
        <v>93.478260869565304</v>
      </c>
      <c r="D28" s="51">
        <f t="shared" si="6"/>
        <v>2843.2971014492782</v>
      </c>
      <c r="E28" s="51">
        <f t="shared" si="7"/>
        <v>26198.007246376827</v>
      </c>
    </row>
    <row r="29" spans="1:5">
      <c r="A29" s="51">
        <f t="shared" si="5"/>
        <v>0.61931243680485337</v>
      </c>
      <c r="B29" s="270">
        <v>7.43174924165824</v>
      </c>
      <c r="C29" s="268">
        <v>93.478260869565304</v>
      </c>
      <c r="D29" s="51">
        <f t="shared" si="6"/>
        <v>2843.2971014492782</v>
      </c>
      <c r="E29" s="51">
        <f t="shared" si="7"/>
        <v>29041.304347826106</v>
      </c>
    </row>
    <row r="30" spans="1:5">
      <c r="A30" s="51">
        <f t="shared" si="5"/>
        <v>0.67189079878665325</v>
      </c>
      <c r="B30" s="270">
        <v>8.0626895854398395</v>
      </c>
      <c r="C30" s="268">
        <v>92</v>
      </c>
      <c r="D30" s="51">
        <f t="shared" si="6"/>
        <v>2798.3333333333335</v>
      </c>
      <c r="E30" s="51">
        <f t="shared" si="7"/>
        <v>31839.637681159438</v>
      </c>
    </row>
    <row r="31" spans="1:5">
      <c r="A31" s="51">
        <f t="shared" ref="A31:A94" si="8">A30+(1/12)</f>
        <v>0.75522413211998662</v>
      </c>
      <c r="B31" s="269">
        <f t="shared" ref="B31:B82" si="9">A31*12</f>
        <v>9.0626895854398395</v>
      </c>
      <c r="C31" s="51">
        <f>$B$4*(B31^$B$5)</f>
        <v>87.321809873686405</v>
      </c>
      <c r="D31" s="51">
        <f t="shared" si="6"/>
        <v>2656.0383836579617</v>
      </c>
      <c r="E31" s="51">
        <f t="shared" ref="E31:E32" si="10">E30+D31</f>
        <v>34495.676064817402</v>
      </c>
    </row>
    <row r="32" spans="1:5">
      <c r="A32" s="51">
        <f t="shared" si="8"/>
        <v>0.83855746545331999</v>
      </c>
      <c r="B32" s="269">
        <f t="shared" si="9"/>
        <v>10.062689585439839</v>
      </c>
      <c r="C32" s="51">
        <f>$B$4*(B32^$B$5)</f>
        <v>79.205102425857348</v>
      </c>
      <c r="D32" s="51">
        <f t="shared" si="6"/>
        <v>2409.1551987864946</v>
      </c>
      <c r="E32" s="51">
        <f t="shared" si="10"/>
        <v>36904.831263603897</v>
      </c>
    </row>
    <row r="33" spans="1:5">
      <c r="A33" s="51">
        <f t="shared" si="8"/>
        <v>0.92189079878665336</v>
      </c>
      <c r="B33" s="269">
        <f t="shared" si="9"/>
        <v>11.062689585439841</v>
      </c>
      <c r="C33" s="51">
        <f t="shared" ref="C33:C96" si="11">$B$4*(B33^$B$5)</f>
        <v>72.510543092929751</v>
      </c>
      <c r="D33" s="51">
        <f t="shared" si="6"/>
        <v>2205.5290190766132</v>
      </c>
      <c r="E33" s="51">
        <f t="shared" ref="E33:E96" si="12">E32+D33</f>
        <v>39110.360282680507</v>
      </c>
    </row>
    <row r="34" spans="1:5">
      <c r="A34" s="51">
        <f t="shared" si="8"/>
        <v>1.0052241321199866</v>
      </c>
      <c r="B34" s="269">
        <f t="shared" si="9"/>
        <v>12.062689585439839</v>
      </c>
      <c r="C34" s="51">
        <f t="shared" si="11"/>
        <v>66.891412926135061</v>
      </c>
      <c r="D34" s="51">
        <f t="shared" si="6"/>
        <v>2034.6138098366082</v>
      </c>
      <c r="E34" s="51">
        <f t="shared" si="12"/>
        <v>41144.974092517114</v>
      </c>
    </row>
    <row r="35" spans="1:5">
      <c r="A35" s="51">
        <f t="shared" si="8"/>
        <v>1.0885574654533199</v>
      </c>
      <c r="B35" s="269">
        <f t="shared" si="9"/>
        <v>13.062689585439838</v>
      </c>
      <c r="C35" s="51">
        <f t="shared" si="11"/>
        <v>62.105653511985544</v>
      </c>
      <c r="D35" s="51">
        <f t="shared" si="6"/>
        <v>1889.0469609895604</v>
      </c>
      <c r="E35" s="51">
        <f t="shared" si="12"/>
        <v>43034.021053506673</v>
      </c>
    </row>
    <row r="36" spans="1:5">
      <c r="A36" s="51">
        <f t="shared" si="8"/>
        <v>1.1718907987866531</v>
      </c>
      <c r="B36" s="269">
        <f t="shared" si="9"/>
        <v>14.062689585439838</v>
      </c>
      <c r="C36" s="51">
        <f t="shared" si="11"/>
        <v>57.979063733217025</v>
      </c>
      <c r="D36" s="51">
        <f t="shared" si="6"/>
        <v>1763.5298552186846</v>
      </c>
      <c r="E36" s="51">
        <f t="shared" si="12"/>
        <v>44797.550908725359</v>
      </c>
    </row>
    <row r="37" spans="1:5">
      <c r="A37" s="51">
        <f t="shared" si="8"/>
        <v>1.2552241321199864</v>
      </c>
      <c r="B37" s="269">
        <f t="shared" si="9"/>
        <v>15.062689585439838</v>
      </c>
      <c r="C37" s="51">
        <f t="shared" si="11"/>
        <v>54.383026565659094</v>
      </c>
      <c r="D37" s="51">
        <f t="shared" si="6"/>
        <v>1654.1503913721308</v>
      </c>
      <c r="E37" s="51">
        <f t="shared" si="12"/>
        <v>46451.701300097491</v>
      </c>
    </row>
    <row r="38" spans="1:5">
      <c r="A38" s="51">
        <f t="shared" si="8"/>
        <v>1.3385574654533197</v>
      </c>
      <c r="B38" s="269">
        <f t="shared" si="9"/>
        <v>16.062689585439834</v>
      </c>
      <c r="C38" s="51">
        <f t="shared" si="11"/>
        <v>51.220480547096685</v>
      </c>
      <c r="D38" s="51">
        <f t="shared" si="6"/>
        <v>1557.9562833075242</v>
      </c>
      <c r="E38" s="51">
        <f t="shared" si="12"/>
        <v>48009.657583405016</v>
      </c>
    </row>
    <row r="39" spans="1:5">
      <c r="A39" s="51">
        <f t="shared" si="8"/>
        <v>1.4218907987866529</v>
      </c>
      <c r="B39" s="269">
        <f t="shared" si="9"/>
        <v>17.062689585439834</v>
      </c>
      <c r="C39" s="51">
        <f t="shared" si="11"/>
        <v>48.41677899843517</v>
      </c>
      <c r="D39" s="51">
        <f t="shared" si="6"/>
        <v>1472.6770278690699</v>
      </c>
      <c r="E39" s="51">
        <f t="shared" si="12"/>
        <v>49482.334611274084</v>
      </c>
    </row>
    <row r="40" spans="1:5">
      <c r="A40" s="51">
        <f t="shared" si="8"/>
        <v>1.5052241321199862</v>
      </c>
      <c r="B40" s="269">
        <f t="shared" si="9"/>
        <v>18.062689585439834</v>
      </c>
      <c r="C40" s="51">
        <f t="shared" si="11"/>
        <v>45.913557319886465</v>
      </c>
      <c r="D40" s="51">
        <f t="shared" si="6"/>
        <v>1396.5373684798801</v>
      </c>
      <c r="E40" s="51">
        <f t="shared" si="12"/>
        <v>50878.871979753967</v>
      </c>
    </row>
    <row r="41" spans="1:5">
      <c r="A41" s="51">
        <f t="shared" si="8"/>
        <v>1.5885574654533194</v>
      </c>
      <c r="B41" s="269">
        <f t="shared" si="9"/>
        <v>19.062689585439834</v>
      </c>
      <c r="C41" s="51">
        <f t="shared" si="11"/>
        <v>43.664512365176193</v>
      </c>
      <c r="D41" s="51">
        <f t="shared" si="6"/>
        <v>1328.1289177741094</v>
      </c>
      <c r="E41" s="51">
        <f t="shared" si="12"/>
        <v>52207.00089752808</v>
      </c>
    </row>
    <row r="42" spans="1:5">
      <c r="A42" s="51">
        <f t="shared" si="8"/>
        <v>1.6718907987866527</v>
      </c>
      <c r="B42" s="269">
        <f t="shared" si="9"/>
        <v>20.062689585439834</v>
      </c>
      <c r="C42" s="51">
        <f t="shared" si="11"/>
        <v>41.632432019631906</v>
      </c>
      <c r="D42" s="51">
        <f t="shared" si="6"/>
        <v>1266.3198072638038</v>
      </c>
      <c r="E42" s="51">
        <f t="shared" si="12"/>
        <v>53473.320704791884</v>
      </c>
    </row>
    <row r="43" spans="1:5">
      <c r="A43" s="51">
        <f t="shared" si="8"/>
        <v>1.755224132119986</v>
      </c>
      <c r="B43" s="269">
        <f t="shared" si="9"/>
        <v>21.062689585439831</v>
      </c>
      <c r="C43" s="51">
        <f t="shared" si="11"/>
        <v>39.787062804098859</v>
      </c>
      <c r="D43" s="51">
        <f t="shared" si="6"/>
        <v>1210.189826958007</v>
      </c>
      <c r="E43" s="51">
        <f t="shared" si="12"/>
        <v>54683.510531749889</v>
      </c>
    </row>
    <row r="44" spans="1:5">
      <c r="A44" s="51">
        <f t="shared" si="8"/>
        <v>1.8385574654533192</v>
      </c>
      <c r="B44" s="269">
        <f t="shared" si="9"/>
        <v>22.062689585439831</v>
      </c>
      <c r="C44" s="51">
        <f t="shared" si="11"/>
        <v>38.103551762394531</v>
      </c>
      <c r="D44" s="51">
        <f t="shared" si="6"/>
        <v>1158.9830327728337</v>
      </c>
      <c r="E44" s="51">
        <f t="shared" si="12"/>
        <v>55842.493564522723</v>
      </c>
    </row>
    <row r="45" spans="1:5">
      <c r="A45" s="51">
        <f t="shared" si="8"/>
        <v>1.9218907987866525</v>
      </c>
      <c r="B45" s="269">
        <f t="shared" si="9"/>
        <v>23.062689585439831</v>
      </c>
      <c r="C45" s="51">
        <f t="shared" si="11"/>
        <v>36.561289744757445</v>
      </c>
      <c r="D45" s="51">
        <f t="shared" si="6"/>
        <v>1112.0725630697057</v>
      </c>
      <c r="E45" s="51">
        <f t="shared" si="12"/>
        <v>56954.566127592429</v>
      </c>
    </row>
    <row r="46" spans="1:5">
      <c r="A46" s="51">
        <f t="shared" si="8"/>
        <v>2.0052241321199857</v>
      </c>
      <c r="B46" s="269">
        <f t="shared" si="9"/>
        <v>24.062689585439827</v>
      </c>
      <c r="C46" s="51">
        <f t="shared" si="11"/>
        <v>35.143040277399855</v>
      </c>
      <c r="D46" s="51">
        <f t="shared" si="6"/>
        <v>1068.9341417709122</v>
      </c>
      <c r="E46" s="51">
        <f t="shared" si="12"/>
        <v>58023.500269363343</v>
      </c>
    </row>
    <row r="47" spans="1:5">
      <c r="A47" s="51">
        <f t="shared" si="8"/>
        <v>2.0885574654533192</v>
      </c>
      <c r="B47" s="269">
        <f t="shared" si="9"/>
        <v>25.062689585439831</v>
      </c>
      <c r="C47" s="51">
        <f t="shared" si="11"/>
        <v>33.834274914191383</v>
      </c>
      <c r="D47" s="51">
        <f t="shared" si="6"/>
        <v>1029.1258619733212</v>
      </c>
      <c r="E47" s="51">
        <f t="shared" si="12"/>
        <v>59052.626131336663</v>
      </c>
    </row>
    <row r="48" spans="1:5">
      <c r="A48" s="51">
        <f t="shared" si="8"/>
        <v>2.1718907987866527</v>
      </c>
      <c r="B48" s="269">
        <f t="shared" si="9"/>
        <v>26.062689585439834</v>
      </c>
      <c r="C48" s="51">
        <f t="shared" si="11"/>
        <v>32.622660075049097</v>
      </c>
      <c r="D48" s="51">
        <f t="shared" si="6"/>
        <v>992.27257728274344</v>
      </c>
      <c r="E48" s="51">
        <f t="shared" si="12"/>
        <v>60044.89870861941</v>
      </c>
    </row>
    <row r="49" spans="1:5">
      <c r="A49" s="51">
        <f t="shared" si="8"/>
        <v>2.2552241321199862</v>
      </c>
      <c r="B49" s="269">
        <f t="shared" si="9"/>
        <v>27.062689585439834</v>
      </c>
      <c r="C49" s="51">
        <f t="shared" si="11"/>
        <v>31.497656516355335</v>
      </c>
      <c r="D49" s="51">
        <f t="shared" si="6"/>
        <v>958.05371903914147</v>
      </c>
      <c r="E49" s="51">
        <f t="shared" si="12"/>
        <v>61002.952427658551</v>
      </c>
    </row>
    <row r="50" spans="1:5">
      <c r="A50" s="51">
        <f t="shared" si="8"/>
        <v>2.3385574654533197</v>
      </c>
      <c r="B50" s="269">
        <f t="shared" si="9"/>
        <v>28.062689585439834</v>
      </c>
      <c r="C50" s="51">
        <f t="shared" si="11"/>
        <v>30.450203575360582</v>
      </c>
      <c r="D50" s="51">
        <f t="shared" si="6"/>
        <v>926.19369208388446</v>
      </c>
      <c r="E50" s="51">
        <f t="shared" si="12"/>
        <v>61929.146119742436</v>
      </c>
    </row>
    <row r="51" spans="1:5">
      <c r="A51" s="51">
        <f t="shared" si="8"/>
        <v>2.4218907987866531</v>
      </c>
      <c r="B51" s="269">
        <f t="shared" si="9"/>
        <v>29.062689585439838</v>
      </c>
      <c r="C51" s="51">
        <f t="shared" si="11"/>
        <v>29.47246794325341</v>
      </c>
      <c r="D51" s="51">
        <f t="shared" si="6"/>
        <v>896.45423327395793</v>
      </c>
      <c r="E51" s="51">
        <f t="shared" si="12"/>
        <v>62825.600353016394</v>
      </c>
    </row>
    <row r="52" spans="1:5">
      <c r="A52" s="51">
        <f t="shared" si="8"/>
        <v>2.5052241321199866</v>
      </c>
      <c r="B52" s="269">
        <f t="shared" si="9"/>
        <v>30.062689585439841</v>
      </c>
      <c r="C52" s="51">
        <f t="shared" si="11"/>
        <v>28.557642069722547</v>
      </c>
      <c r="D52" s="51">
        <f t="shared" si="6"/>
        <v>868.62827962072754</v>
      </c>
      <c r="E52" s="51">
        <f t="shared" si="12"/>
        <v>63694.228632637125</v>
      </c>
    </row>
    <row r="53" spans="1:5">
      <c r="A53" s="51">
        <f t="shared" si="8"/>
        <v>2.5885574654533201</v>
      </c>
      <c r="B53" s="269">
        <f t="shared" si="9"/>
        <v>31.062689585439841</v>
      </c>
      <c r="C53" s="51">
        <f t="shared" si="11"/>
        <v>27.699781110330612</v>
      </c>
      <c r="D53" s="51">
        <f t="shared" si="6"/>
        <v>842.53500877255613</v>
      </c>
      <c r="E53" s="51">
        <f t="shared" si="12"/>
        <v>64536.763641409678</v>
      </c>
    </row>
    <row r="54" spans="1:5">
      <c r="A54" s="51">
        <f t="shared" si="8"/>
        <v>2.6718907987866536</v>
      </c>
      <c r="B54" s="269">
        <f t="shared" si="9"/>
        <v>32.062689585439841</v>
      </c>
      <c r="C54" s="51">
        <f t="shared" si="11"/>
        <v>26.893670074344161</v>
      </c>
      <c r="D54" s="51">
        <f t="shared" si="6"/>
        <v>818.01579809463499</v>
      </c>
      <c r="E54" s="51">
        <f t="shared" si="12"/>
        <v>65354.779439504309</v>
      </c>
    </row>
    <row r="55" spans="1:5">
      <c r="A55" s="51">
        <f t="shared" si="8"/>
        <v>2.7552241321199871</v>
      </c>
      <c r="B55" s="269">
        <f t="shared" si="9"/>
        <v>33.062689585439841</v>
      </c>
      <c r="C55" s="51">
        <f t="shared" si="11"/>
        <v>26.134714834245361</v>
      </c>
      <c r="D55" s="51">
        <f t="shared" si="6"/>
        <v>794.93090954162983</v>
      </c>
      <c r="E55" s="51">
        <f t="shared" si="12"/>
        <v>66149.710349045941</v>
      </c>
    </row>
    <row r="56" spans="1:5">
      <c r="A56" s="51">
        <f t="shared" si="8"/>
        <v>2.8385574654533205</v>
      </c>
      <c r="B56" s="269">
        <f t="shared" si="9"/>
        <v>34.062689585439848</v>
      </c>
      <c r="C56" s="51">
        <f t="shared" si="11"/>
        <v>25.41885213578972</v>
      </c>
      <c r="D56" s="51">
        <f t="shared" si="6"/>
        <v>773.15675246360399</v>
      </c>
      <c r="E56" s="51">
        <f t="shared" si="12"/>
        <v>66922.867101509546</v>
      </c>
    </row>
    <row r="57" spans="1:5">
      <c r="A57" s="51">
        <f t="shared" si="8"/>
        <v>2.921890798786654</v>
      </c>
      <c r="B57" s="269">
        <f t="shared" si="9"/>
        <v>35.062689585439848</v>
      </c>
      <c r="C57" s="51">
        <f t="shared" si="11"/>
        <v>24.742474848305317</v>
      </c>
      <c r="D57" s="51">
        <f t="shared" si="6"/>
        <v>752.58360996928673</v>
      </c>
      <c r="E57" s="51">
        <f t="shared" si="12"/>
        <v>67675.450711478828</v>
      </c>
    </row>
    <row r="58" spans="1:5">
      <c r="A58" s="51">
        <f t="shared" si="8"/>
        <v>3.0052241321199875</v>
      </c>
      <c r="B58" s="269">
        <f t="shared" si="9"/>
        <v>36.062689585439848</v>
      </c>
      <c r="C58" s="51">
        <f t="shared" si="11"/>
        <v>24.102369522833822</v>
      </c>
      <c r="D58" s="51">
        <f t="shared" si="6"/>
        <v>733.11373965286214</v>
      </c>
      <c r="E58" s="51">
        <f t="shared" si="12"/>
        <v>68408.564451131693</v>
      </c>
    </row>
    <row r="59" spans="1:5">
      <c r="A59" s="51">
        <f t="shared" si="8"/>
        <v>3.088557465453321</v>
      </c>
      <c r="B59" s="269">
        <f t="shared" si="9"/>
        <v>37.062689585439855</v>
      </c>
      <c r="C59" s="51">
        <f t="shared" si="11"/>
        <v>23.49566395390115</v>
      </c>
      <c r="D59" s="51">
        <f t="shared" si="6"/>
        <v>714.65977859782674</v>
      </c>
      <c r="E59" s="51">
        <f t="shared" si="12"/>
        <v>69123.224229729516</v>
      </c>
    </row>
    <row r="60" spans="1:5">
      <c r="A60" s="51">
        <f t="shared" si="8"/>
        <v>3.1718907987866545</v>
      </c>
      <c r="B60" s="269">
        <f t="shared" si="9"/>
        <v>38.062689585439855</v>
      </c>
      <c r="C60" s="51">
        <f t="shared" si="11"/>
        <v>22.919782921340047</v>
      </c>
      <c r="D60" s="51">
        <f t="shared" si="6"/>
        <v>697.14339719075986</v>
      </c>
      <c r="E60" s="51">
        <f t="shared" si="12"/>
        <v>69820.36762692027</v>
      </c>
    </row>
    <row r="61" spans="1:5">
      <c r="A61" s="51">
        <f t="shared" si="8"/>
        <v>3.255224132119988</v>
      </c>
      <c r="B61" s="269">
        <f t="shared" si="9"/>
        <v>39.062689585439855</v>
      </c>
      <c r="C61" s="51">
        <f t="shared" si="11"/>
        <v>22.372410659219039</v>
      </c>
      <c r="D61" s="51">
        <f t="shared" si="6"/>
        <v>680.49415755124573</v>
      </c>
      <c r="E61" s="51">
        <f t="shared" si="12"/>
        <v>70500.861784471519</v>
      </c>
    </row>
    <row r="62" spans="1:5">
      <c r="A62" s="51">
        <f t="shared" si="8"/>
        <v>3.3385574654533214</v>
      </c>
      <c r="B62" s="269">
        <f t="shared" si="9"/>
        <v>40.062689585439855</v>
      </c>
      <c r="C62" s="51">
        <f t="shared" si="11"/>
        <v>21.851458886857582</v>
      </c>
      <c r="D62" s="51">
        <f t="shared" si="6"/>
        <v>664.64854114191814</v>
      </c>
      <c r="E62" s="51">
        <f t="shared" si="12"/>
        <v>71165.510325613432</v>
      </c>
    </row>
    <row r="63" spans="1:5">
      <c r="A63" s="51">
        <f t="shared" si="8"/>
        <v>3.4218907987866549</v>
      </c>
      <c r="B63" s="269">
        <f t="shared" si="9"/>
        <v>41.062689585439855</v>
      </c>
      <c r="C63" s="51">
        <f t="shared" si="11"/>
        <v>21.355039462147872</v>
      </c>
      <c r="D63" s="51">
        <f t="shared" si="6"/>
        <v>649.54911697366447</v>
      </c>
      <c r="E63" s="51">
        <f t="shared" si="12"/>
        <v>71815.059442587095</v>
      </c>
    </row>
    <row r="64" spans="1:5">
      <c r="A64" s="51">
        <f t="shared" si="8"/>
        <v>3.5052241321199884</v>
      </c>
      <c r="B64" s="269">
        <f t="shared" si="9"/>
        <v>42.062689585439863</v>
      </c>
      <c r="C64" s="51">
        <f t="shared" si="11"/>
        <v>20.881440894774173</v>
      </c>
      <c r="D64" s="51">
        <f t="shared" si="6"/>
        <v>635.14382721604773</v>
      </c>
      <c r="E64" s="51">
        <f t="shared" si="12"/>
        <v>72450.20326980314</v>
      </c>
    </row>
    <row r="65" spans="1:5">
      <c r="A65" s="51">
        <f t="shared" si="8"/>
        <v>3.5885574654533219</v>
      </c>
      <c r="B65" s="269">
        <f t="shared" si="9"/>
        <v>43.062689585439863</v>
      </c>
      <c r="C65" s="51">
        <f t="shared" si="11"/>
        <v>20.42910809746995</v>
      </c>
      <c r="D65" s="51">
        <f t="shared" si="6"/>
        <v>621.38537129804433</v>
      </c>
      <c r="E65" s="51">
        <f t="shared" si="12"/>
        <v>73071.588641101189</v>
      </c>
    </row>
    <row r="66" spans="1:5">
      <c r="A66" s="51">
        <f t="shared" si="8"/>
        <v>3.6718907987866554</v>
      </c>
      <c r="B66" s="269">
        <f t="shared" si="9"/>
        <v>44.062689585439863</v>
      </c>
      <c r="C66" s="51">
        <f t="shared" si="11"/>
        <v>19.996624865488887</v>
      </c>
      <c r="D66" s="51">
        <f t="shared" si="6"/>
        <v>608.23067299195361</v>
      </c>
      <c r="E66" s="51">
        <f t="shared" si="12"/>
        <v>73679.81931409314</v>
      </c>
    </row>
    <row r="67" spans="1:5">
      <c r="A67" s="51">
        <f t="shared" si="8"/>
        <v>3.7552241321199888</v>
      </c>
      <c r="B67" s="269">
        <f t="shared" si="9"/>
        <v>45.06268958543987</v>
      </c>
      <c r="C67" s="51">
        <f t="shared" si="11"/>
        <v>19.582698664276563</v>
      </c>
      <c r="D67" s="51">
        <f t="shared" si="6"/>
        <v>595.64041770507879</v>
      </c>
      <c r="E67" s="51">
        <f t="shared" si="12"/>
        <v>74275.459731798212</v>
      </c>
    </row>
    <row r="68" spans="1:5">
      <c r="A68" s="51">
        <f t="shared" si="8"/>
        <v>3.8385574654533223</v>
      </c>
      <c r="B68" s="269">
        <f t="shared" si="9"/>
        <v>46.06268958543987</v>
      </c>
      <c r="C68" s="51">
        <f t="shared" si="11"/>
        <v>19.186147377712356</v>
      </c>
      <c r="D68" s="51">
        <f t="shared" si="6"/>
        <v>583.57864940541754</v>
      </c>
      <c r="E68" s="51">
        <f t="shared" si="12"/>
        <v>74859.038381203631</v>
      </c>
    </row>
    <row r="69" spans="1:5">
      <c r="A69" s="51">
        <f t="shared" si="8"/>
        <v>3.9218907987866558</v>
      </c>
      <c r="B69" s="269">
        <f t="shared" si="9"/>
        <v>47.06268958543987</v>
      </c>
      <c r="C69" s="51">
        <f t="shared" si="11"/>
        <v>18.805887727924883</v>
      </c>
      <c r="D69" s="51">
        <f t="shared" si="6"/>
        <v>572.01241839104853</v>
      </c>
      <c r="E69" s="51">
        <f t="shared" si="12"/>
        <v>75431.050799594683</v>
      </c>
    </row>
    <row r="70" spans="1:5">
      <c r="A70" s="51">
        <f t="shared" si="8"/>
        <v>4.0052241321199888</v>
      </c>
      <c r="B70" s="269">
        <f t="shared" si="9"/>
        <v>48.06268958543987</v>
      </c>
      <c r="C70" s="51">
        <f t="shared" si="11"/>
        <v>18.440925125414772</v>
      </c>
      <c r="D70" s="51">
        <f t="shared" si="6"/>
        <v>560.91147256469935</v>
      </c>
      <c r="E70" s="51">
        <f t="shared" si="12"/>
        <v>75991.962272159377</v>
      </c>
    </row>
    <row r="71" spans="1:5">
      <c r="A71" s="51">
        <f t="shared" si="8"/>
        <v>4.0885574654533219</v>
      </c>
      <c r="B71" s="269">
        <f t="shared" si="9"/>
        <v>49.062689585439863</v>
      </c>
      <c r="C71" s="51">
        <f t="shared" si="11"/>
        <v>18.090344747252011</v>
      </c>
      <c r="D71" s="51">
        <f t="shared" si="6"/>
        <v>550.24798606224874</v>
      </c>
      <c r="E71" s="51">
        <f t="shared" si="12"/>
        <v>76542.210258221632</v>
      </c>
    </row>
    <row r="72" spans="1:5">
      <c r="A72" s="51">
        <f t="shared" si="8"/>
        <v>4.1718907987866549</v>
      </c>
      <c r="B72" s="269">
        <f t="shared" si="9"/>
        <v>50.062689585439855</v>
      </c>
      <c r="C72" s="51">
        <f t="shared" si="11"/>
        <v>17.753303673180092</v>
      </c>
      <c r="D72" s="51">
        <f t="shared" si="6"/>
        <v>539.99632005922786</v>
      </c>
      <c r="E72" s="51">
        <f t="shared" si="12"/>
        <v>77082.206578280864</v>
      </c>
    </row>
    <row r="73" spans="1:5">
      <c r="A73" s="51">
        <f t="shared" si="8"/>
        <v>4.255224132119988</v>
      </c>
      <c r="B73" s="269">
        <f t="shared" si="9"/>
        <v>51.062689585439855</v>
      </c>
      <c r="C73" s="51">
        <f t="shared" si="11"/>
        <v>17.429023935911417</v>
      </c>
      <c r="D73" s="51">
        <f t="shared" si="6"/>
        <v>530.13281138397224</v>
      </c>
      <c r="E73" s="51">
        <f t="shared" si="12"/>
        <v>77612.339389664834</v>
      </c>
    </row>
    <row r="74" spans="1:5">
      <c r="A74" s="51">
        <f t="shared" si="8"/>
        <v>4.338557465453321</v>
      </c>
      <c r="B74" s="269">
        <f t="shared" si="9"/>
        <v>52.062689585439855</v>
      </c>
      <c r="C74" s="51">
        <f t="shared" si="11"/>
        <v>17.116786363808739</v>
      </c>
      <c r="D74" s="51">
        <f t="shared" si="6"/>
        <v>520.63558523251584</v>
      </c>
      <c r="E74" s="51">
        <f t="shared" si="12"/>
        <v>78132.974974897355</v>
      </c>
    </row>
    <row r="75" spans="1:5">
      <c r="A75" s="51">
        <f t="shared" si="8"/>
        <v>4.421890798786654</v>
      </c>
      <c r="B75" s="269">
        <f t="shared" si="9"/>
        <v>53.062689585439848</v>
      </c>
      <c r="C75" s="51">
        <f t="shared" si="11"/>
        <v>16.815925112367772</v>
      </c>
      <c r="D75" s="51">
        <f t="shared" si="6"/>
        <v>511.48438883451973</v>
      </c>
      <c r="E75" s="51">
        <f t="shared" si="12"/>
        <v>78644.459363731876</v>
      </c>
    </row>
    <row r="76" spans="1:5">
      <c r="A76" s="51">
        <f t="shared" si="8"/>
        <v>4.5052241321199871</v>
      </c>
      <c r="B76" s="269">
        <f t="shared" si="9"/>
        <v>54.062689585439841</v>
      </c>
      <c r="C76" s="51">
        <f t="shared" si="11"/>
        <v>16.525822796123915</v>
      </c>
      <c r="D76" s="51">
        <f t="shared" si="6"/>
        <v>502.66044338210241</v>
      </c>
      <c r="E76" s="51">
        <f t="shared" si="12"/>
        <v>79147.119807113981</v>
      </c>
    </row>
    <row r="77" spans="1:5">
      <c r="A77" s="51">
        <f t="shared" si="8"/>
        <v>4.5885574654533201</v>
      </c>
      <c r="B77" s="269">
        <f t="shared" si="9"/>
        <v>55.062689585439841</v>
      </c>
      <c r="C77" s="51">
        <f t="shared" si="11"/>
        <v>16.245906145345117</v>
      </c>
      <c r="D77" s="51">
        <f t="shared" si="6"/>
        <v>494.146311920914</v>
      </c>
      <c r="E77" s="51">
        <f t="shared" si="12"/>
        <v>79641.266119034888</v>
      </c>
    </row>
    <row r="78" spans="1:5">
      <c r="A78" s="51">
        <f t="shared" si="8"/>
        <v>4.6718907987866531</v>
      </c>
      <c r="B78" s="269">
        <f t="shared" si="9"/>
        <v>56.062689585439841</v>
      </c>
      <c r="C78" s="51">
        <f t="shared" si="11"/>
        <v>15.975642122581485</v>
      </c>
      <c r="D78" s="51">
        <f t="shared" si="6"/>
        <v>485.92578122852018</v>
      </c>
      <c r="E78" s="51">
        <f t="shared" si="12"/>
        <v>80127.191900263409</v>
      </c>
    </row>
    <row r="79" spans="1:5">
      <c r="A79" s="51">
        <f t="shared" si="8"/>
        <v>4.7552241321199862</v>
      </c>
      <c r="B79" s="269">
        <f t="shared" si="9"/>
        <v>57.062689585439834</v>
      </c>
      <c r="C79" s="51">
        <f t="shared" si="11"/>
        <v>15.714534443173346</v>
      </c>
      <c r="D79" s="51">
        <f t="shared" si="6"/>
        <v>477.98375597985597</v>
      </c>
      <c r="E79" s="51">
        <f t="shared" si="12"/>
        <v>80605.175656243271</v>
      </c>
    </row>
    <row r="80" spans="1:5">
      <c r="A80" s="51">
        <f t="shared" si="8"/>
        <v>4.8385574654533192</v>
      </c>
      <c r="B80" s="269">
        <f t="shared" si="9"/>
        <v>58.062689585439827</v>
      </c>
      <c r="C80" s="51">
        <f t="shared" si="11"/>
        <v>15.462120451460358</v>
      </c>
      <c r="D80" s="51">
        <f t="shared" si="6"/>
        <v>470.30616373191924</v>
      </c>
      <c r="E80" s="51">
        <f t="shared" si="12"/>
        <v>81075.48181997519</v>
      </c>
    </row>
    <row r="81" spans="1:5">
      <c r="A81" s="51">
        <f t="shared" si="8"/>
        <v>4.9218907987866523</v>
      </c>
      <c r="B81" s="269">
        <f t="shared" si="9"/>
        <v>59.062689585439827</v>
      </c>
      <c r="C81" s="51">
        <f t="shared" si="11"/>
        <v>15.217968310919023</v>
      </c>
      <c r="D81" s="51">
        <f t="shared" si="6"/>
        <v>462.87986945712032</v>
      </c>
      <c r="E81" s="51">
        <f t="shared" si="12"/>
        <v>81538.361689432306</v>
      </c>
    </row>
    <row r="82" spans="1:5">
      <c r="A82" s="51">
        <f t="shared" si="8"/>
        <v>5.0052241321199853</v>
      </c>
      <c r="B82" s="269">
        <f t="shared" si="9"/>
        <v>60.062689585439827</v>
      </c>
      <c r="C82" s="51">
        <f t="shared" si="11"/>
        <v>14.981674471976095</v>
      </c>
      <c r="D82" s="51">
        <f t="shared" si="6"/>
        <v>455.69259852260626</v>
      </c>
      <c r="E82" s="51">
        <f t="shared" si="12"/>
        <v>81994.054287954918</v>
      </c>
    </row>
    <row r="83" spans="1:5">
      <c r="A83" s="51">
        <f t="shared" si="8"/>
        <v>5.0885574654533183</v>
      </c>
      <c r="B83" s="269">
        <f t="shared" ref="B83:B146" si="13">A83*12</f>
        <v>61.06268958543982</v>
      </c>
      <c r="C83" s="51">
        <f t="shared" si="11"/>
        <v>14.752861385956795</v>
      </c>
      <c r="D83" s="51">
        <f t="shared" si="6"/>
        <v>448.73286715618588</v>
      </c>
      <c r="E83" s="51">
        <f t="shared" si="12"/>
        <v>82442.787155111102</v>
      </c>
    </row>
    <row r="84" spans="1:5">
      <c r="A84" s="51">
        <f t="shared" si="8"/>
        <v>5.1718907987866514</v>
      </c>
      <c r="B84" s="269">
        <f t="shared" si="13"/>
        <v>62.062689585439813</v>
      </c>
      <c r="C84" s="51">
        <f t="shared" si="11"/>
        <v>14.531175437660563</v>
      </c>
      <c r="D84" s="51">
        <f t="shared" ref="D84:D147" si="14">C84*(365/12)</f>
        <v>441.98991956217549</v>
      </c>
      <c r="E84" s="51">
        <f t="shared" si="12"/>
        <v>82884.777074673271</v>
      </c>
    </row>
    <row r="85" spans="1:5">
      <c r="A85" s="51">
        <f t="shared" si="8"/>
        <v>5.2552241321199844</v>
      </c>
      <c r="B85" s="269">
        <f t="shared" si="13"/>
        <v>63.062689585439813</v>
      </c>
      <c r="C85" s="51">
        <f t="shared" si="11"/>
        <v>14.316285072518946</v>
      </c>
      <c r="D85" s="51">
        <f t="shared" si="14"/>
        <v>435.45367095578462</v>
      </c>
      <c r="E85" s="51">
        <f t="shared" si="12"/>
        <v>83320.230745629058</v>
      </c>
    </row>
    <row r="86" spans="1:5">
      <c r="A86" s="51">
        <f t="shared" si="8"/>
        <v>5.3385574654533174</v>
      </c>
      <c r="B86" s="269">
        <f t="shared" si="13"/>
        <v>64.062689585439813</v>
      </c>
      <c r="C86" s="51">
        <f t="shared" si="11"/>
        <v>14.107879097268537</v>
      </c>
      <c r="D86" s="51">
        <f t="shared" si="14"/>
        <v>429.11465587525134</v>
      </c>
      <c r="E86" s="51">
        <f t="shared" si="12"/>
        <v>83749.34540150431</v>
      </c>
    </row>
    <row r="87" spans="1:5">
      <c r="A87" s="51">
        <f t="shared" si="8"/>
        <v>5.4218907987866505</v>
      </c>
      <c r="B87" s="269">
        <f t="shared" si="13"/>
        <v>65.062689585439813</v>
      </c>
      <c r="C87" s="51">
        <f t="shared" si="11"/>
        <v>13.905665135642371</v>
      </c>
      <c r="D87" s="51">
        <f t="shared" si="14"/>
        <v>422.96398120912215</v>
      </c>
      <c r="E87" s="51">
        <f t="shared" si="12"/>
        <v>84172.309382713429</v>
      </c>
    </row>
    <row r="88" spans="1:5">
      <c r="A88" s="51">
        <f t="shared" si="8"/>
        <v>5.5052241321199835</v>
      </c>
      <c r="B88" s="269">
        <f t="shared" si="13"/>
        <v>66.062689585439799</v>
      </c>
      <c r="C88" s="51">
        <f t="shared" si="11"/>
        <v>13.709368222804653</v>
      </c>
      <c r="D88" s="51">
        <f t="shared" si="14"/>
        <v>416.99328344364153</v>
      </c>
      <c r="E88" s="51">
        <f t="shared" si="12"/>
        <v>84589.302666157077</v>
      </c>
    </row>
    <row r="89" spans="1:5">
      <c r="A89" s="51">
        <f t="shared" si="8"/>
        <v>5.5885574654533166</v>
      </c>
      <c r="B89" s="269">
        <f t="shared" si="13"/>
        <v>67.062689585439799</v>
      </c>
      <c r="C89" s="51">
        <f t="shared" si="11"/>
        <v>13.518729524179966</v>
      </c>
      <c r="D89" s="51">
        <f t="shared" si="14"/>
        <v>411.19468969380728</v>
      </c>
      <c r="E89" s="51">
        <f t="shared" si="12"/>
        <v>85000.497355850879</v>
      </c>
    </row>
    <row r="90" spans="1:5">
      <c r="A90" s="51">
        <f t="shared" si="8"/>
        <v>5.6718907987866496</v>
      </c>
      <c r="B90" s="269">
        <f t="shared" si="13"/>
        <v>68.062689585439799</v>
      </c>
      <c r="C90" s="51">
        <f t="shared" si="11"/>
        <v>13.333505166001077</v>
      </c>
      <c r="D90" s="51">
        <f t="shared" si="14"/>
        <v>405.56078213253278</v>
      </c>
      <c r="E90" s="51">
        <f t="shared" si="12"/>
        <v>85406.058137983418</v>
      </c>
    </row>
    <row r="91" spans="1:5">
      <c r="A91" s="51">
        <f t="shared" si="8"/>
        <v>5.7552241321199826</v>
      </c>
      <c r="B91" s="269">
        <f t="shared" si="13"/>
        <v>69.062689585439784</v>
      </c>
      <c r="C91" s="51">
        <f t="shared" si="11"/>
        <v>13.153465166356179</v>
      </c>
      <c r="D91" s="51">
        <f t="shared" si="14"/>
        <v>400.08456547666714</v>
      </c>
      <c r="E91" s="51">
        <f t="shared" si="12"/>
        <v>85806.142703460078</v>
      </c>
    </row>
    <row r="92" spans="1:5">
      <c r="A92" s="51">
        <f t="shared" si="8"/>
        <v>5.8385574654533157</v>
      </c>
      <c r="B92" s="269">
        <f t="shared" si="13"/>
        <v>70.062689585439784</v>
      </c>
      <c r="C92" s="51">
        <f t="shared" si="11"/>
        <v>12.978392456787006</v>
      </c>
      <c r="D92" s="51">
        <f t="shared" si="14"/>
        <v>394.75943722727146</v>
      </c>
      <c r="E92" s="51">
        <f t="shared" si="12"/>
        <v>86200.902140687351</v>
      </c>
    </row>
    <row r="93" spans="1:5">
      <c r="A93" s="51">
        <f t="shared" si="8"/>
        <v>5.9218907987866487</v>
      </c>
      <c r="B93" s="269">
        <f t="shared" si="13"/>
        <v>71.062689585439784</v>
      </c>
      <c r="C93" s="51">
        <f t="shared" si="11"/>
        <v>12.808081985600456</v>
      </c>
      <c r="D93" s="51">
        <f t="shared" si="14"/>
        <v>389.57916039534723</v>
      </c>
      <c r="E93" s="51">
        <f t="shared" si="12"/>
        <v>86590.481301082691</v>
      </c>
    </row>
    <row r="94" spans="1:5">
      <c r="A94" s="51">
        <f t="shared" si="8"/>
        <v>6.0052241321199817</v>
      </c>
      <c r="B94" s="269">
        <f t="shared" si="13"/>
        <v>72.062689585439784</v>
      </c>
      <c r="C94" s="51">
        <f t="shared" si="11"/>
        <v>12.642339895029579</v>
      </c>
      <c r="D94" s="51">
        <f t="shared" si="14"/>
        <v>384.53783847381641</v>
      </c>
      <c r="E94" s="51">
        <f t="shared" si="12"/>
        <v>86975.019139556505</v>
      </c>
    </row>
    <row r="95" spans="1:5">
      <c r="A95" s="51">
        <f t="shared" ref="A95:A158" si="15">A94+(1/12)</f>
        <v>6.0885574654533148</v>
      </c>
      <c r="B95" s="269">
        <f t="shared" si="13"/>
        <v>73.062689585439784</v>
      </c>
      <c r="C95" s="51">
        <f t="shared" si="11"/>
        <v>12.480982765233662</v>
      </c>
      <c r="D95" s="51">
        <f t="shared" si="14"/>
        <v>379.6298924425239</v>
      </c>
      <c r="E95" s="51">
        <f t="shared" si="12"/>
        <v>87354.649031999026</v>
      </c>
    </row>
    <row r="96" spans="1:5">
      <c r="A96" s="51">
        <f t="shared" si="15"/>
        <v>6.1718907987866478</v>
      </c>
      <c r="B96" s="269">
        <f t="shared" si="13"/>
        <v>74.06268958543977</v>
      </c>
      <c r="C96" s="51">
        <f t="shared" si="11"/>
        <v>12.32383691887879</v>
      </c>
      <c r="D96" s="51">
        <f t="shared" si="14"/>
        <v>374.85003961589655</v>
      </c>
      <c r="E96" s="51">
        <f t="shared" si="12"/>
        <v>87729.499071614919</v>
      </c>
    </row>
    <row r="97" spans="1:5">
      <c r="A97" s="51">
        <f t="shared" si="15"/>
        <v>6.2552241321199809</v>
      </c>
      <c r="B97" s="269">
        <f t="shared" si="13"/>
        <v>75.06268958543977</v>
      </c>
      <c r="C97" s="51">
        <f t="shared" ref="C97:C160" si="16">$B$4*(B97^$B$5)</f>
        <v>12.170737780701495</v>
      </c>
      <c r="D97" s="51">
        <f t="shared" si="14"/>
        <v>370.19327416300382</v>
      </c>
      <c r="E97" s="51">
        <f t="shared" ref="E97:E160" si="17">E96+D97</f>
        <v>88099.692345777919</v>
      </c>
    </row>
    <row r="98" spans="1:5">
      <c r="A98" s="51">
        <f t="shared" si="15"/>
        <v>6.3385574654533139</v>
      </c>
      <c r="B98" s="269">
        <f t="shared" si="13"/>
        <v>76.06268958543977</v>
      </c>
      <c r="C98" s="51">
        <f t="shared" si="16"/>
        <v>12.021529287042206</v>
      </c>
      <c r="D98" s="51">
        <f t="shared" si="14"/>
        <v>365.65484914753381</v>
      </c>
      <c r="E98" s="51">
        <f t="shared" si="17"/>
        <v>88465.34719492546</v>
      </c>
    </row>
    <row r="99" spans="1:5">
      <c r="A99" s="51">
        <f t="shared" si="15"/>
        <v>6.4218907987866469</v>
      </c>
      <c r="B99" s="269">
        <f t="shared" si="13"/>
        <v>77.062689585439756</v>
      </c>
      <c r="C99" s="51">
        <f t="shared" si="16"/>
        <v>11.876063340851779</v>
      </c>
      <c r="D99" s="51">
        <f t="shared" si="14"/>
        <v>361.23025995090831</v>
      </c>
      <c r="E99" s="51">
        <f t="shared" si="17"/>
        <v>88826.577454876373</v>
      </c>
    </row>
    <row r="100" spans="1:5">
      <c r="A100" s="51">
        <f t="shared" si="15"/>
        <v>6.50522413211998</v>
      </c>
      <c r="B100" s="269">
        <f t="shared" si="13"/>
        <v>78.062689585439756</v>
      </c>
      <c r="C100" s="51">
        <f t="shared" si="16"/>
        <v>11.734199308130824</v>
      </c>
      <c r="D100" s="51">
        <f t="shared" si="14"/>
        <v>356.91522895564594</v>
      </c>
      <c r="E100" s="51">
        <f t="shared" si="17"/>
        <v>89183.492683832024</v>
      </c>
    </row>
    <row r="101" spans="1:5">
      <c r="A101" s="51">
        <f t="shared" si="15"/>
        <v>6.588557465453313</v>
      </c>
      <c r="B101" s="269">
        <f t="shared" si="13"/>
        <v>79.062689585439756</v>
      </c>
      <c r="C101" s="51">
        <f t="shared" si="16"/>
        <v>11.595803552167947</v>
      </c>
      <c r="D101" s="51">
        <f t="shared" si="14"/>
        <v>352.70569137844171</v>
      </c>
      <c r="E101" s="51">
        <f t="shared" si="17"/>
        <v>89536.198375210472</v>
      </c>
    </row>
    <row r="102" spans="1:5">
      <c r="A102" s="51">
        <f t="shared" si="15"/>
        <v>6.671890798786646</v>
      </c>
      <c r="B102" s="269">
        <f t="shared" si="13"/>
        <v>80.062689585439756</v>
      </c>
      <c r="C102" s="51">
        <f t="shared" si="16"/>
        <v>11.460749002302375</v>
      </c>
      <c r="D102" s="51">
        <f t="shared" si="14"/>
        <v>348.59778215336394</v>
      </c>
      <c r="E102" s="51">
        <f t="shared" si="17"/>
        <v>89884.796157363831</v>
      </c>
    </row>
    <row r="103" spans="1:5">
      <c r="A103" s="51">
        <f t="shared" si="15"/>
        <v>6.7552241321199791</v>
      </c>
      <c r="B103" s="269">
        <f t="shared" si="13"/>
        <v>81.062689585439756</v>
      </c>
      <c r="C103" s="51">
        <f t="shared" si="16"/>
        <v>11.328914754257504</v>
      </c>
      <c r="D103" s="51">
        <f t="shared" si="14"/>
        <v>344.58782377533242</v>
      </c>
      <c r="E103" s="51">
        <f t="shared" si="17"/>
        <v>90229.383981139166</v>
      </c>
    </row>
    <row r="104" spans="1:5">
      <c r="A104" s="51">
        <f t="shared" si="15"/>
        <v>6.8385574654533121</v>
      </c>
      <c r="B104" s="269">
        <f t="shared" si="13"/>
        <v>82.062689585439742</v>
      </c>
      <c r="C104" s="51">
        <f t="shared" si="16"/>
        <v>11.200185699377407</v>
      </c>
      <c r="D104" s="51">
        <f t="shared" si="14"/>
        <v>340.67231502272949</v>
      </c>
      <c r="E104" s="51">
        <f t="shared" si="17"/>
        <v>90570.0562961619</v>
      </c>
    </row>
    <row r="105" spans="1:5">
      <c r="A105" s="51">
        <f t="shared" si="15"/>
        <v>6.9218907987866451</v>
      </c>
      <c r="B105" s="269">
        <f t="shared" si="13"/>
        <v>83.062689585439742</v>
      </c>
      <c r="C105" s="51">
        <f t="shared" si="16"/>
        <v>11.074452180353081</v>
      </c>
      <c r="D105" s="51">
        <f t="shared" si="14"/>
        <v>336.84792048573956</v>
      </c>
      <c r="E105" s="51">
        <f t="shared" si="17"/>
        <v>90906.904216647643</v>
      </c>
    </row>
    <row r="106" spans="1:5">
      <c r="A106" s="51">
        <f t="shared" si="15"/>
        <v>7.0052241321199782</v>
      </c>
      <c r="B106" s="269">
        <f t="shared" si="13"/>
        <v>84.062689585439742</v>
      </c>
      <c r="C106" s="51">
        <f t="shared" si="16"/>
        <v>10.951609671253077</v>
      </c>
      <c r="D106" s="51">
        <f t="shared" si="14"/>
        <v>333.11146083394777</v>
      </c>
      <c r="E106" s="51">
        <f t="shared" si="17"/>
        <v>91240.015677481584</v>
      </c>
    </row>
    <row r="107" spans="1:5">
      <c r="A107" s="51">
        <f t="shared" si="15"/>
        <v>7.0885574654533112</v>
      </c>
      <c r="B107" s="269">
        <f t="shared" si="13"/>
        <v>85.062689585439728</v>
      </c>
      <c r="C107" s="51">
        <f t="shared" si="16"/>
        <v>10.831558479877252</v>
      </c>
      <c r="D107" s="51">
        <f t="shared" si="14"/>
        <v>329.4599037629331</v>
      </c>
      <c r="E107" s="51">
        <f t="shared" si="17"/>
        <v>91569.475581244522</v>
      </c>
    </row>
    <row r="108" spans="1:5">
      <c r="A108" s="51">
        <f t="shared" si="15"/>
        <v>7.1718907987866443</v>
      </c>
      <c r="B108" s="269">
        <f t="shared" si="13"/>
        <v>86.062689585439728</v>
      </c>
      <c r="C108" s="51">
        <f t="shared" si="16"/>
        <v>10.714203470634567</v>
      </c>
      <c r="D108" s="51">
        <f t="shared" si="14"/>
        <v>325.89035556513477</v>
      </c>
      <c r="E108" s="51">
        <f t="shared" si="17"/>
        <v>91895.365936809656</v>
      </c>
    </row>
    <row r="109" spans="1:5">
      <c r="A109" s="51">
        <f t="shared" si="15"/>
        <v>7.2552241321199773</v>
      </c>
      <c r="B109" s="269">
        <f t="shared" si="13"/>
        <v>87.062689585439728</v>
      </c>
      <c r="C109" s="51">
        <f t="shared" si="16"/>
        <v>10.599453806310406</v>
      </c>
      <c r="D109" s="51">
        <f t="shared" si="14"/>
        <v>322.40005327527484</v>
      </c>
      <c r="E109" s="51">
        <f t="shared" si="17"/>
        <v>92217.765990084925</v>
      </c>
    </row>
    <row r="110" spans="1:5">
      <c r="A110" s="51">
        <f t="shared" si="15"/>
        <v>7.3385574654533103</v>
      </c>
      <c r="B110" s="269">
        <f t="shared" si="13"/>
        <v>88.062689585439728</v>
      </c>
      <c r="C110" s="51">
        <f t="shared" si="16"/>
        <v>10.487222707235683</v>
      </c>
      <c r="D110" s="51">
        <f t="shared" si="14"/>
        <v>318.98635734508537</v>
      </c>
      <c r="E110" s="51">
        <f t="shared" si="17"/>
        <v>92536.752347430011</v>
      </c>
    </row>
    <row r="111" spans="1:5">
      <c r="A111" s="51">
        <f t="shared" si="15"/>
        <v>7.4218907987866434</v>
      </c>
      <c r="B111" s="269">
        <f t="shared" si="13"/>
        <v>89.062689585439728</v>
      </c>
      <c r="C111" s="51">
        <f t="shared" si="16"/>
        <v>10.377427226502917</v>
      </c>
      <c r="D111" s="51">
        <f t="shared" si="14"/>
        <v>315.64674480613041</v>
      </c>
      <c r="E111" s="51">
        <f t="shared" si="17"/>
        <v>92852.399092236141</v>
      </c>
    </row>
    <row r="112" spans="1:5">
      <c r="A112" s="51">
        <f t="shared" si="15"/>
        <v>7.5052241321199764</v>
      </c>
      <c r="B112" s="269">
        <f t="shared" si="13"/>
        <v>90.062689585439713</v>
      </c>
      <c r="C112" s="51">
        <f t="shared" si="16"/>
        <v>10.269988039993605</v>
      </c>
      <c r="D112" s="51">
        <f t="shared" si="14"/>
        <v>312.3788028831388</v>
      </c>
      <c r="E112" s="51">
        <f t="shared" si="17"/>
        <v>93164.777895119274</v>
      </c>
    </row>
    <row r="113" spans="1:5">
      <c r="A113" s="51">
        <f t="shared" si="15"/>
        <v>7.5885574654533094</v>
      </c>
      <c r="B113" s="269">
        <f t="shared" si="13"/>
        <v>91.062689585439713</v>
      </c>
      <c r="C113" s="51">
        <f t="shared" si="16"/>
        <v>10.164829250088889</v>
      </c>
      <c r="D113" s="51">
        <f t="shared" si="14"/>
        <v>309.18022302353705</v>
      </c>
      <c r="E113" s="51">
        <f t="shared" si="17"/>
        <v>93473.958118142808</v>
      </c>
    </row>
    <row r="114" spans="1:5">
      <c r="A114" s="51">
        <f t="shared" si="15"/>
        <v>7.6718907987866425</v>
      </c>
      <c r="B114" s="269">
        <f t="shared" si="13"/>
        <v>92.062689585439713</v>
      </c>
      <c r="C114" s="51">
        <f t="shared" si="16"/>
        <v>10.061878202033057</v>
      </c>
      <c r="D114" s="51">
        <f t="shared" si="14"/>
        <v>306.04879531183883</v>
      </c>
      <c r="E114" s="51">
        <f t="shared" si="17"/>
        <v>93780.00691345465</v>
      </c>
    </row>
    <row r="115" spans="1:5">
      <c r="A115" s="51">
        <f t="shared" si="15"/>
        <v>7.7552241321199755</v>
      </c>
      <c r="B115" s="269">
        <f t="shared" si="13"/>
        <v>93.062689585439699</v>
      </c>
      <c r="C115" s="51">
        <f t="shared" si="16"/>
        <v>9.9610653120067525</v>
      </c>
      <c r="D115" s="51">
        <f t="shared" si="14"/>
        <v>302.98240324020537</v>
      </c>
      <c r="E115" s="51">
        <f t="shared" si="17"/>
        <v>94082.98931669486</v>
      </c>
    </row>
    <row r="116" spans="1:5">
      <c r="A116" s="51">
        <f t="shared" si="15"/>
        <v>7.8385574654533086</v>
      </c>
      <c r="B116" s="269">
        <f t="shared" si="13"/>
        <v>94.062689585439699</v>
      </c>
      <c r="C116" s="51">
        <f t="shared" si="16"/>
        <v>9.8623239060467895</v>
      </c>
      <c r="D116" s="51">
        <f t="shared" si="14"/>
        <v>299.97901880892317</v>
      </c>
      <c r="E116" s="51">
        <f t="shared" si="17"/>
        <v>94382.968335503785</v>
      </c>
    </row>
    <row r="117" spans="1:5">
      <c r="A117" s="51">
        <f t="shared" si="15"/>
        <v>7.9218907987866416</v>
      </c>
      <c r="B117" s="269">
        <f t="shared" si="13"/>
        <v>95.062689585439699</v>
      </c>
      <c r="C117" s="51">
        <f t="shared" si="16"/>
        <v>9.7655900690212896</v>
      </c>
      <c r="D117" s="51">
        <f t="shared" si="14"/>
        <v>297.03669793273093</v>
      </c>
      <c r="E117" s="51">
        <f t="shared" si="17"/>
        <v>94680.005033436522</v>
      </c>
    </row>
    <row r="118" spans="1:5">
      <c r="A118" s="51">
        <f t="shared" si="15"/>
        <v>8.0052241321199755</v>
      </c>
      <c r="B118" s="269">
        <f t="shared" si="13"/>
        <v>96.062689585439699</v>
      </c>
      <c r="C118" s="51">
        <f t="shared" si="16"/>
        <v>9.6708025029343307</v>
      </c>
      <c r="D118" s="51">
        <f t="shared" si="14"/>
        <v>294.15357613091925</v>
      </c>
      <c r="E118" s="51">
        <f t="shared" si="17"/>
        <v>94974.158609567443</v>
      </c>
    </row>
    <row r="119" spans="1:5">
      <c r="A119" s="51">
        <f t="shared" si="15"/>
        <v>8.0885574654533094</v>
      </c>
      <c r="B119" s="269">
        <f t="shared" si="13"/>
        <v>97.062689585439713</v>
      </c>
      <c r="C119" s="51">
        <f t="shared" si="16"/>
        <v>9.5779023938933552</v>
      </c>
      <c r="D119" s="51">
        <f t="shared" si="14"/>
        <v>291.32786448092293</v>
      </c>
      <c r="E119" s="51">
        <f t="shared" si="17"/>
        <v>95265.486474048361</v>
      </c>
    </row>
    <row r="120" spans="1:5">
      <c r="A120" s="51">
        <f t="shared" si="15"/>
        <v>8.1718907987866434</v>
      </c>
      <c r="B120" s="269">
        <f t="shared" si="13"/>
        <v>98.062689585439728</v>
      </c>
      <c r="C120" s="51">
        <f t="shared" si="16"/>
        <v>9.4868332871271193</v>
      </c>
      <c r="D120" s="51">
        <f t="shared" si="14"/>
        <v>288.55784581678324</v>
      </c>
      <c r="E120" s="51">
        <f t="shared" si="17"/>
        <v>95554.044319865148</v>
      </c>
    </row>
    <row r="121" spans="1:5">
      <c r="A121" s="51">
        <f t="shared" si="15"/>
        <v>8.2552241321199773</v>
      </c>
      <c r="B121" s="269">
        <f t="shared" si="13"/>
        <v>99.062689585439728</v>
      </c>
      <c r="C121" s="51">
        <f t="shared" si="16"/>
        <v>9.3975409694902616</v>
      </c>
      <c r="D121" s="51">
        <f t="shared" si="14"/>
        <v>285.84187115532882</v>
      </c>
      <c r="E121" s="51">
        <f t="shared" si="17"/>
        <v>95839.886191020472</v>
      </c>
    </row>
    <row r="122" spans="1:5">
      <c r="A122" s="51">
        <f t="shared" si="15"/>
        <v>8.3385574654533112</v>
      </c>
      <c r="B122" s="269">
        <f t="shared" si="13"/>
        <v>100.06268958543973</v>
      </c>
      <c r="C122" s="51">
        <f t="shared" si="16"/>
        <v>9.3099733589359026</v>
      </c>
      <c r="D122" s="51">
        <f t="shared" si="14"/>
        <v>283.17835633430036</v>
      </c>
      <c r="E122" s="51">
        <f t="shared" si="17"/>
        <v>96123.064547354777</v>
      </c>
    </row>
    <row r="123" spans="1:5">
      <c r="A123" s="51">
        <f t="shared" si="15"/>
        <v>8.4218907987866451</v>
      </c>
      <c r="B123" s="269">
        <f t="shared" si="13"/>
        <v>101.06268958543974</v>
      </c>
      <c r="C123" s="51">
        <f t="shared" si="16"/>
        <v>9.2240804004779964</v>
      </c>
      <c r="D123" s="51">
        <f t="shared" si="14"/>
        <v>280.56577884787242</v>
      </c>
      <c r="E123" s="51">
        <f t="shared" si="17"/>
        <v>96403.630326202649</v>
      </c>
    </row>
    <row r="124" spans="1:5">
      <c r="A124" s="51">
        <f t="shared" si="15"/>
        <v>8.5052241321199791</v>
      </c>
      <c r="B124" s="269">
        <f t="shared" si="13"/>
        <v>102.06268958543976</v>
      </c>
      <c r="C124" s="51">
        <f t="shared" si="16"/>
        <v>9.1398139682027573</v>
      </c>
      <c r="D124" s="51">
        <f t="shared" si="14"/>
        <v>278.00267486616718</v>
      </c>
      <c r="E124" s="51">
        <f t="shared" si="17"/>
        <v>96681.633001068811</v>
      </c>
    </row>
    <row r="125" spans="1:5">
      <c r="A125" s="51">
        <f t="shared" si="15"/>
        <v>8.588557465453313</v>
      </c>
      <c r="B125" s="269">
        <f t="shared" si="13"/>
        <v>103.06268958543976</v>
      </c>
      <c r="C125" s="51">
        <f t="shared" si="16"/>
        <v>9.0571277729217918</v>
      </c>
      <c r="D125" s="51">
        <f t="shared" si="14"/>
        <v>275.48763642637118</v>
      </c>
      <c r="E125" s="51">
        <f t="shared" si="17"/>
        <v>96957.120637495187</v>
      </c>
    </row>
    <row r="126" spans="1:5">
      <c r="A126" s="51">
        <f t="shared" si="15"/>
        <v>8.6718907987866469</v>
      </c>
      <c r="B126" s="269">
        <f t="shared" si="13"/>
        <v>104.06268958543976</v>
      </c>
      <c r="C126" s="51">
        <f t="shared" si="16"/>
        <v>8.9759772750913083</v>
      </c>
      <c r="D126" s="51">
        <f t="shared" si="14"/>
        <v>273.01930878402732</v>
      </c>
      <c r="E126" s="51">
        <f t="shared" si="17"/>
        <v>97230.139946279218</v>
      </c>
    </row>
    <row r="127" spans="1:5">
      <c r="A127" s="51">
        <f t="shared" si="15"/>
        <v>8.7552241321199809</v>
      </c>
      <c r="B127" s="269">
        <f t="shared" si="13"/>
        <v>105.06268958543977</v>
      </c>
      <c r="C127" s="51">
        <f t="shared" si="16"/>
        <v>8.8963196026496991</v>
      </c>
      <c r="D127" s="51">
        <f t="shared" si="14"/>
        <v>270.59638791392837</v>
      </c>
      <c r="E127" s="51">
        <f t="shared" si="17"/>
        <v>97500.736334193149</v>
      </c>
    </row>
    <row r="128" spans="1:5">
      <c r="A128" s="51">
        <f t="shared" si="15"/>
        <v>8.8385574654533148</v>
      </c>
      <c r="B128" s="269">
        <f t="shared" si="13"/>
        <v>106.06268958543978</v>
      </c>
      <c r="C128" s="51">
        <f t="shared" si="16"/>
        <v>8.8181134734519553</v>
      </c>
      <c r="D128" s="51">
        <f t="shared" si="14"/>
        <v>268.21761815083033</v>
      </c>
      <c r="E128" s="51">
        <f t="shared" si="17"/>
        <v>97768.953952343974</v>
      </c>
    </row>
    <row r="129" spans="1:5">
      <c r="A129" s="51">
        <f t="shared" si="15"/>
        <v>8.9218907987866487</v>
      </c>
      <c r="B129" s="269">
        <f t="shared" si="13"/>
        <v>107.06268958543978</v>
      </c>
      <c r="C129" s="51">
        <f t="shared" si="16"/>
        <v>8.7413191220031141</v>
      </c>
      <c r="D129" s="51">
        <f t="shared" si="14"/>
        <v>265.88178996092807</v>
      </c>
      <c r="E129" s="51">
        <f t="shared" si="17"/>
        <v>98034.835742304902</v>
      </c>
    </row>
    <row r="130" spans="1:5">
      <c r="A130" s="51">
        <f t="shared" si="15"/>
        <v>9.0052241321199826</v>
      </c>
      <c r="B130" s="269">
        <f t="shared" si="13"/>
        <v>108.06268958543978</v>
      </c>
      <c r="C130" s="51">
        <f t="shared" si="16"/>
        <v>8.665898230215042</v>
      </c>
      <c r="D130" s="51">
        <f t="shared" si="14"/>
        <v>263.58773783570751</v>
      </c>
      <c r="E130" s="51">
        <f t="shared" si="17"/>
        <v>98298.423480140613</v>
      </c>
    </row>
    <row r="131" spans="1:5">
      <c r="A131" s="51">
        <f t="shared" si="15"/>
        <v>9.0885574654533166</v>
      </c>
      <c r="B131" s="269">
        <f t="shared" si="13"/>
        <v>109.0626895854398</v>
      </c>
      <c r="C131" s="51">
        <f t="shared" si="16"/>
        <v>8.5918138619305733</v>
      </c>
      <c r="D131" s="51">
        <f t="shared" si="14"/>
        <v>261.33433830038825</v>
      </c>
      <c r="E131" s="51">
        <f t="shared" si="17"/>
        <v>98559.757818440994</v>
      </c>
    </row>
    <row r="132" spans="1:5">
      <c r="A132" s="51">
        <f t="shared" si="15"/>
        <v>9.1718907987866505</v>
      </c>
      <c r="B132" s="269">
        <f t="shared" si="13"/>
        <v>110.06268958543981</v>
      </c>
      <c r="C132" s="51">
        <f t="shared" si="16"/>
        <v>8.5190304009777069</v>
      </c>
      <c r="D132" s="51">
        <f t="shared" si="14"/>
        <v>259.12050802973857</v>
      </c>
      <c r="E132" s="51">
        <f t="shared" si="17"/>
        <v>98818.878326470731</v>
      </c>
    </row>
    <row r="133" spans="1:5">
      <c r="A133" s="51">
        <f t="shared" si="15"/>
        <v>9.2552241321199844</v>
      </c>
      <c r="B133" s="269">
        <f t="shared" si="13"/>
        <v>111.06268958543981</v>
      </c>
      <c r="C133" s="51">
        <f t="shared" si="16"/>
        <v>8.4475134925335755</v>
      </c>
      <c r="D133" s="51">
        <f t="shared" si="14"/>
        <v>256.94520206456292</v>
      </c>
      <c r="E133" s="51">
        <f t="shared" si="17"/>
        <v>99075.8235285353</v>
      </c>
    </row>
    <row r="134" spans="1:5">
      <c r="A134" s="51">
        <f t="shared" si="15"/>
        <v>9.3385574654533183</v>
      </c>
      <c r="B134" s="269">
        <f t="shared" si="13"/>
        <v>112.06268958543981</v>
      </c>
      <c r="C134" s="51">
        <f t="shared" si="16"/>
        <v>8.3772299875931573</v>
      </c>
      <c r="D134" s="51">
        <f t="shared" si="14"/>
        <v>254.80741212262521</v>
      </c>
      <c r="E134" s="51">
        <f t="shared" si="17"/>
        <v>99330.630940657924</v>
      </c>
    </row>
    <row r="135" spans="1:5">
      <c r="A135" s="51">
        <f t="shared" si="15"/>
        <v>9.4218907987866523</v>
      </c>
      <c r="B135" s="269">
        <f t="shared" si="13"/>
        <v>113.06268958543983</v>
      </c>
      <c r="C135" s="51">
        <f t="shared" si="16"/>
        <v>8.3081478903525152</v>
      </c>
      <c r="D135" s="51">
        <f t="shared" si="14"/>
        <v>252.70616499822233</v>
      </c>
      <c r="E135" s="51">
        <f t="shared" si="17"/>
        <v>99583.337105656145</v>
      </c>
    </row>
    <row r="136" spans="1:5">
      <c r="A136" s="51">
        <f t="shared" si="15"/>
        <v>9.5052241321199862</v>
      </c>
      <c r="B136" s="269">
        <f t="shared" si="13"/>
        <v>114.06268958543984</v>
      </c>
      <c r="C136" s="51">
        <f t="shared" si="16"/>
        <v>8.2402363083293348</v>
      </c>
      <c r="D136" s="51">
        <f t="shared" si="14"/>
        <v>250.64052104501727</v>
      </c>
      <c r="E136" s="51">
        <f t="shared" si="17"/>
        <v>99833.977626701162</v>
      </c>
    </row>
    <row r="137" spans="1:5">
      <c r="A137" s="51">
        <f t="shared" si="15"/>
        <v>9.5885574654533201</v>
      </c>
      <c r="B137" s="269">
        <f t="shared" si="13"/>
        <v>115.06268958543984</v>
      </c>
      <c r="C137" s="51">
        <f t="shared" si="16"/>
        <v>8.1734654050556976</v>
      </c>
      <c r="D137" s="51">
        <f t="shared" si="14"/>
        <v>248.60957273711082</v>
      </c>
      <c r="E137" s="51">
        <f t="shared" si="17"/>
        <v>100082.58719943828</v>
      </c>
    </row>
    <row r="138" spans="1:5">
      <c r="A138" s="51">
        <f t="shared" si="15"/>
        <v>9.671890798786654</v>
      </c>
      <c r="B138" s="269">
        <f t="shared" si="13"/>
        <v>116.06268958543984</v>
      </c>
      <c r="C138" s="51">
        <f t="shared" si="16"/>
        <v>8.1078063551895418</v>
      </c>
      <c r="D138" s="51">
        <f t="shared" si="14"/>
        <v>246.61244330368191</v>
      </c>
      <c r="E138" s="51">
        <f t="shared" si="17"/>
        <v>100329.19964274195</v>
      </c>
    </row>
    <row r="139" spans="1:5">
      <c r="A139" s="51">
        <f t="shared" si="15"/>
        <v>9.755224132119988</v>
      </c>
      <c r="B139" s="269">
        <f t="shared" si="13"/>
        <v>117.06268958543986</v>
      </c>
      <c r="C139" s="51">
        <f t="shared" si="16"/>
        <v>8.0432313019014909</v>
      </c>
      <c r="D139" s="51">
        <f t="shared" si="14"/>
        <v>244.64828543283701</v>
      </c>
      <c r="E139" s="51">
        <f t="shared" si="17"/>
        <v>100573.84792817479</v>
      </c>
    </row>
    <row r="140" spans="1:5">
      <c r="A140" s="51">
        <f t="shared" si="15"/>
        <v>9.8385574654533219</v>
      </c>
      <c r="B140" s="269">
        <f t="shared" si="13"/>
        <v>118.06268958543987</v>
      </c>
      <c r="C140" s="51">
        <f t="shared" si="16"/>
        <v>7.9797133164033838</v>
      </c>
      <c r="D140" s="51">
        <f t="shared" si="14"/>
        <v>242.71628004060292</v>
      </c>
      <c r="E140" s="51">
        <f t="shared" si="17"/>
        <v>100816.56420821539</v>
      </c>
    </row>
    <row r="141" spans="1:5">
      <c r="A141" s="51">
        <f t="shared" si="15"/>
        <v>9.9218907987866558</v>
      </c>
      <c r="B141" s="269">
        <f t="shared" si="13"/>
        <v>119.06268958543987</v>
      </c>
      <c r="C141" s="51">
        <f t="shared" si="16"/>
        <v>7.9172263594938022</v>
      </c>
      <c r="D141" s="51">
        <f t="shared" si="14"/>
        <v>240.81563510126983</v>
      </c>
      <c r="E141" s="51">
        <f t="shared" si="17"/>
        <v>101057.37984331667</v>
      </c>
    </row>
    <row r="142" spans="1:5" ht="16.3" thickBot="1">
      <c r="A142" s="51">
        <f t="shared" si="15"/>
        <v>10.00522413211999</v>
      </c>
      <c r="B142" s="269">
        <f t="shared" si="13"/>
        <v>120.06268958543987</v>
      </c>
      <c r="C142" s="54">
        <f t="shared" si="16"/>
        <v>7.8557452450041731</v>
      </c>
      <c r="D142" s="54">
        <f t="shared" si="14"/>
        <v>238.94558453554362</v>
      </c>
      <c r="E142" s="54">
        <f t="shared" si="17"/>
        <v>101296.32542785221</v>
      </c>
    </row>
    <row r="143" spans="1:5">
      <c r="A143" s="51">
        <f t="shared" si="15"/>
        <v>10.088557465453324</v>
      </c>
      <c r="B143" s="269">
        <f t="shared" si="13"/>
        <v>121.06268958543988</v>
      </c>
      <c r="C143" s="51">
        <f t="shared" si="16"/>
        <v>7.7952456050364054</v>
      </c>
      <c r="D143" s="51">
        <f t="shared" si="14"/>
        <v>237.10538715319066</v>
      </c>
      <c r="E143" s="51">
        <f t="shared" si="17"/>
        <v>101533.4308150054</v>
      </c>
    </row>
    <row r="144" spans="1:5">
      <c r="A144" s="51">
        <f t="shared" si="15"/>
        <v>10.171890798786658</v>
      </c>
      <c r="B144" s="269">
        <f t="shared" si="13"/>
        <v>122.0626895854399</v>
      </c>
      <c r="C144" s="51">
        <f t="shared" si="16"/>
        <v>7.7357038568905256</v>
      </c>
      <c r="D144" s="51">
        <f t="shared" si="14"/>
        <v>235.29432564708682</v>
      </c>
      <c r="E144" s="51">
        <f t="shared" si="17"/>
        <v>101768.72514065249</v>
      </c>
    </row>
    <row r="145" spans="1:5">
      <c r="A145" s="51">
        <f t="shared" si="15"/>
        <v>10.255224132119992</v>
      </c>
      <c r="B145" s="269">
        <f t="shared" si="13"/>
        <v>123.0626895854399</v>
      </c>
      <c r="C145" s="51">
        <f t="shared" si="16"/>
        <v>7.6770971715868761</v>
      </c>
      <c r="D145" s="51">
        <f t="shared" si="14"/>
        <v>233.5117056357675</v>
      </c>
      <c r="E145" s="51">
        <f t="shared" si="17"/>
        <v>102002.23684628826</v>
      </c>
    </row>
    <row r="146" spans="1:5">
      <c r="A146" s="51">
        <f t="shared" si="15"/>
        <v>10.338557465453325</v>
      </c>
      <c r="B146" s="269">
        <f t="shared" si="13"/>
        <v>124.0626895854399</v>
      </c>
      <c r="C146" s="51">
        <f t="shared" si="16"/>
        <v>7.6194034438939058</v>
      </c>
      <c r="D146" s="51">
        <f t="shared" si="14"/>
        <v>231.75685475177298</v>
      </c>
      <c r="E146" s="51">
        <f t="shared" si="17"/>
        <v>102233.99370104003</v>
      </c>
    </row>
    <row r="147" spans="1:5">
      <c r="A147" s="51">
        <f t="shared" si="15"/>
        <v>10.421890798786659</v>
      </c>
      <c r="B147" s="269">
        <f t="shared" ref="B147:B210" si="18">A147*12</f>
        <v>125.06268958543991</v>
      </c>
      <c r="C147" s="51">
        <f t="shared" si="16"/>
        <v>7.5626012637779692</v>
      </c>
      <c r="D147" s="51">
        <f t="shared" si="14"/>
        <v>230.02912177324657</v>
      </c>
      <c r="E147" s="51">
        <f t="shared" si="17"/>
        <v>102464.02282281328</v>
      </c>
    </row>
    <row r="148" spans="1:5">
      <c r="A148" s="51">
        <f t="shared" si="15"/>
        <v>10.505224132119993</v>
      </c>
      <c r="B148" s="269">
        <f t="shared" si="18"/>
        <v>126.06268958543993</v>
      </c>
      <c r="C148" s="51">
        <f t="shared" si="16"/>
        <v>7.5066698891970427</v>
      </c>
      <c r="D148" s="51">
        <f t="shared" ref="D148:D211" si="19">C148*(365/12)</f>
        <v>228.32787579641007</v>
      </c>
      <c r="E148" s="51">
        <f t="shared" si="17"/>
        <v>102692.35069860969</v>
      </c>
    </row>
    <row r="149" spans="1:5">
      <c r="A149" s="51">
        <f t="shared" si="15"/>
        <v>10.588557465453327</v>
      </c>
      <c r="B149" s="269">
        <f t="shared" si="18"/>
        <v>127.06268958543993</v>
      </c>
      <c r="C149" s="51">
        <f t="shared" si="16"/>
        <v>7.4515892201648501</v>
      </c>
      <c r="D149" s="51">
        <f t="shared" si="19"/>
        <v>226.65250544668086</v>
      </c>
      <c r="E149" s="51">
        <f t="shared" si="17"/>
        <v>102919.00320405637</v>
      </c>
    </row>
    <row r="150" spans="1:5">
      <c r="A150" s="51">
        <f t="shared" si="15"/>
        <v>10.671890798786661</v>
      </c>
      <c r="B150" s="269">
        <f t="shared" si="18"/>
        <v>128.06268958543993</v>
      </c>
      <c r="C150" s="51">
        <f t="shared" si="16"/>
        <v>7.3973397740167597</v>
      </c>
      <c r="D150" s="51">
        <f t="shared" si="19"/>
        <v>225.00241812634312</v>
      </c>
      <c r="E150" s="51">
        <f t="shared" si="17"/>
        <v>103144.00562218271</v>
      </c>
    </row>
    <row r="151" spans="1:5">
      <c r="A151" s="51">
        <f t="shared" si="15"/>
        <v>10.755224132119995</v>
      </c>
      <c r="B151" s="269">
        <f t="shared" si="18"/>
        <v>129.06268958543995</v>
      </c>
      <c r="C151" s="51">
        <f t="shared" si="16"/>
        <v>7.3439026618128231</v>
      </c>
      <c r="D151" s="51">
        <f t="shared" si="19"/>
        <v>223.37703929680671</v>
      </c>
      <c r="E151" s="51">
        <f t="shared" si="17"/>
        <v>103367.38266147951</v>
      </c>
    </row>
    <row r="152" spans="1:5">
      <c r="A152" s="51">
        <f t="shared" si="15"/>
        <v>10.838557465453329</v>
      </c>
      <c r="B152" s="269">
        <f t="shared" si="18"/>
        <v>130.06268958543995</v>
      </c>
      <c r="C152" s="51">
        <f t="shared" si="16"/>
        <v>7.2912595658173158</v>
      </c>
      <c r="D152" s="51">
        <f t="shared" si="19"/>
        <v>221.77581179361002</v>
      </c>
      <c r="E152" s="51">
        <f t="shared" si="17"/>
        <v>103589.15847327311</v>
      </c>
    </row>
    <row r="153" spans="1:5">
      <c r="A153" s="51">
        <f t="shared" si="15"/>
        <v>10.921890798786663</v>
      </c>
      <c r="B153" s="269">
        <f t="shared" si="18"/>
        <v>131.06268958543995</v>
      </c>
      <c r="C153" s="51">
        <f t="shared" si="16"/>
        <v>7.2393927179979238</v>
      </c>
      <c r="D153" s="51">
        <f t="shared" si="19"/>
        <v>220.19819517243687</v>
      </c>
      <c r="E153" s="51">
        <f t="shared" si="17"/>
        <v>103809.35666844554</v>
      </c>
    </row>
    <row r="154" spans="1:5">
      <c r="A154" s="51">
        <f t="shared" si="15"/>
        <v>11.005224132119997</v>
      </c>
      <c r="B154" s="269">
        <f t="shared" si="18"/>
        <v>132.06268958543995</v>
      </c>
      <c r="C154" s="51">
        <f t="shared" si="16"/>
        <v>7.1882848794908654</v>
      </c>
      <c r="D154" s="51">
        <f t="shared" si="19"/>
        <v>218.64366508451383</v>
      </c>
      <c r="E154" s="51">
        <f t="shared" si="17"/>
        <v>104028.00033353006</v>
      </c>
    </row>
    <row r="155" spans="1:5">
      <c r="A155" s="51">
        <f t="shared" si="15"/>
        <v>11.088557465453331</v>
      </c>
      <c r="B155" s="269">
        <f t="shared" si="18"/>
        <v>133.06268958543995</v>
      </c>
      <c r="C155" s="51">
        <f t="shared" si="16"/>
        <v>7.1379193209817853</v>
      </c>
      <c r="D155" s="51">
        <f t="shared" si="19"/>
        <v>217.11171267986265</v>
      </c>
      <c r="E155" s="51">
        <f t="shared" si="17"/>
        <v>104245.11204620992</v>
      </c>
    </row>
    <row r="156" spans="1:5">
      <c r="A156" s="51">
        <f t="shared" si="15"/>
        <v>11.171890798786665</v>
      </c>
      <c r="B156" s="269">
        <f t="shared" si="18"/>
        <v>134.06268958543998</v>
      </c>
      <c r="C156" s="51">
        <f t="shared" si="16"/>
        <v>7.0882798039549755</v>
      </c>
      <c r="D156" s="51">
        <f t="shared" si="19"/>
        <v>215.60184403696385</v>
      </c>
      <c r="E156" s="51">
        <f t="shared" si="17"/>
        <v>104460.71389024689</v>
      </c>
    </row>
    <row r="157" spans="1:5">
      <c r="A157" s="51">
        <f t="shared" si="15"/>
        <v>11.255224132119999</v>
      </c>
      <c r="B157" s="269">
        <f t="shared" si="18"/>
        <v>135.06268958543998</v>
      </c>
      <c r="C157" s="51">
        <f t="shared" si="16"/>
        <v>7.0393505627663586</v>
      </c>
      <c r="D157" s="51">
        <f t="shared" si="19"/>
        <v>214.11357961747674</v>
      </c>
      <c r="E157" s="51">
        <f t="shared" si="17"/>
        <v>104674.82746986437</v>
      </c>
    </row>
    <row r="158" spans="1:5">
      <c r="A158" s="51">
        <f t="shared" si="15"/>
        <v>11.338557465453333</v>
      </c>
      <c r="B158" s="269">
        <f t="shared" si="18"/>
        <v>136.06268958543998</v>
      </c>
      <c r="C158" s="51">
        <f t="shared" si="16"/>
        <v>6.9911162874982287</v>
      </c>
      <c r="D158" s="51">
        <f t="shared" si="19"/>
        <v>212.64645374473778</v>
      </c>
      <c r="E158" s="51">
        <f t="shared" si="17"/>
        <v>104887.4739236091</v>
      </c>
    </row>
    <row r="159" spans="1:5">
      <c r="A159" s="51">
        <f t="shared" ref="A159:A222" si="20">A158+(1/12)</f>
        <v>11.421890798786666</v>
      </c>
      <c r="B159" s="269">
        <f t="shared" si="18"/>
        <v>137.06268958544001</v>
      </c>
      <c r="C159" s="51">
        <f t="shared" si="16"/>
        <v>6.9435621075562608</v>
      </c>
      <c r="D159" s="51">
        <f t="shared" si="19"/>
        <v>211.20001410483627</v>
      </c>
      <c r="E159" s="51">
        <f t="shared" si="17"/>
        <v>105098.67393771393</v>
      </c>
    </row>
    <row r="160" spans="1:5">
      <c r="A160" s="51">
        <f t="shared" si="20"/>
        <v>11.50522413212</v>
      </c>
      <c r="B160" s="269">
        <f t="shared" si="18"/>
        <v>138.06268958544001</v>
      </c>
      <c r="C160" s="51">
        <f t="shared" si="16"/>
        <v>6.8966735759714357</v>
      </c>
      <c r="D160" s="51">
        <f t="shared" si="19"/>
        <v>209.77382126913119</v>
      </c>
      <c r="E160" s="51">
        <f t="shared" si="17"/>
        <v>105308.44775898306</v>
      </c>
    </row>
    <row r="161" spans="1:5">
      <c r="A161" s="51">
        <f t="shared" si="20"/>
        <v>11.588557465453334</v>
      </c>
      <c r="B161" s="269">
        <f t="shared" si="18"/>
        <v>139.06268958544001</v>
      </c>
      <c r="C161" s="51">
        <f t="shared" ref="C161:C224" si="21">$B$4*(B161^$B$5)</f>
        <v>6.8504366543718378</v>
      </c>
      <c r="D161" s="51">
        <f t="shared" si="19"/>
        <v>208.36744823714341</v>
      </c>
      <c r="E161" s="51">
        <f t="shared" ref="E161:E224" si="22">E160+D161</f>
        <v>105516.81520722021</v>
      </c>
    </row>
    <row r="162" spans="1:5">
      <c r="A162" s="51">
        <f t="shared" si="20"/>
        <v>11.671890798786668</v>
      </c>
      <c r="B162" s="269">
        <f t="shared" si="18"/>
        <v>140.06268958544001</v>
      </c>
      <c r="C162" s="51">
        <f t="shared" si="21"/>
        <v>6.8048376985909904</v>
      </c>
      <c r="D162" s="51">
        <f t="shared" si="19"/>
        <v>206.9804799988093</v>
      </c>
      <c r="E162" s="51">
        <f t="shared" si="22"/>
        <v>105723.79568721901</v>
      </c>
    </row>
    <row r="163" spans="1:5">
      <c r="A163" s="51">
        <f t="shared" si="20"/>
        <v>11.755224132120002</v>
      </c>
      <c r="B163" s="269">
        <f t="shared" si="18"/>
        <v>141.06268958544001</v>
      </c>
      <c r="C163" s="51">
        <f t="shared" si="21"/>
        <v>6.7598634448816757</v>
      </c>
      <c r="D163" s="51">
        <f t="shared" si="19"/>
        <v>205.61251311515099</v>
      </c>
      <c r="E163" s="51">
        <f t="shared" si="22"/>
        <v>105929.40820033416</v>
      </c>
    </row>
    <row r="164" spans="1:5">
      <c r="A164" s="51">
        <f t="shared" si="20"/>
        <v>11.838557465453336</v>
      </c>
      <c r="B164" s="269">
        <f t="shared" si="18"/>
        <v>142.06268958544004</v>
      </c>
      <c r="C164" s="51">
        <f t="shared" si="21"/>
        <v>6.7155009967054475</v>
      </c>
      <c r="D164" s="51">
        <f t="shared" si="19"/>
        <v>204.26315531645736</v>
      </c>
      <c r="E164" s="51">
        <f t="shared" si="22"/>
        <v>106133.67135565061</v>
      </c>
    </row>
    <row r="165" spans="1:5">
      <c r="A165" s="51">
        <f t="shared" si="20"/>
        <v>11.92189079878667</v>
      </c>
      <c r="B165" s="269">
        <f t="shared" si="18"/>
        <v>143.06268958544004</v>
      </c>
      <c r="C165" s="51">
        <f t="shared" si="21"/>
        <v>6.6717378120701438</v>
      </c>
      <c r="D165" s="51">
        <f t="shared" si="19"/>
        <v>202.93202511713355</v>
      </c>
      <c r="E165" s="51">
        <f t="shared" si="22"/>
        <v>106336.60338076774</v>
      </c>
    </row>
    <row r="166" spans="1:5">
      <c r="A166" s="51">
        <f t="shared" si="20"/>
        <v>12.005224132120004</v>
      </c>
      <c r="B166" s="269">
        <f t="shared" si="18"/>
        <v>144.06268958544004</v>
      </c>
      <c r="C166" s="51">
        <f t="shared" si="21"/>
        <v>6.6285616913888292</v>
      </c>
      <c r="D166" s="51">
        <f t="shared" si="19"/>
        <v>201.61875144641024</v>
      </c>
      <c r="E166" s="51">
        <f t="shared" si="22"/>
        <v>106538.22213221416</v>
      </c>
    </row>
    <row r="167" spans="1:5">
      <c r="A167" s="51">
        <f t="shared" si="20"/>
        <v>12.088557465453338</v>
      </c>
      <c r="B167" s="269">
        <f t="shared" si="18"/>
        <v>145.06268958544007</v>
      </c>
      <c r="C167" s="51">
        <f t="shared" si="21"/>
        <v>6.5859607658354369</v>
      </c>
      <c r="D167" s="51">
        <f t="shared" si="19"/>
        <v>200.32297329416122</v>
      </c>
      <c r="E167" s="51">
        <f t="shared" si="22"/>
        <v>106738.54510550831</v>
      </c>
    </row>
    <row r="168" spans="1:5">
      <c r="A168" s="51">
        <f t="shared" si="20"/>
        <v>12.171890798786672</v>
      </c>
      <c r="B168" s="269">
        <f t="shared" si="18"/>
        <v>146.06268958544007</v>
      </c>
      <c r="C168" s="51">
        <f t="shared" si="21"/>
        <v>6.5439234861733562</v>
      </c>
      <c r="D168" s="51">
        <f t="shared" si="19"/>
        <v>199.04433937110625</v>
      </c>
      <c r="E168" s="51">
        <f t="shared" si="22"/>
        <v>106937.58944487941</v>
      </c>
    </row>
    <row r="169" spans="1:5">
      <c r="A169" s="51">
        <f t="shared" si="20"/>
        <v>12.255224132120006</v>
      </c>
      <c r="B169" s="269">
        <f t="shared" si="18"/>
        <v>147.06268958544007</v>
      </c>
      <c r="C169" s="51">
        <f t="shared" si="21"/>
        <v>6.5024386120348048</v>
      </c>
      <c r="D169" s="51">
        <f t="shared" si="19"/>
        <v>197.78250778272533</v>
      </c>
      <c r="E169" s="51">
        <f t="shared" si="22"/>
        <v>107135.37195266214</v>
      </c>
    </row>
    <row r="170" spans="1:5">
      <c r="A170" s="51">
        <f t="shared" si="20"/>
        <v>12.33855746545334</v>
      </c>
      <c r="B170" s="269">
        <f t="shared" si="18"/>
        <v>148.06268958544007</v>
      </c>
      <c r="C170" s="51">
        <f t="shared" si="21"/>
        <v>6.4614952016297913</v>
      </c>
      <c r="D170" s="51">
        <f t="shared" si="19"/>
        <v>196.53714571623948</v>
      </c>
      <c r="E170" s="51">
        <f t="shared" si="22"/>
        <v>107331.90909837838</v>
      </c>
    </row>
    <row r="171" spans="1:5">
      <c r="A171" s="51">
        <f t="shared" si="20"/>
        <v>12.421890798786674</v>
      </c>
      <c r="B171" s="269">
        <f t="shared" si="18"/>
        <v>149.06268958544007</v>
      </c>
      <c r="C171" s="51">
        <f t="shared" si="21"/>
        <v>6.4210826018647218</v>
      </c>
      <c r="D171" s="51">
        <f t="shared" si="19"/>
        <v>195.30792914005195</v>
      </c>
      <c r="E171" s="51">
        <f t="shared" si="22"/>
        <v>107527.21702751843</v>
      </c>
    </row>
    <row r="172" spans="1:5">
      <c r="A172" s="51">
        <f t="shared" si="20"/>
        <v>12.505224132120007</v>
      </c>
      <c r="B172" s="269">
        <f t="shared" si="18"/>
        <v>150.0626895854401</v>
      </c>
      <c r="C172" s="51">
        <f t="shared" si="21"/>
        <v>6.3811904388517071</v>
      </c>
      <c r="D172" s="51">
        <f t="shared" si="19"/>
        <v>194.09454251507276</v>
      </c>
      <c r="E172" s="51">
        <f t="shared" si="22"/>
        <v>107721.3115700335</v>
      </c>
    </row>
    <row r="173" spans="1:5">
      <c r="A173" s="51">
        <f t="shared" si="20"/>
        <v>12.588557465453341</v>
      </c>
      <c r="B173" s="269">
        <f t="shared" si="18"/>
        <v>151.0626895854401</v>
      </c>
      <c r="C173" s="51">
        <f t="shared" si="21"/>
        <v>6.3418086087906271</v>
      </c>
      <c r="D173" s="51">
        <f t="shared" si="19"/>
        <v>192.89667851738159</v>
      </c>
      <c r="E173" s="51">
        <f t="shared" si="22"/>
        <v>107914.20824855089</v>
      </c>
    </row>
    <row r="174" spans="1:5">
      <c r="A174" s="51">
        <f t="shared" si="20"/>
        <v>12.671890798786675</v>
      </c>
      <c r="B174" s="269">
        <f t="shared" si="18"/>
        <v>152.0626895854401</v>
      </c>
      <c r="C174" s="51">
        <f t="shared" si="21"/>
        <v>6.3029272692070331</v>
      </c>
      <c r="D174" s="51">
        <f t="shared" si="19"/>
        <v>191.71403777171392</v>
      </c>
      <c r="E174" s="51">
        <f t="shared" si="22"/>
        <v>108105.9222863226</v>
      </c>
    </row>
    <row r="175" spans="1:5">
      <c r="A175" s="51">
        <f t="shared" si="20"/>
        <v>12.755224132120009</v>
      </c>
      <c r="B175" s="269">
        <f t="shared" si="18"/>
        <v>153.06268958544013</v>
      </c>
      <c r="C175" s="51">
        <f t="shared" si="21"/>
        <v>6.2645368305296456</v>
      </c>
      <c r="D175" s="51">
        <f t="shared" si="19"/>
        <v>190.54632859527672</v>
      </c>
      <c r="E175" s="51">
        <f t="shared" si="22"/>
        <v>108296.46861491787</v>
      </c>
    </row>
    <row r="176" spans="1:5">
      <c r="A176" s="51">
        <f t="shared" si="20"/>
        <v>12.838557465453343</v>
      </c>
      <c r="B176" s="269">
        <f t="shared" si="18"/>
        <v>154.06268958544013</v>
      </c>
      <c r="C176" s="51">
        <f t="shared" si="21"/>
        <v>6.2266279479922417</v>
      </c>
      <c r="D176" s="51">
        <f t="shared" si="19"/>
        <v>189.3932667514307</v>
      </c>
      <c r="E176" s="51">
        <f t="shared" si="22"/>
        <v>108485.86188166931</v>
      </c>
    </row>
    <row r="177" spans="1:5">
      <c r="A177" s="51">
        <f t="shared" si="20"/>
        <v>12.921890798786677</v>
      </c>
      <c r="B177" s="269">
        <f t="shared" si="18"/>
        <v>155.06268958544013</v>
      </c>
      <c r="C177" s="51">
        <f t="shared" si="21"/>
        <v>6.1891915138454578</v>
      </c>
      <c r="D177" s="51">
        <f t="shared" si="19"/>
        <v>188.25457521279935</v>
      </c>
      <c r="E177" s="51">
        <f t="shared" si="22"/>
        <v>108674.11645688211</v>
      </c>
    </row>
    <row r="178" spans="1:5">
      <c r="A178" s="51">
        <f t="shared" si="20"/>
        <v>13.005224132120011</v>
      </c>
      <c r="B178" s="269">
        <f t="shared" si="18"/>
        <v>156.06268958544013</v>
      </c>
      <c r="C178" s="51">
        <f t="shared" si="21"/>
        <v>6.1522186498646008</v>
      </c>
      <c r="D178" s="51">
        <f t="shared" si="19"/>
        <v>187.12998393338162</v>
      </c>
      <c r="E178" s="51">
        <f t="shared" si="22"/>
        <v>108861.24644081549</v>
      </c>
    </row>
    <row r="179" spans="1:5">
      <c r="A179" s="51">
        <f t="shared" si="20"/>
        <v>13.088557465453345</v>
      </c>
      <c r="B179" s="269">
        <f t="shared" si="18"/>
        <v>157.06268958544013</v>
      </c>
      <c r="C179" s="51">
        <f t="shared" si="21"/>
        <v>6.1157007001406072</v>
      </c>
      <c r="D179" s="51">
        <f t="shared" si="19"/>
        <v>186.01922962927682</v>
      </c>
      <c r="E179" s="51">
        <f t="shared" si="22"/>
        <v>109047.26567044477</v>
      </c>
    </row>
    <row r="180" spans="1:5">
      <c r="A180" s="51">
        <f t="shared" si="20"/>
        <v>13.171890798786679</v>
      </c>
      <c r="B180" s="269">
        <f t="shared" si="18"/>
        <v>158.06268958544015</v>
      </c>
      <c r="C180" s="51">
        <f t="shared" si="21"/>
        <v>6.0796292241415051</v>
      </c>
      <c r="D180" s="51">
        <f t="shared" si="19"/>
        <v>184.92205556763744</v>
      </c>
      <c r="E180" s="51">
        <f t="shared" si="22"/>
        <v>109232.18772601242</v>
      </c>
    </row>
    <row r="181" spans="1:5">
      <c r="A181" s="51">
        <f t="shared" si="20"/>
        <v>13.255224132120013</v>
      </c>
      <c r="B181" s="269">
        <f t="shared" si="18"/>
        <v>159.06268958544015</v>
      </c>
      <c r="C181" s="51">
        <f t="shared" si="21"/>
        <v>6.0439959900327933</v>
      </c>
      <c r="D181" s="51">
        <f t="shared" si="19"/>
        <v>183.83821136349746</v>
      </c>
      <c r="E181" s="51">
        <f t="shared" si="22"/>
        <v>109416.02593737592</v>
      </c>
    </row>
    <row r="182" spans="1:5">
      <c r="A182" s="51">
        <f t="shared" si="20"/>
        <v>13.338557465453347</v>
      </c>
      <c r="B182" s="269">
        <f t="shared" si="18"/>
        <v>160.06268958544015</v>
      </c>
      <c r="C182" s="51">
        <f t="shared" si="21"/>
        <v>6.0087929682453582</v>
      </c>
      <c r="D182" s="51">
        <f t="shared" si="19"/>
        <v>182.76745278412966</v>
      </c>
      <c r="E182" s="51">
        <f t="shared" si="22"/>
        <v>109598.79339016005</v>
      </c>
    </row>
    <row r="183" spans="1:5">
      <c r="A183" s="51">
        <f t="shared" si="20"/>
        <v>13.421890798786681</v>
      </c>
      <c r="B183" s="269">
        <f t="shared" si="18"/>
        <v>161.06268958544018</v>
      </c>
      <c r="C183" s="51">
        <f t="shared" si="21"/>
        <v>5.9740123252803574</v>
      </c>
      <c r="D183" s="51">
        <f t="shared" si="19"/>
        <v>181.70954156061089</v>
      </c>
      <c r="E183" s="51">
        <f t="shared" si="22"/>
        <v>109780.50293172066</v>
      </c>
    </row>
    <row r="184" spans="1:5">
      <c r="A184" s="51">
        <f t="shared" si="20"/>
        <v>13.505224132120015</v>
      </c>
      <c r="B184" s="269">
        <f t="shared" si="18"/>
        <v>162.06268958544018</v>
      </c>
      <c r="C184" s="51">
        <f t="shared" si="21"/>
        <v>5.9396464177409607</v>
      </c>
      <c r="D184" s="51">
        <f t="shared" si="19"/>
        <v>180.66424520628757</v>
      </c>
      <c r="E184" s="51">
        <f t="shared" si="22"/>
        <v>109961.16717692695</v>
      </c>
    </row>
    <row r="185" spans="1:5">
      <c r="A185" s="51">
        <f t="shared" si="20"/>
        <v>13.588557465453349</v>
      </c>
      <c r="B185" s="269">
        <f t="shared" si="18"/>
        <v>163.06268958544018</v>
      </c>
      <c r="C185" s="51">
        <f t="shared" si="21"/>
        <v>5.905687786581165</v>
      </c>
      <c r="D185" s="51">
        <f t="shared" si="19"/>
        <v>179.63133684184376</v>
      </c>
      <c r="E185" s="51">
        <f t="shared" si="22"/>
        <v>110140.79851376879</v>
      </c>
    </row>
    <row r="186" spans="1:5">
      <c r="A186" s="51">
        <f t="shared" si="20"/>
        <v>13.671890798786682</v>
      </c>
      <c r="B186" s="269">
        <f t="shared" si="18"/>
        <v>164.06268958544018</v>
      </c>
      <c r="C186" s="51">
        <f t="shared" si="21"/>
        <v>5.8721291515626906</v>
      </c>
      <c r="D186" s="51">
        <f t="shared" si="19"/>
        <v>178.61059502669852</v>
      </c>
      <c r="E186" s="51">
        <f t="shared" si="22"/>
        <v>110319.40910879549</v>
      </c>
    </row>
    <row r="187" spans="1:5">
      <c r="A187" s="51">
        <f t="shared" si="20"/>
        <v>13.755224132120016</v>
      </c>
      <c r="B187" s="269">
        <f t="shared" si="18"/>
        <v>165.06268958544018</v>
      </c>
      <c r="C187" s="51">
        <f t="shared" si="21"/>
        <v>5.8389634059110893</v>
      </c>
      <c r="D187" s="51">
        <f t="shared" si="19"/>
        <v>177.6018035964623</v>
      </c>
      <c r="E187" s="51">
        <f t="shared" si="22"/>
        <v>110497.01091239195</v>
      </c>
    </row>
    <row r="188" spans="1:5">
      <c r="A188" s="51">
        <f t="shared" si="20"/>
        <v>13.83855746545335</v>
      </c>
      <c r="B188" s="269">
        <f t="shared" si="18"/>
        <v>166.06268958544021</v>
      </c>
      <c r="C188" s="51">
        <f t="shared" si="21"/>
        <v>5.8061836111627709</v>
      </c>
      <c r="D188" s="51">
        <f t="shared" si="19"/>
        <v>176.60475150620096</v>
      </c>
      <c r="E188" s="51">
        <f t="shared" si="22"/>
        <v>110673.61566389815</v>
      </c>
    </row>
    <row r="189" spans="1:5">
      <c r="A189" s="51">
        <f t="shared" si="20"/>
        <v>13.921890798786684</v>
      </c>
      <c r="B189" s="269">
        <f t="shared" si="18"/>
        <v>167.06268958544021</v>
      </c>
      <c r="C189" s="51">
        <f t="shared" si="21"/>
        <v>5.7737829921950734</v>
      </c>
      <c r="D189" s="51">
        <f t="shared" si="19"/>
        <v>175.61923267926682</v>
      </c>
      <c r="E189" s="51">
        <f t="shared" si="22"/>
        <v>110849.23489657741</v>
      </c>
    </row>
    <row r="190" spans="1:5">
      <c r="A190" s="51">
        <f t="shared" si="20"/>
        <v>14.005224132120018</v>
      </c>
      <c r="B190" s="269">
        <f t="shared" si="18"/>
        <v>168.06268958544021</v>
      </c>
      <c r="C190" s="51">
        <f t="shared" si="21"/>
        <v>5.7417549324317809</v>
      </c>
      <c r="D190" s="51">
        <f t="shared" si="19"/>
        <v>174.64504586146668</v>
      </c>
      <c r="E190" s="51">
        <f t="shared" si="22"/>
        <v>111023.87994243889</v>
      </c>
    </row>
    <row r="191" spans="1:5">
      <c r="A191" s="51">
        <f t="shared" si="20"/>
        <v>14.088557465453352</v>
      </c>
      <c r="B191" s="269">
        <f t="shared" si="18"/>
        <v>169.06268958544024</v>
      </c>
      <c r="C191" s="51">
        <f t="shared" si="21"/>
        <v>5.710092969216868</v>
      </c>
      <c r="D191" s="51">
        <f t="shared" si="19"/>
        <v>173.68199448034642</v>
      </c>
      <c r="E191" s="51">
        <f t="shared" si="22"/>
        <v>111197.56193691923</v>
      </c>
    </row>
    <row r="192" spans="1:5">
      <c r="A192" s="51">
        <f t="shared" si="20"/>
        <v>14.171890798786686</v>
      </c>
      <c r="B192" s="269">
        <f t="shared" si="18"/>
        <v>170.06268958544024</v>
      </c>
      <c r="C192" s="51">
        <f t="shared" si="21"/>
        <v>5.6787907893497112</v>
      </c>
      <c r="D192" s="51">
        <f t="shared" si="19"/>
        <v>172.72988650938706</v>
      </c>
      <c r="E192" s="51">
        <f t="shared" si="22"/>
        <v>111370.29182342862</v>
      </c>
    </row>
    <row r="193" spans="1:5">
      <c r="A193" s="51">
        <f t="shared" si="20"/>
        <v>14.25522413212002</v>
      </c>
      <c r="B193" s="269">
        <f t="shared" si="18"/>
        <v>171.06268958544024</v>
      </c>
      <c r="C193" s="51">
        <f t="shared" si="21"/>
        <v>5.6478422247751228</v>
      </c>
      <c r="D193" s="51">
        <f t="shared" si="19"/>
        <v>171.78853433691</v>
      </c>
      <c r="E193" s="51">
        <f t="shared" si="22"/>
        <v>111542.08035776553</v>
      </c>
    </row>
    <row r="194" spans="1:5">
      <c r="A194" s="51">
        <f t="shared" si="20"/>
        <v>14.338557465453354</v>
      </c>
      <c r="B194" s="269">
        <f t="shared" si="18"/>
        <v>172.06268958544024</v>
      </c>
      <c r="C194" s="51">
        <f t="shared" si="21"/>
        <v>5.6172412484219976</v>
      </c>
      <c r="D194" s="51">
        <f t="shared" si="19"/>
        <v>170.85775463950245</v>
      </c>
      <c r="E194" s="51">
        <f t="shared" si="22"/>
        <v>111712.93811240503</v>
      </c>
    </row>
    <row r="195" spans="1:5">
      <c r="A195" s="51">
        <f t="shared" si="20"/>
        <v>14.421890798786688</v>
      </c>
      <c r="B195" s="269">
        <f t="shared" si="18"/>
        <v>173.06268958544024</v>
      </c>
      <c r="C195" s="51">
        <f t="shared" si="21"/>
        <v>5.5869819701846577</v>
      </c>
      <c r="D195" s="51">
        <f t="shared" si="19"/>
        <v>169.93736825978334</v>
      </c>
      <c r="E195" s="51">
        <f t="shared" si="22"/>
        <v>111882.87548066481</v>
      </c>
    </row>
    <row r="196" spans="1:5">
      <c r="A196" s="51">
        <f t="shared" si="20"/>
        <v>14.505224132120022</v>
      </c>
      <c r="B196" s="269">
        <f t="shared" si="18"/>
        <v>174.06268958544027</v>
      </c>
      <c r="C196" s="51">
        <f t="shared" si="21"/>
        <v>5.5570586330411542</v>
      </c>
      <c r="D196" s="51">
        <f t="shared" si="19"/>
        <v>169.02720008833512</v>
      </c>
      <c r="E196" s="51">
        <f t="shared" si="22"/>
        <v>112051.90268075315</v>
      </c>
    </row>
    <row r="197" spans="1:5">
      <c r="A197" s="51">
        <f t="shared" si="20"/>
        <v>14.588557465453356</v>
      </c>
      <c r="B197" s="269">
        <f t="shared" si="18"/>
        <v>175.06268958544027</v>
      </c>
      <c r="C197" s="51">
        <f t="shared" si="21"/>
        <v>5.5274656093031451</v>
      </c>
      <c r="D197" s="51">
        <f t="shared" si="19"/>
        <v>168.12707894963734</v>
      </c>
      <c r="E197" s="51">
        <f t="shared" si="22"/>
        <v>112220.02975970278</v>
      </c>
    </row>
    <row r="198" spans="1:5">
      <c r="A198" s="51">
        <f t="shared" si="20"/>
        <v>14.67189079878669</v>
      </c>
      <c r="B198" s="269">
        <f t="shared" si="18"/>
        <v>176.06268958544027</v>
      </c>
      <c r="C198" s="51">
        <f t="shared" si="21"/>
        <v>5.4981973969921292</v>
      </c>
      <c r="D198" s="51">
        <f t="shared" si="19"/>
        <v>167.23683749184394</v>
      </c>
      <c r="E198" s="51">
        <f t="shared" si="22"/>
        <v>112387.26659719463</v>
      </c>
    </row>
    <row r="199" spans="1:5">
      <c r="A199" s="51">
        <f t="shared" si="20"/>
        <v>14.755224132120023</v>
      </c>
      <c r="B199" s="269">
        <f t="shared" si="18"/>
        <v>177.0626895854403</v>
      </c>
      <c r="C199" s="51">
        <f t="shared" si="21"/>
        <v>5.4692486163371408</v>
      </c>
      <c r="D199" s="51">
        <f t="shared" si="19"/>
        <v>166.3563120802547</v>
      </c>
      <c r="E199" s="51">
        <f t="shared" si="22"/>
        <v>112553.62290927488</v>
      </c>
    </row>
    <row r="200" spans="1:5">
      <c r="A200" s="51">
        <f t="shared" si="20"/>
        <v>14.838557465453357</v>
      </c>
      <c r="B200" s="269">
        <f t="shared" si="18"/>
        <v>178.0626895854403</v>
      </c>
      <c r="C200" s="51">
        <f t="shared" si="21"/>
        <v>5.4406140063891186</v>
      </c>
      <c r="D200" s="51">
        <f t="shared" si="19"/>
        <v>165.48534269433569</v>
      </c>
      <c r="E200" s="51">
        <f t="shared" si="22"/>
        <v>112719.10825196921</v>
      </c>
    </row>
    <row r="201" spans="1:5">
      <c r="A201" s="51">
        <f t="shared" si="20"/>
        <v>14.921890798786691</v>
      </c>
      <c r="B201" s="269">
        <f t="shared" si="18"/>
        <v>179.0626895854403</v>
      </c>
      <c r="C201" s="51">
        <f t="shared" si="21"/>
        <v>5.4122884217474665</v>
      </c>
      <c r="D201" s="51">
        <f t="shared" si="19"/>
        <v>164.62377282815211</v>
      </c>
      <c r="E201" s="51">
        <f t="shared" si="22"/>
        <v>112883.73202479737</v>
      </c>
    </row>
    <row r="202" spans="1:5">
      <c r="A202" s="51">
        <f t="shared" si="20"/>
        <v>15.005224132120025</v>
      </c>
      <c r="B202" s="269">
        <f t="shared" si="18"/>
        <v>180.0626895854403</v>
      </c>
      <c r="C202" s="51">
        <f t="shared" si="21"/>
        <v>5.384266829394468</v>
      </c>
      <c r="D202" s="51">
        <f t="shared" si="19"/>
        <v>163.77144939408174</v>
      </c>
      <c r="E202" s="51">
        <f t="shared" si="22"/>
        <v>113047.50347419146</v>
      </c>
    </row>
    <row r="203" spans="1:5">
      <c r="A203" s="51">
        <f t="shared" si="20"/>
        <v>15.088557465453359</v>
      </c>
      <c r="B203" s="269">
        <f t="shared" si="18"/>
        <v>181.0626895854403</v>
      </c>
      <c r="C203" s="51">
        <f t="shared" si="21"/>
        <v>5.3565443056334558</v>
      </c>
      <c r="D203" s="51">
        <f t="shared" si="19"/>
        <v>162.92822262968429</v>
      </c>
      <c r="E203" s="51">
        <f t="shared" si="22"/>
        <v>113210.43169682114</v>
      </c>
    </row>
    <row r="204" spans="1:5">
      <c r="A204" s="51">
        <f t="shared" si="20"/>
        <v>15.171890798786693</v>
      </c>
      <c r="B204" s="269">
        <f t="shared" si="18"/>
        <v>182.06268958544032</v>
      </c>
      <c r="C204" s="51">
        <f t="shared" si="21"/>
        <v>5.3291160331267351</v>
      </c>
      <c r="D204" s="51">
        <f t="shared" si="19"/>
        <v>162.09394600760487</v>
      </c>
      <c r="E204" s="51">
        <f t="shared" si="22"/>
        <v>113372.52564282874</v>
      </c>
    </row>
    <row r="205" spans="1:5">
      <c r="A205" s="51">
        <f t="shared" si="20"/>
        <v>15.255224132120027</v>
      </c>
      <c r="B205" s="269">
        <f t="shared" si="18"/>
        <v>183.06268958544032</v>
      </c>
      <c r="C205" s="51">
        <f t="shared" si="21"/>
        <v>5.3019772980295237</v>
      </c>
      <c r="D205" s="51">
        <f t="shared" si="19"/>
        <v>161.26847614839801</v>
      </c>
      <c r="E205" s="51">
        <f t="shared" si="22"/>
        <v>113533.79411897714</v>
      </c>
    </row>
    <row r="206" spans="1:5">
      <c r="A206" s="51">
        <f t="shared" si="20"/>
        <v>15.338557465453361</v>
      </c>
      <c r="B206" s="269">
        <f t="shared" si="18"/>
        <v>184.06268958544032</v>
      </c>
      <c r="C206" s="51">
        <f t="shared" si="21"/>
        <v>5.2751234872163</v>
      </c>
      <c r="D206" s="51">
        <f t="shared" si="19"/>
        <v>160.45167273616246</v>
      </c>
      <c r="E206" s="51">
        <f t="shared" si="22"/>
        <v>113694.2457917133</v>
      </c>
    </row>
    <row r="207" spans="1:5">
      <c r="A207" s="51">
        <f t="shared" si="20"/>
        <v>15.421890798786695</v>
      </c>
      <c r="B207" s="269">
        <f t="shared" si="18"/>
        <v>185.06268958544035</v>
      </c>
      <c r="C207" s="51">
        <f t="shared" si="21"/>
        <v>5.2485500855959932</v>
      </c>
      <c r="D207" s="51">
        <f t="shared" si="19"/>
        <v>159.64339843687813</v>
      </c>
      <c r="E207" s="51">
        <f t="shared" si="22"/>
        <v>113853.88919015018</v>
      </c>
    </row>
    <row r="208" spans="1:5">
      <c r="A208" s="51">
        <f t="shared" si="20"/>
        <v>15.505224132120029</v>
      </c>
      <c r="B208" s="269">
        <f t="shared" si="18"/>
        <v>186.06268958544035</v>
      </c>
      <c r="C208" s="51">
        <f t="shared" si="21"/>
        <v>5.2222526735129309</v>
      </c>
      <c r="D208" s="51">
        <f t="shared" si="19"/>
        <v>158.84351881935166</v>
      </c>
      <c r="E208" s="51">
        <f t="shared" si="22"/>
        <v>114012.73270896953</v>
      </c>
    </row>
    <row r="209" spans="1:5">
      <c r="A209" s="51">
        <f t="shared" si="20"/>
        <v>15.588557465453363</v>
      </c>
      <c r="B209" s="269">
        <f t="shared" si="18"/>
        <v>187.06268958544035</v>
      </c>
      <c r="C209" s="51">
        <f t="shared" si="21"/>
        <v>5.1962269242300438</v>
      </c>
      <c r="D209" s="51">
        <f t="shared" si="19"/>
        <v>158.05190227866385</v>
      </c>
      <c r="E209" s="51">
        <f t="shared" si="22"/>
        <v>114170.78461124819</v>
      </c>
    </row>
    <row r="210" spans="1:5">
      <c r="A210" s="51">
        <f t="shared" si="20"/>
        <v>15.671890798786697</v>
      </c>
      <c r="B210" s="269">
        <f t="shared" si="18"/>
        <v>188.06268958544035</v>
      </c>
      <c r="C210" s="51">
        <f t="shared" si="21"/>
        <v>5.1704686014916517</v>
      </c>
      <c r="D210" s="51">
        <f t="shared" si="19"/>
        <v>157.26841996203774</v>
      </c>
      <c r="E210" s="51">
        <f t="shared" si="22"/>
        <v>114328.05303121023</v>
      </c>
    </row>
    <row r="211" spans="1:5">
      <c r="A211" s="51">
        <f t="shared" si="20"/>
        <v>15.755224132120031</v>
      </c>
      <c r="B211" s="269">
        <f t="shared" ref="B211:B262" si="23">A211*12</f>
        <v>189.06268958544035</v>
      </c>
      <c r="C211" s="51">
        <f t="shared" si="21"/>
        <v>5.1449735571625812</v>
      </c>
      <c r="D211" s="51">
        <f t="shared" si="19"/>
        <v>156.49294569702852</v>
      </c>
      <c r="E211" s="51">
        <f t="shared" si="22"/>
        <v>114484.54597690726</v>
      </c>
    </row>
    <row r="212" spans="1:5">
      <c r="A212" s="51">
        <f t="shared" si="20"/>
        <v>15.838557465453365</v>
      </c>
      <c r="B212" s="269">
        <f t="shared" si="23"/>
        <v>190.06268958544038</v>
      </c>
      <c r="C212" s="51">
        <f t="shared" si="21"/>
        <v>5.1197377289410921</v>
      </c>
      <c r="D212" s="51">
        <f t="shared" ref="D212:D262" si="24">C212*(365/12)</f>
        <v>155.72535592195823</v>
      </c>
      <c r="E212" s="51">
        <f t="shared" si="22"/>
        <v>114640.27133282922</v>
      </c>
    </row>
    <row r="213" spans="1:5">
      <c r="A213" s="51">
        <f t="shared" si="20"/>
        <v>15.921890798786698</v>
      </c>
      <c r="B213" s="269">
        <f t="shared" si="23"/>
        <v>191.06268958544038</v>
      </c>
      <c r="C213" s="51">
        <f t="shared" si="21"/>
        <v>5.0947571381427599</v>
      </c>
      <c r="D213" s="51">
        <f t="shared" si="24"/>
        <v>154.96552961850895</v>
      </c>
      <c r="E213" s="51">
        <f t="shared" si="22"/>
        <v>114795.23686244772</v>
      </c>
    </row>
    <row r="214" spans="1:5">
      <c r="A214" s="51">
        <f t="shared" si="20"/>
        <v>16.005224132120031</v>
      </c>
      <c r="B214" s="269">
        <f t="shared" si="23"/>
        <v>192.06268958544035</v>
      </c>
      <c r="C214" s="51">
        <f t="shared" si="21"/>
        <v>5.0700278875528531</v>
      </c>
      <c r="D214" s="51">
        <f t="shared" si="24"/>
        <v>154.21334824639928</v>
      </c>
      <c r="E214" s="51">
        <f t="shared" si="22"/>
        <v>114949.45021069412</v>
      </c>
    </row>
    <row r="215" spans="1:5">
      <c r="A215" s="51">
        <f t="shared" si="20"/>
        <v>16.088557465453363</v>
      </c>
      <c r="B215" s="269">
        <f t="shared" si="23"/>
        <v>193.06268958544035</v>
      </c>
      <c r="C215" s="51">
        <f t="shared" si="21"/>
        <v>5.0455461593446884</v>
      </c>
      <c r="D215" s="51">
        <f t="shared" si="24"/>
        <v>153.46869568006761</v>
      </c>
      <c r="E215" s="51">
        <f t="shared" si="22"/>
        <v>115102.91890637419</v>
      </c>
    </row>
    <row r="216" spans="1:5">
      <c r="A216" s="51">
        <f t="shared" si="20"/>
        <v>16.171890798786695</v>
      </c>
      <c r="B216" s="269">
        <f t="shared" si="23"/>
        <v>194.06268958544035</v>
      </c>
      <c r="C216" s="51">
        <f t="shared" si="21"/>
        <v>5.0213082130616256</v>
      </c>
      <c r="D216" s="51">
        <f t="shared" si="24"/>
        <v>152.73145814729111</v>
      </c>
      <c r="E216" s="51">
        <f t="shared" si="22"/>
        <v>115255.65036452148</v>
      </c>
    </row>
    <row r="217" spans="1:5">
      <c r="A217" s="51">
        <f t="shared" si="20"/>
        <v>16.255224132120027</v>
      </c>
      <c r="B217" s="269">
        <f t="shared" si="23"/>
        <v>195.06268958544032</v>
      </c>
      <c r="C217" s="51">
        <f t="shared" si="21"/>
        <v>4.9973103836605013</v>
      </c>
      <c r="D217" s="51">
        <f t="shared" si="24"/>
        <v>152.00152416967359</v>
      </c>
      <c r="E217" s="51">
        <f t="shared" si="22"/>
        <v>115407.65188869115</v>
      </c>
    </row>
    <row r="218" spans="1:5">
      <c r="A218" s="51">
        <f t="shared" si="20"/>
        <v>16.338557465453359</v>
      </c>
      <c r="B218" s="269">
        <f t="shared" si="23"/>
        <v>196.0626895854403</v>
      </c>
      <c r="C218" s="51">
        <f t="shared" si="21"/>
        <v>4.9735490796141626</v>
      </c>
      <c r="D218" s="51">
        <f t="shared" si="24"/>
        <v>151.2787845049308</v>
      </c>
      <c r="E218" s="51">
        <f t="shared" si="22"/>
        <v>115558.93067319608</v>
      </c>
    </row>
    <row r="219" spans="1:5">
      <c r="A219" s="51">
        <f t="shared" si="20"/>
        <v>16.421890798786691</v>
      </c>
      <c r="B219" s="269">
        <f t="shared" si="23"/>
        <v>197.0626895854403</v>
      </c>
      <c r="C219" s="51">
        <f t="shared" si="21"/>
        <v>4.950020781071248</v>
      </c>
      <c r="D219" s="51">
        <f t="shared" si="24"/>
        <v>150.56313209091712</v>
      </c>
      <c r="E219" s="51">
        <f t="shared" si="22"/>
        <v>115709.493805287</v>
      </c>
    </row>
    <row r="220" spans="1:5">
      <c r="A220" s="51">
        <f t="shared" si="20"/>
        <v>16.505224132120023</v>
      </c>
      <c r="B220" s="269">
        <f t="shared" si="23"/>
        <v>198.0626895854403</v>
      </c>
      <c r="C220" s="51">
        <f t="shared" si="21"/>
        <v>4.9267220380709889</v>
      </c>
      <c r="D220" s="51">
        <f t="shared" si="24"/>
        <v>149.85446199132591</v>
      </c>
      <c r="E220" s="51">
        <f t="shared" si="22"/>
        <v>115859.34826727833</v>
      </c>
    </row>
    <row r="221" spans="1:5">
      <c r="A221" s="51">
        <f t="shared" si="20"/>
        <v>16.588557465453356</v>
      </c>
      <c r="B221" s="269">
        <f t="shared" si="23"/>
        <v>199.06268958544027</v>
      </c>
      <c r="C221" s="51">
        <f t="shared" si="21"/>
        <v>4.9036494688113113</v>
      </c>
      <c r="D221" s="51">
        <f t="shared" si="24"/>
        <v>149.15267134301072</v>
      </c>
      <c r="E221" s="51">
        <f t="shared" si="22"/>
        <v>116008.50093862134</v>
      </c>
    </row>
    <row r="222" spans="1:5">
      <c r="A222" s="51">
        <f t="shared" si="20"/>
        <v>16.671890798786688</v>
      </c>
      <c r="B222" s="269">
        <f t="shared" si="23"/>
        <v>200.06268958544024</v>
      </c>
      <c r="C222" s="51">
        <f t="shared" si="21"/>
        <v>4.8807997579682105</v>
      </c>
      <c r="D222" s="51">
        <f t="shared" si="24"/>
        <v>148.45765930486641</v>
      </c>
      <c r="E222" s="51">
        <f t="shared" si="22"/>
        <v>116156.9585979262</v>
      </c>
    </row>
    <row r="223" spans="1:5">
      <c r="A223" s="51">
        <f t="shared" ref="A223:A262" si="25">A222+(1/12)</f>
        <v>16.75522413212002</v>
      </c>
      <c r="B223" s="269">
        <f t="shared" si="23"/>
        <v>201.06268958544024</v>
      </c>
      <c r="C223" s="51">
        <f t="shared" si="21"/>
        <v>4.858169655064815</v>
      </c>
      <c r="D223" s="51">
        <f t="shared" si="24"/>
        <v>147.76932700822147</v>
      </c>
      <c r="E223" s="51">
        <f t="shared" si="22"/>
        <v>116304.72792493443</v>
      </c>
    </row>
    <row r="224" spans="1:5">
      <c r="A224" s="51">
        <f t="shared" si="25"/>
        <v>16.838557465453352</v>
      </c>
      <c r="B224" s="269">
        <f t="shared" si="23"/>
        <v>202.06268958544024</v>
      </c>
      <c r="C224" s="51">
        <f t="shared" si="21"/>
        <v>4.8357559728882196</v>
      </c>
      <c r="D224" s="51">
        <f t="shared" si="24"/>
        <v>147.08757750868335</v>
      </c>
      <c r="E224" s="51">
        <f t="shared" si="22"/>
        <v>116451.81550244312</v>
      </c>
    </row>
    <row r="225" spans="1:5">
      <c r="A225" s="51">
        <f t="shared" si="25"/>
        <v>16.921890798786684</v>
      </c>
      <c r="B225" s="269">
        <f t="shared" si="23"/>
        <v>203.06268958544021</v>
      </c>
      <c r="C225" s="51">
        <f t="shared" ref="C225:C262" si="26">$B$4*(B225^$B$5)</f>
        <v>4.8135555859527122</v>
      </c>
      <c r="D225" s="51">
        <f t="shared" si="24"/>
        <v>146.41231573939501</v>
      </c>
      <c r="E225" s="51">
        <f t="shared" ref="E225:E262" si="27">E224+D225</f>
        <v>116598.22781818251</v>
      </c>
    </row>
    <row r="226" spans="1:5">
      <c r="A226" s="51">
        <f t="shared" si="25"/>
        <v>17.005224132120016</v>
      </c>
      <c r="B226" s="269">
        <f t="shared" si="23"/>
        <v>204.06268958544018</v>
      </c>
      <c r="C226" s="51">
        <f t="shared" si="26"/>
        <v>4.7915654290075684</v>
      </c>
      <c r="D226" s="51">
        <f t="shared" si="24"/>
        <v>145.74344846564688</v>
      </c>
      <c r="E226" s="51">
        <f t="shared" si="27"/>
        <v>116743.97126664815</v>
      </c>
    </row>
    <row r="227" spans="1:5">
      <c r="A227" s="51">
        <f t="shared" si="25"/>
        <v>17.088557465453349</v>
      </c>
      <c r="B227" s="269">
        <f t="shared" si="23"/>
        <v>205.06268958544018</v>
      </c>
      <c r="C227" s="51">
        <f t="shared" si="26"/>
        <v>4.7697824955880703</v>
      </c>
      <c r="D227" s="51">
        <f t="shared" si="24"/>
        <v>145.08088424080381</v>
      </c>
      <c r="E227" s="51">
        <f t="shared" si="27"/>
        <v>116889.05215088895</v>
      </c>
    </row>
    <row r="228" spans="1:5">
      <c r="A228" s="51">
        <f t="shared" si="25"/>
        <v>17.171890798786681</v>
      </c>
      <c r="B228" s="269">
        <f t="shared" si="23"/>
        <v>206.06268958544018</v>
      </c>
      <c r="C228" s="51">
        <f t="shared" si="26"/>
        <v>4.7482038366082584</v>
      </c>
      <c r="D228" s="51">
        <f t="shared" si="24"/>
        <v>144.42453336350121</v>
      </c>
      <c r="E228" s="51">
        <f t="shared" si="27"/>
        <v>117033.47668425246</v>
      </c>
    </row>
    <row r="229" spans="1:5">
      <c r="A229" s="51">
        <f t="shared" si="25"/>
        <v>17.255224132120013</v>
      </c>
      <c r="B229" s="269">
        <f t="shared" si="23"/>
        <v>207.06268958544015</v>
      </c>
      <c r="C229" s="51">
        <f t="shared" si="26"/>
        <v>4.7268265589939675</v>
      </c>
      <c r="D229" s="51">
        <f t="shared" si="24"/>
        <v>143.77430783606653</v>
      </c>
      <c r="E229" s="51">
        <f t="shared" si="27"/>
        <v>117177.25099208852</v>
      </c>
    </row>
    <row r="230" spans="1:5">
      <c r="A230" s="51">
        <f t="shared" si="25"/>
        <v>17.338557465453345</v>
      </c>
      <c r="B230" s="269">
        <f t="shared" si="23"/>
        <v>208.06268958544013</v>
      </c>
      <c r="C230" s="51">
        <f t="shared" si="26"/>
        <v>4.7056478243548634</v>
      </c>
      <c r="D230" s="51">
        <f t="shared" si="24"/>
        <v>143.13012132412709</v>
      </c>
      <c r="E230" s="51">
        <f t="shared" si="27"/>
        <v>117320.38111341264</v>
      </c>
    </row>
    <row r="231" spans="1:5">
      <c r="A231" s="51">
        <f t="shared" si="25"/>
        <v>17.421890798786677</v>
      </c>
      <c r="B231" s="269">
        <f t="shared" si="23"/>
        <v>209.06268958544013</v>
      </c>
      <c r="C231" s="51">
        <f t="shared" si="26"/>
        <v>4.6846648476941732</v>
      </c>
      <c r="D231" s="51">
        <f t="shared" si="24"/>
        <v>142.49188911736445</v>
      </c>
      <c r="E231" s="51">
        <f t="shared" si="27"/>
        <v>117462.87300253</v>
      </c>
    </row>
    <row r="232" spans="1:5">
      <c r="A232" s="51">
        <f t="shared" si="25"/>
        <v>17.505224132120009</v>
      </c>
      <c r="B232" s="269">
        <f t="shared" si="23"/>
        <v>210.06268958544013</v>
      </c>
      <c r="C232" s="51">
        <f t="shared" si="26"/>
        <v>4.6638748961548409</v>
      </c>
      <c r="D232" s="51">
        <f t="shared" si="24"/>
        <v>141.8595280913764</v>
      </c>
      <c r="E232" s="51">
        <f t="shared" si="27"/>
        <v>117604.73253062138</v>
      </c>
    </row>
    <row r="233" spans="1:5">
      <c r="A233" s="51">
        <f t="shared" si="25"/>
        <v>17.588557465453341</v>
      </c>
      <c r="B233" s="269">
        <f t="shared" si="23"/>
        <v>211.0626895854401</v>
      </c>
      <c r="C233" s="51">
        <f t="shared" si="26"/>
        <v>4.6432752878009476</v>
      </c>
      <c r="D233" s="51">
        <f t="shared" si="24"/>
        <v>141.23295667061217</v>
      </c>
      <c r="E233" s="51">
        <f t="shared" si="27"/>
        <v>117745.96548729199</v>
      </c>
    </row>
    <row r="234" spans="1:5">
      <c r="A234" s="51">
        <f t="shared" si="25"/>
        <v>17.671890798786674</v>
      </c>
      <c r="B234" s="269">
        <f t="shared" si="23"/>
        <v>212.06268958544007</v>
      </c>
      <c r="C234" s="51">
        <f t="shared" si="26"/>
        <v>4.6228633904331966</v>
      </c>
      <c r="D234" s="51">
        <f t="shared" si="24"/>
        <v>140.61209479234307</v>
      </c>
      <c r="E234" s="51">
        <f t="shared" si="27"/>
        <v>117886.57758208434</v>
      </c>
    </row>
    <row r="235" spans="1:5">
      <c r="A235" s="51">
        <f t="shared" si="25"/>
        <v>17.755224132120006</v>
      </c>
      <c r="B235" s="269">
        <f t="shared" si="23"/>
        <v>213.06268958544007</v>
      </c>
      <c r="C235" s="51">
        <f t="shared" si="26"/>
        <v>4.6026366204374183</v>
      </c>
      <c r="D235" s="51">
        <f t="shared" si="24"/>
        <v>139.99686387163814</v>
      </c>
      <c r="E235" s="51">
        <f t="shared" si="27"/>
        <v>118026.57444595598</v>
      </c>
    </row>
    <row r="236" spans="1:5">
      <c r="A236" s="51">
        <f t="shared" si="25"/>
        <v>17.838557465453338</v>
      </c>
      <c r="B236" s="269">
        <f t="shared" si="23"/>
        <v>214.06268958544007</v>
      </c>
      <c r="C236" s="51">
        <f t="shared" si="26"/>
        <v>4.5825924416649766</v>
      </c>
      <c r="D236" s="51">
        <f t="shared" si="24"/>
        <v>139.38718676730971</v>
      </c>
      <c r="E236" s="51">
        <f t="shared" si="27"/>
        <v>118165.96163272329</v>
      </c>
    </row>
    <row r="237" spans="1:5">
      <c r="A237" s="51">
        <f t="shared" si="25"/>
        <v>17.92189079878667</v>
      </c>
      <c r="B237" s="269">
        <f t="shared" si="23"/>
        <v>215.06268958544004</v>
      </c>
      <c r="C237" s="51">
        <f t="shared" si="26"/>
        <v>4.5627283643440322</v>
      </c>
      <c r="D237" s="51">
        <f t="shared" si="24"/>
        <v>138.78298774879764</v>
      </c>
      <c r="E237" s="51">
        <f t="shared" si="27"/>
        <v>118304.74462047209</v>
      </c>
    </row>
    <row r="238" spans="1:5">
      <c r="A238" s="51">
        <f t="shared" si="25"/>
        <v>18.005224132120002</v>
      </c>
      <c r="B238" s="269">
        <f t="shared" si="23"/>
        <v>216.06268958544001</v>
      </c>
      <c r="C238" s="51">
        <f t="shared" si="26"/>
        <v>4.5430419440207581</v>
      </c>
      <c r="D238" s="51">
        <f t="shared" si="24"/>
        <v>138.18419246396473</v>
      </c>
      <c r="E238" s="51">
        <f t="shared" si="27"/>
        <v>118442.92881293605</v>
      </c>
    </row>
    <row r="239" spans="1:5">
      <c r="A239" s="51">
        <f t="shared" si="25"/>
        <v>18.088557465453334</v>
      </c>
      <c r="B239" s="269">
        <f t="shared" si="23"/>
        <v>217.06268958544001</v>
      </c>
      <c r="C239" s="51">
        <f t="shared" si="26"/>
        <v>4.5235307805294429</v>
      </c>
      <c r="D239" s="51">
        <f t="shared" si="24"/>
        <v>137.59072790777057</v>
      </c>
      <c r="E239" s="51">
        <f t="shared" si="27"/>
        <v>118580.51954084382</v>
      </c>
    </row>
    <row r="240" spans="1:5">
      <c r="A240" s="51">
        <f t="shared" si="25"/>
        <v>18.171890798786666</v>
      </c>
      <c r="B240" s="269">
        <f t="shared" si="23"/>
        <v>218.06268958544001</v>
      </c>
      <c r="C240" s="51">
        <f t="shared" si="26"/>
        <v>4.5041925169906545</v>
      </c>
      <c r="D240" s="51">
        <f t="shared" si="24"/>
        <v>137.00252239179909</v>
      </c>
      <c r="E240" s="51">
        <f t="shared" si="27"/>
        <v>118717.52206323562</v>
      </c>
    </row>
    <row r="241" spans="1:5">
      <c r="A241" s="51">
        <f t="shared" si="25"/>
        <v>18.255224132119999</v>
      </c>
      <c r="B241" s="269">
        <f t="shared" si="23"/>
        <v>219.06268958543998</v>
      </c>
      <c r="C241" s="51">
        <f t="shared" si="26"/>
        <v>4.4850248388365159</v>
      </c>
      <c r="D241" s="51">
        <f t="shared" si="24"/>
        <v>136.41950551461071</v>
      </c>
      <c r="E241" s="51">
        <f t="shared" si="27"/>
        <v>118853.94156875023</v>
      </c>
    </row>
    <row r="242" spans="1:5">
      <c r="A242" s="51">
        <f t="shared" si="25"/>
        <v>18.338557465453331</v>
      </c>
      <c r="B242" s="269">
        <f t="shared" si="23"/>
        <v>220.06268958543995</v>
      </c>
      <c r="C242" s="51">
        <f t="shared" si="26"/>
        <v>4.4660254728622615</v>
      </c>
      <c r="D242" s="51">
        <f t="shared" si="24"/>
        <v>135.84160813289378</v>
      </c>
      <c r="E242" s="51">
        <f t="shared" si="27"/>
        <v>118989.78317688312</v>
      </c>
    </row>
    <row r="243" spans="1:5">
      <c r="A243" s="51">
        <f t="shared" si="25"/>
        <v>18.421890798786663</v>
      </c>
      <c r="B243" s="269">
        <f t="shared" si="23"/>
        <v>221.06268958543995</v>
      </c>
      <c r="C243" s="51">
        <f t="shared" si="26"/>
        <v>4.4471921863032486</v>
      </c>
      <c r="D243" s="51">
        <f t="shared" si="24"/>
        <v>135.2687623333905</v>
      </c>
      <c r="E243" s="51">
        <f t="shared" si="27"/>
        <v>119125.05193921652</v>
      </c>
    </row>
    <row r="244" spans="1:5">
      <c r="A244" s="51">
        <f t="shared" si="25"/>
        <v>18.505224132119995</v>
      </c>
      <c r="B244" s="269">
        <f t="shared" si="23"/>
        <v>222.06268958543995</v>
      </c>
      <c r="C244" s="51">
        <f t="shared" si="26"/>
        <v>4.4285227859366376</v>
      </c>
      <c r="D244" s="51">
        <f t="shared" si="24"/>
        <v>134.70090140557272</v>
      </c>
      <c r="E244" s="51">
        <f t="shared" si="27"/>
        <v>119259.75284062208</v>
      </c>
    </row>
    <row r="245" spans="1:5">
      <c r="A245" s="51">
        <f t="shared" si="25"/>
        <v>18.588557465453327</v>
      </c>
      <c r="B245" s="269">
        <f t="shared" si="23"/>
        <v>223.06268958543993</v>
      </c>
      <c r="C245" s="51">
        <f t="shared" si="26"/>
        <v>4.4100151172069522</v>
      </c>
      <c r="D245" s="51">
        <f t="shared" si="24"/>
        <v>134.13795981504481</v>
      </c>
      <c r="E245" s="51">
        <f t="shared" si="27"/>
        <v>119393.89080043712</v>
      </c>
    </row>
    <row r="246" spans="1:5">
      <c r="A246" s="51">
        <f t="shared" si="25"/>
        <v>18.671890798786659</v>
      </c>
      <c r="B246" s="269">
        <f t="shared" si="23"/>
        <v>224.0626895854399</v>
      </c>
      <c r="C246" s="51">
        <f t="shared" si="26"/>
        <v>4.3916670633748236</v>
      </c>
      <c r="D246" s="51">
        <f t="shared" si="24"/>
        <v>133.57987317765088</v>
      </c>
      <c r="E246" s="51">
        <f t="shared" si="27"/>
        <v>119527.47067361476</v>
      </c>
    </row>
    <row r="247" spans="1:5">
      <c r="A247" s="51">
        <f t="shared" si="25"/>
        <v>18.755224132119992</v>
      </c>
      <c r="B247" s="269">
        <f t="shared" si="23"/>
        <v>225.0626895854399</v>
      </c>
      <c r="C247" s="51">
        <f t="shared" si="26"/>
        <v>4.3734765446881179</v>
      </c>
      <c r="D247" s="51">
        <f t="shared" si="24"/>
        <v>133.02657823426358</v>
      </c>
      <c r="E247" s="51">
        <f t="shared" si="27"/>
        <v>119660.49725184902</v>
      </c>
    </row>
    <row r="248" spans="1:5">
      <c r="A248" s="51">
        <f t="shared" si="25"/>
        <v>18.838557465453324</v>
      </c>
      <c r="B248" s="269">
        <f t="shared" si="23"/>
        <v>226.0626895854399</v>
      </c>
      <c r="C248" s="51">
        <f t="shared" si="26"/>
        <v>4.3554415175748922</v>
      </c>
      <c r="D248" s="51">
        <f t="shared" si="24"/>
        <v>132.4780128262363</v>
      </c>
      <c r="E248" s="51">
        <f t="shared" si="27"/>
        <v>119792.97526467526</v>
      </c>
    </row>
    <row r="249" spans="1:5">
      <c r="A249" s="51">
        <f t="shared" si="25"/>
        <v>18.921890798786656</v>
      </c>
      <c r="B249" s="269">
        <f t="shared" si="23"/>
        <v>227.06268958543987</v>
      </c>
      <c r="C249" s="51">
        <f t="shared" si="26"/>
        <v>4.3375599738573545</v>
      </c>
      <c r="D249" s="51">
        <f t="shared" si="24"/>
        <v>131.93411587149453</v>
      </c>
      <c r="E249" s="51">
        <f t="shared" si="27"/>
        <v>119924.90938054676</v>
      </c>
    </row>
    <row r="250" spans="1:5">
      <c r="A250" s="51">
        <f t="shared" si="25"/>
        <v>19.005224132119988</v>
      </c>
      <c r="B250" s="269">
        <f t="shared" si="23"/>
        <v>228.06268958543984</v>
      </c>
      <c r="C250" s="51">
        <f t="shared" si="26"/>
        <v>4.3198299399863549</v>
      </c>
      <c r="D250" s="51">
        <f t="shared" si="24"/>
        <v>131.39482734125164</v>
      </c>
      <c r="E250" s="51">
        <f t="shared" si="27"/>
        <v>120056.30420788801</v>
      </c>
    </row>
    <row r="251" spans="1:5">
      <c r="A251" s="51">
        <f t="shared" si="25"/>
        <v>19.08855746545332</v>
      </c>
      <c r="B251" s="269">
        <f t="shared" si="23"/>
        <v>229.06268958543984</v>
      </c>
      <c r="C251" s="51">
        <f t="shared" si="26"/>
        <v>4.3022494762956418</v>
      </c>
      <c r="D251" s="51">
        <f t="shared" si="24"/>
        <v>130.86008823732578</v>
      </c>
      <c r="E251" s="51">
        <f t="shared" si="27"/>
        <v>120187.16429612534</v>
      </c>
    </row>
    <row r="252" spans="1:5">
      <c r="A252" s="51">
        <f t="shared" si="25"/>
        <v>19.171890798786652</v>
      </c>
      <c r="B252" s="269">
        <f t="shared" si="23"/>
        <v>230.06268958543984</v>
      </c>
      <c r="C252" s="51">
        <f t="shared" si="26"/>
        <v>4.2848166762753888</v>
      </c>
      <c r="D252" s="51">
        <f t="shared" si="24"/>
        <v>130.32984057004307</v>
      </c>
      <c r="E252" s="51">
        <f t="shared" si="27"/>
        <v>120317.49413669539</v>
      </c>
    </row>
    <row r="253" spans="1:5">
      <c r="A253" s="51">
        <f t="shared" si="25"/>
        <v>19.255224132119984</v>
      </c>
      <c r="B253" s="269">
        <f t="shared" si="23"/>
        <v>231.06268958543981</v>
      </c>
      <c r="C253" s="51">
        <f t="shared" si="26"/>
        <v>4.2675296658643314</v>
      </c>
      <c r="D253" s="51">
        <f t="shared" si="24"/>
        <v>129.80402733670675</v>
      </c>
      <c r="E253" s="51">
        <f t="shared" si="27"/>
        <v>120447.29816403209</v>
      </c>
    </row>
    <row r="254" spans="1:5">
      <c r="A254" s="51">
        <f t="shared" si="25"/>
        <v>19.338557465453317</v>
      </c>
      <c r="B254" s="269">
        <f t="shared" si="23"/>
        <v>232.06268958543978</v>
      </c>
      <c r="C254" s="51">
        <f t="shared" si="26"/>
        <v>4.250386602760079</v>
      </c>
      <c r="D254" s="51">
        <f t="shared" si="24"/>
        <v>129.28259250061907</v>
      </c>
      <c r="E254" s="51">
        <f t="shared" si="27"/>
        <v>120576.58075653271</v>
      </c>
    </row>
    <row r="255" spans="1:5">
      <c r="A255" s="51">
        <f t="shared" si="25"/>
        <v>19.421890798786649</v>
      </c>
      <c r="B255" s="269">
        <f t="shared" si="23"/>
        <v>233.06268958543978</v>
      </c>
      <c r="C255" s="51">
        <f t="shared" si="26"/>
        <v>4.2333856757468737</v>
      </c>
      <c r="D255" s="51">
        <f t="shared" si="24"/>
        <v>128.76548097063409</v>
      </c>
      <c r="E255" s="51">
        <f t="shared" si="27"/>
        <v>120705.34623750334</v>
      </c>
    </row>
    <row r="256" spans="1:5">
      <c r="A256" s="51">
        <f t="shared" si="25"/>
        <v>19.505224132119981</v>
      </c>
      <c r="B256" s="269">
        <f t="shared" si="23"/>
        <v>234.06268958543978</v>
      </c>
      <c r="C256" s="51">
        <f t="shared" si="26"/>
        <v>4.2165251040404943</v>
      </c>
      <c r="D256" s="51">
        <f t="shared" si="24"/>
        <v>128.25263858123171</v>
      </c>
      <c r="E256" s="51">
        <f t="shared" si="27"/>
        <v>120833.59887608458</v>
      </c>
    </row>
    <row r="257" spans="1:5">
      <c r="A257" s="51">
        <f t="shared" si="25"/>
        <v>19.588557465453313</v>
      </c>
      <c r="B257" s="269">
        <f t="shared" si="23"/>
        <v>235.06268958543976</v>
      </c>
      <c r="C257" s="51">
        <f t="shared" si="26"/>
        <v>4.1998031366496411</v>
      </c>
      <c r="D257" s="51">
        <f t="shared" si="24"/>
        <v>127.74401207309326</v>
      </c>
      <c r="E257" s="51">
        <f t="shared" si="27"/>
        <v>120961.34288815767</v>
      </c>
    </row>
    <row r="258" spans="1:5">
      <c r="A258" s="51">
        <f t="shared" si="25"/>
        <v>19.671890798786645</v>
      </c>
      <c r="B258" s="269">
        <f t="shared" si="23"/>
        <v>236.06268958543973</v>
      </c>
      <c r="C258" s="51">
        <f t="shared" si="26"/>
        <v>4.1832180517533475</v>
      </c>
      <c r="D258" s="51">
        <f t="shared" si="24"/>
        <v>127.23954907416433</v>
      </c>
      <c r="E258" s="51">
        <f t="shared" si="27"/>
        <v>121088.58243723183</v>
      </c>
    </row>
    <row r="259" spans="1:5">
      <c r="A259" s="51">
        <f t="shared" si="25"/>
        <v>19.755224132119977</v>
      </c>
      <c r="B259" s="269">
        <f t="shared" si="23"/>
        <v>237.06268958543973</v>
      </c>
      <c r="C259" s="51">
        <f t="shared" si="26"/>
        <v>4.1667681560940659</v>
      </c>
      <c r="D259" s="51">
        <f t="shared" si="24"/>
        <v>126.73919808119452</v>
      </c>
      <c r="E259" s="51">
        <f t="shared" si="27"/>
        <v>121215.32163531303</v>
      </c>
    </row>
    <row r="260" spans="1:5">
      <c r="A260" s="51">
        <f t="shared" si="25"/>
        <v>19.838557465453309</v>
      </c>
      <c r="B260" s="269">
        <f t="shared" si="23"/>
        <v>238.06268958543973</v>
      </c>
      <c r="C260" s="51">
        <f t="shared" si="26"/>
        <v>4.1504517843857558</v>
      </c>
      <c r="D260" s="51">
        <f t="shared" si="24"/>
        <v>126.24290844173341</v>
      </c>
      <c r="E260" s="51">
        <f t="shared" si="27"/>
        <v>121341.56454375476</v>
      </c>
    </row>
    <row r="261" spans="1:5">
      <c r="A261" s="51">
        <f t="shared" si="25"/>
        <v>19.921890798786642</v>
      </c>
      <c r="B261" s="269">
        <f t="shared" si="23"/>
        <v>239.0626895854397</v>
      </c>
      <c r="C261" s="51">
        <f t="shared" si="26"/>
        <v>4.134267298736761</v>
      </c>
      <c r="D261" s="51">
        <f t="shared" si="24"/>
        <v>125.75063033657649</v>
      </c>
      <c r="E261" s="51">
        <f t="shared" si="27"/>
        <v>121467.31517409135</v>
      </c>
    </row>
    <row r="262" spans="1:5">
      <c r="A262" s="51">
        <f t="shared" si="25"/>
        <v>20.005224132119974</v>
      </c>
      <c r="B262" s="269">
        <f t="shared" si="23"/>
        <v>240.06268958543967</v>
      </c>
      <c r="C262" s="51">
        <f t="shared" si="26"/>
        <v>4.1182130880868941</v>
      </c>
      <c r="D262" s="51">
        <f t="shared" si="24"/>
        <v>125.26231476264303</v>
      </c>
      <c r="E262" s="51">
        <f t="shared" si="27"/>
        <v>121592.57748885399</v>
      </c>
    </row>
    <row r="263" spans="1:5">
      <c r="A263" s="39"/>
      <c r="B263" s="39"/>
      <c r="C263" s="39"/>
      <c r="D263" s="39"/>
      <c r="E263" s="39"/>
    </row>
    <row r="264" spans="1:5">
      <c r="A264" s="39"/>
      <c r="B264" s="39"/>
      <c r="C264" s="39"/>
      <c r="D264" s="39"/>
      <c r="E264" s="39"/>
    </row>
    <row r="265" spans="1:5">
      <c r="A265" s="39"/>
      <c r="B265" s="39"/>
      <c r="C265" s="39"/>
      <c r="D265" s="39"/>
      <c r="E265" s="39"/>
    </row>
    <row r="266" spans="1:5">
      <c r="A266" s="39"/>
      <c r="B266" s="39"/>
      <c r="C266" s="39"/>
      <c r="D266" s="39"/>
      <c r="E266" s="39"/>
    </row>
    <row r="267" spans="1:5">
      <c r="A267" s="39"/>
      <c r="B267" s="39"/>
      <c r="C267" s="39"/>
      <c r="D267" s="39"/>
      <c r="E267" s="39"/>
    </row>
    <row r="268" spans="1:5">
      <c r="A268" s="39"/>
      <c r="B268" s="39"/>
      <c r="C268" s="39"/>
      <c r="D268" s="39"/>
      <c r="E268" s="39"/>
    </row>
    <row r="269" spans="1:5">
      <c r="A269" s="39"/>
      <c r="B269" s="39"/>
      <c r="C269" s="39"/>
      <c r="D269" s="39"/>
      <c r="E269" s="39"/>
    </row>
    <row r="270" spans="1:5">
      <c r="A270" s="39"/>
      <c r="B270" s="39"/>
      <c r="C270" s="39"/>
      <c r="D270" s="39"/>
      <c r="E270" s="39"/>
    </row>
    <row r="271" spans="1:5">
      <c r="A271" s="39"/>
      <c r="B271" s="39"/>
      <c r="C271" s="39"/>
      <c r="D271" s="39"/>
      <c r="E271" s="39"/>
    </row>
    <row r="272" spans="1:5">
      <c r="A272" s="39"/>
      <c r="B272" s="39"/>
      <c r="C272" s="39"/>
      <c r="D272" s="39"/>
      <c r="E272" s="39"/>
    </row>
    <row r="273" spans="1:5">
      <c r="A273" s="39"/>
      <c r="B273" s="39"/>
      <c r="C273" s="39"/>
      <c r="D273" s="39"/>
      <c r="E273" s="39"/>
    </row>
    <row r="274" spans="1:5">
      <c r="A274" s="39"/>
      <c r="B274" s="39"/>
      <c r="C274" s="39"/>
      <c r="D274" s="39"/>
      <c r="E274" s="39"/>
    </row>
    <row r="275" spans="1:5">
      <c r="A275" s="39"/>
      <c r="B275" s="39"/>
      <c r="C275" s="39"/>
      <c r="D275" s="39"/>
      <c r="E275" s="39"/>
    </row>
    <row r="276" spans="1:5">
      <c r="A276" s="39"/>
      <c r="B276" s="39"/>
      <c r="C276" s="39"/>
      <c r="D276" s="39"/>
      <c r="E276" s="39"/>
    </row>
    <row r="277" spans="1:5">
      <c r="A277" s="39"/>
      <c r="B277" s="39"/>
      <c r="C277" s="39"/>
      <c r="D277" s="39"/>
      <c r="E277" s="39"/>
    </row>
    <row r="278" spans="1:5">
      <c r="A278" s="39"/>
      <c r="B278" s="39"/>
      <c r="C278" s="39"/>
      <c r="D278" s="39"/>
      <c r="E278" s="39"/>
    </row>
    <row r="279" spans="1:5">
      <c r="A279" s="39"/>
      <c r="B279" s="39"/>
      <c r="C279" s="39"/>
      <c r="D279" s="39"/>
      <c r="E279" s="39"/>
    </row>
    <row r="280" spans="1:5">
      <c r="A280" s="39"/>
      <c r="B280" s="39"/>
      <c r="C280" s="39"/>
      <c r="D280" s="39"/>
      <c r="E280" s="39"/>
    </row>
    <row r="281" spans="1:5">
      <c r="A281" s="39"/>
      <c r="B281" s="39"/>
      <c r="C281" s="39"/>
      <c r="D281" s="39"/>
      <c r="E281" s="39"/>
    </row>
    <row r="282" spans="1:5">
      <c r="A282" s="39"/>
      <c r="B282" s="39"/>
      <c r="C282" s="39"/>
      <c r="D282" s="39"/>
      <c r="E282" s="39"/>
    </row>
    <row r="283" spans="1:5">
      <c r="A283" s="39"/>
      <c r="B283" s="39"/>
      <c r="C283" s="39"/>
      <c r="D283" s="39"/>
      <c r="E283" s="39"/>
    </row>
    <row r="284" spans="1:5">
      <c r="A284" s="39"/>
      <c r="B284" s="39"/>
      <c r="C284" s="39"/>
      <c r="D284" s="39"/>
      <c r="E284" s="39"/>
    </row>
    <row r="285" spans="1:5">
      <c r="A285" s="39"/>
      <c r="B285" s="39"/>
      <c r="C285" s="39"/>
      <c r="D285" s="39"/>
      <c r="E285" s="39"/>
    </row>
    <row r="286" spans="1:5">
      <c r="A286" s="39"/>
      <c r="B286" s="39"/>
      <c r="C286" s="39"/>
      <c r="D286" s="39"/>
      <c r="E286" s="39"/>
    </row>
    <row r="287" spans="1:5">
      <c r="A287" s="39"/>
      <c r="B287" s="39"/>
      <c r="C287" s="39"/>
      <c r="D287" s="39"/>
      <c r="E287" s="39"/>
    </row>
    <row r="288" spans="1:5">
      <c r="A288" s="39"/>
      <c r="B288" s="39"/>
      <c r="C288" s="39"/>
      <c r="D288" s="39"/>
      <c r="E288" s="39"/>
    </row>
    <row r="289" spans="1:5">
      <c r="A289" s="39"/>
      <c r="B289" s="39"/>
      <c r="C289" s="39"/>
      <c r="D289" s="39"/>
      <c r="E289" s="39"/>
    </row>
    <row r="290" spans="1:5">
      <c r="A290" s="39"/>
      <c r="B290" s="39"/>
      <c r="C290" s="39"/>
      <c r="D290" s="39"/>
      <c r="E290" s="39"/>
    </row>
    <row r="291" spans="1:5">
      <c r="A291" s="39"/>
      <c r="B291" s="39"/>
      <c r="C291" s="39"/>
      <c r="D291" s="39"/>
      <c r="E291" s="39"/>
    </row>
    <row r="292" spans="1:5">
      <c r="A292" s="39"/>
      <c r="B292" s="39"/>
      <c r="C292" s="39"/>
      <c r="D292" s="39"/>
      <c r="E292" s="39"/>
    </row>
    <row r="293" spans="1:5">
      <c r="A293" s="39"/>
      <c r="B293" s="39"/>
      <c r="C293" s="39"/>
      <c r="D293" s="39"/>
      <c r="E293" s="39"/>
    </row>
    <row r="294" spans="1:5">
      <c r="A294" s="39"/>
      <c r="B294" s="39"/>
      <c r="C294" s="39"/>
      <c r="D294" s="39"/>
      <c r="E294" s="39"/>
    </row>
    <row r="295" spans="1:5">
      <c r="A295" s="39"/>
      <c r="B295" s="39"/>
      <c r="C295" s="39"/>
      <c r="D295" s="39"/>
      <c r="E295" s="39"/>
    </row>
    <row r="296" spans="1:5">
      <c r="A296" s="39"/>
      <c r="B296" s="39"/>
      <c r="C296" s="39"/>
      <c r="D296" s="39"/>
      <c r="E296" s="39"/>
    </row>
    <row r="297" spans="1:5">
      <c r="A297" s="39"/>
      <c r="B297" s="39"/>
      <c r="C297" s="39"/>
      <c r="D297" s="39"/>
      <c r="E297" s="39"/>
    </row>
    <row r="298" spans="1:5">
      <c r="A298" s="39"/>
      <c r="B298" s="39"/>
      <c r="C298" s="39"/>
      <c r="D298" s="39"/>
      <c r="E298" s="39"/>
    </row>
    <row r="299" spans="1:5">
      <c r="A299" s="39"/>
      <c r="B299" s="39"/>
      <c r="C299" s="39"/>
      <c r="D299" s="39"/>
      <c r="E299" s="39"/>
    </row>
    <row r="300" spans="1:5">
      <c r="A300" s="39"/>
      <c r="B300" s="39"/>
      <c r="C300" s="39"/>
      <c r="D300" s="39"/>
      <c r="E300" s="39"/>
    </row>
    <row r="301" spans="1:5">
      <c r="A301" s="39"/>
      <c r="B301" s="39"/>
      <c r="C301" s="39"/>
      <c r="D301" s="39"/>
      <c r="E301" s="39"/>
    </row>
    <row r="302" spans="1:5">
      <c r="A302" s="39"/>
      <c r="B302" s="39"/>
      <c r="C302" s="39"/>
      <c r="D302" s="39"/>
      <c r="E302" s="39"/>
    </row>
    <row r="303" spans="1:5">
      <c r="A303" s="39"/>
      <c r="B303" s="39"/>
      <c r="C303" s="39"/>
      <c r="D303" s="39"/>
      <c r="E303" s="39"/>
    </row>
    <row r="304" spans="1:5">
      <c r="A304" s="39"/>
      <c r="B304" s="39"/>
      <c r="C304" s="39"/>
      <c r="D304" s="39"/>
      <c r="E304" s="39"/>
    </row>
    <row r="305" spans="1:5">
      <c r="A305" s="39"/>
      <c r="B305" s="39"/>
      <c r="C305" s="39"/>
      <c r="D305" s="39"/>
      <c r="E305" s="39"/>
    </row>
    <row r="306" spans="1:5">
      <c r="A306" s="39"/>
      <c r="B306" s="39"/>
      <c r="C306" s="39"/>
      <c r="D306" s="39"/>
      <c r="E306" s="39"/>
    </row>
    <row r="307" spans="1:5">
      <c r="A307" s="39"/>
      <c r="B307" s="39"/>
      <c r="C307" s="39"/>
      <c r="D307" s="39"/>
      <c r="E307" s="39"/>
    </row>
    <row r="308" spans="1:5">
      <c r="A308" s="39"/>
      <c r="B308" s="39"/>
      <c r="C308" s="39"/>
      <c r="D308" s="39"/>
      <c r="E308" s="39"/>
    </row>
    <row r="309" spans="1:5">
      <c r="A309" s="39"/>
      <c r="B309" s="39"/>
      <c r="C309" s="39"/>
      <c r="D309" s="39"/>
      <c r="E309" s="39"/>
    </row>
    <row r="310" spans="1:5">
      <c r="A310" s="39"/>
      <c r="B310" s="39"/>
      <c r="C310" s="39"/>
      <c r="D310" s="39"/>
      <c r="E310" s="39"/>
    </row>
    <row r="311" spans="1:5">
      <c r="A311" s="39"/>
      <c r="B311" s="39"/>
      <c r="C311" s="39"/>
      <c r="D311" s="39"/>
      <c r="E311" s="39"/>
    </row>
    <row r="312" spans="1:5">
      <c r="A312" s="39"/>
      <c r="B312" s="39"/>
      <c r="C312" s="39"/>
      <c r="D312" s="39"/>
      <c r="E312" s="39"/>
    </row>
    <row r="313" spans="1:5">
      <c r="A313" s="39"/>
      <c r="B313" s="39"/>
      <c r="C313" s="39"/>
      <c r="D313" s="39"/>
      <c r="E313" s="39"/>
    </row>
    <row r="314" spans="1:5">
      <c r="A314" s="39"/>
      <c r="B314" s="39"/>
      <c r="C314" s="39"/>
      <c r="D314" s="39"/>
      <c r="E314" s="39"/>
    </row>
    <row r="315" spans="1:5">
      <c r="A315" s="39"/>
      <c r="B315" s="39"/>
      <c r="C315" s="39"/>
      <c r="D315" s="39"/>
      <c r="E315" s="39"/>
    </row>
    <row r="316" spans="1:5">
      <c r="A316" s="39"/>
      <c r="B316" s="39"/>
      <c r="C316" s="39"/>
      <c r="D316" s="39"/>
      <c r="E316" s="39"/>
    </row>
    <row r="317" spans="1:5">
      <c r="A317" s="39"/>
      <c r="B317" s="39"/>
      <c r="C317" s="39"/>
      <c r="D317" s="39"/>
      <c r="E317" s="39"/>
    </row>
    <row r="318" spans="1:5">
      <c r="A318" s="39"/>
      <c r="B318" s="39"/>
      <c r="C318" s="39"/>
      <c r="D318" s="39"/>
      <c r="E318" s="39"/>
    </row>
    <row r="319" spans="1:5">
      <c r="A319" s="39"/>
      <c r="B319" s="39"/>
      <c r="C319" s="39"/>
      <c r="D319" s="39"/>
      <c r="E319" s="39"/>
    </row>
    <row r="320" spans="1:5">
      <c r="A320" s="39"/>
      <c r="B320" s="39"/>
      <c r="C320" s="39"/>
      <c r="D320" s="39"/>
      <c r="E320" s="39"/>
    </row>
    <row r="321" spans="1:5">
      <c r="A321" s="39"/>
      <c r="B321" s="39"/>
      <c r="C321" s="39"/>
      <c r="D321" s="39"/>
      <c r="E321" s="39"/>
    </row>
    <row r="322" spans="1:5">
      <c r="A322" s="39"/>
      <c r="B322" s="39"/>
      <c r="C322" s="39"/>
      <c r="D322" s="39"/>
      <c r="E322" s="39"/>
    </row>
    <row r="323" spans="1:5">
      <c r="A323" s="39"/>
      <c r="B323" s="39"/>
      <c r="C323" s="39"/>
      <c r="D323" s="39"/>
      <c r="E323" s="39"/>
    </row>
    <row r="324" spans="1:5">
      <c r="A324" s="39"/>
      <c r="B324" s="39"/>
      <c r="C324" s="39"/>
      <c r="D324" s="39"/>
      <c r="E324" s="39"/>
    </row>
    <row r="325" spans="1:5">
      <c r="A325" s="39"/>
      <c r="B325" s="39"/>
      <c r="C325" s="39"/>
      <c r="D325" s="39"/>
      <c r="E325" s="39"/>
    </row>
    <row r="326" spans="1:5">
      <c r="A326" s="39"/>
      <c r="B326" s="39"/>
      <c r="C326" s="39"/>
      <c r="D326" s="39"/>
      <c r="E326" s="39"/>
    </row>
    <row r="327" spans="1:5">
      <c r="A327" s="39"/>
      <c r="B327" s="39"/>
      <c r="C327" s="39"/>
      <c r="D327" s="39"/>
      <c r="E327" s="39"/>
    </row>
    <row r="328" spans="1:5">
      <c r="A328" s="39"/>
      <c r="B328" s="39"/>
      <c r="C328" s="39"/>
      <c r="D328" s="39"/>
      <c r="E328" s="39"/>
    </row>
    <row r="329" spans="1:5">
      <c r="A329" s="39"/>
      <c r="B329" s="39"/>
      <c r="C329" s="39"/>
      <c r="D329" s="39"/>
      <c r="E329" s="39"/>
    </row>
    <row r="330" spans="1:5">
      <c r="A330" s="39"/>
      <c r="B330" s="39"/>
      <c r="C330" s="39"/>
      <c r="D330" s="39"/>
      <c r="E330" s="39"/>
    </row>
    <row r="331" spans="1:5">
      <c r="A331" s="39"/>
      <c r="B331" s="39"/>
      <c r="C331" s="39"/>
      <c r="D331" s="39"/>
      <c r="E331" s="39"/>
    </row>
    <row r="332" spans="1:5">
      <c r="A332" s="39"/>
      <c r="B332" s="39"/>
      <c r="C332" s="39"/>
      <c r="D332" s="39"/>
      <c r="E332" s="39"/>
    </row>
    <row r="333" spans="1:5">
      <c r="A333" s="39"/>
      <c r="B333" s="39"/>
      <c r="C333" s="39"/>
      <c r="D333" s="39"/>
      <c r="E333" s="39"/>
    </row>
    <row r="334" spans="1:5">
      <c r="A334" s="39"/>
      <c r="B334" s="39"/>
      <c r="C334" s="39"/>
      <c r="D334" s="39"/>
      <c r="E334" s="39"/>
    </row>
    <row r="335" spans="1:5">
      <c r="A335" s="39"/>
      <c r="B335" s="39"/>
      <c r="C335" s="39"/>
      <c r="D335" s="39"/>
      <c r="E335" s="39"/>
    </row>
    <row r="336" spans="1:5">
      <c r="A336" s="39"/>
      <c r="B336" s="39"/>
      <c r="C336" s="39"/>
      <c r="D336" s="39"/>
      <c r="E336" s="39"/>
    </row>
    <row r="337" spans="1:5">
      <c r="A337" s="39"/>
      <c r="B337" s="39"/>
      <c r="C337" s="39"/>
      <c r="D337" s="39"/>
      <c r="E337" s="39"/>
    </row>
    <row r="338" spans="1:5">
      <c r="A338" s="39"/>
      <c r="B338" s="39"/>
      <c r="C338" s="39"/>
      <c r="D338" s="39"/>
      <c r="E338" s="39"/>
    </row>
    <row r="339" spans="1:5">
      <c r="A339" s="39"/>
      <c r="B339" s="39"/>
      <c r="C339" s="39"/>
      <c r="D339" s="39"/>
      <c r="E339" s="39"/>
    </row>
    <row r="340" spans="1:5">
      <c r="A340" s="39"/>
      <c r="B340" s="39"/>
      <c r="C340" s="39"/>
      <c r="D340" s="39"/>
      <c r="E340" s="39"/>
    </row>
    <row r="341" spans="1:5">
      <c r="A341" s="39"/>
      <c r="B341" s="39"/>
      <c r="C341" s="39"/>
      <c r="D341" s="39"/>
      <c r="E341" s="39"/>
    </row>
    <row r="342" spans="1:5">
      <c r="A342" s="39"/>
      <c r="B342" s="39"/>
      <c r="C342" s="39"/>
      <c r="D342" s="39"/>
      <c r="E342" s="39"/>
    </row>
    <row r="343" spans="1:5">
      <c r="A343" s="39"/>
      <c r="B343" s="39"/>
      <c r="C343" s="39"/>
      <c r="D343" s="39"/>
      <c r="E343" s="39"/>
    </row>
    <row r="344" spans="1:5">
      <c r="A344" s="39"/>
      <c r="B344" s="39"/>
      <c r="C344" s="39"/>
      <c r="D344" s="39"/>
      <c r="E344" s="39"/>
    </row>
    <row r="345" spans="1:5">
      <c r="A345" s="39"/>
      <c r="B345" s="39"/>
      <c r="C345" s="39"/>
      <c r="D345" s="39"/>
      <c r="E345" s="39"/>
    </row>
    <row r="346" spans="1:5">
      <c r="A346" s="39"/>
      <c r="B346" s="39"/>
      <c r="C346" s="39"/>
      <c r="D346" s="39"/>
      <c r="E346" s="39"/>
    </row>
    <row r="347" spans="1:5">
      <c r="A347" s="39"/>
      <c r="B347" s="39"/>
      <c r="C347" s="39"/>
      <c r="D347" s="39"/>
      <c r="E347" s="39"/>
    </row>
    <row r="348" spans="1:5">
      <c r="A348" s="39"/>
      <c r="B348" s="39"/>
      <c r="C348" s="39"/>
      <c r="D348" s="39"/>
      <c r="E348" s="39"/>
    </row>
    <row r="349" spans="1:5">
      <c r="A349" s="39"/>
      <c r="B349" s="39"/>
      <c r="C349" s="39"/>
      <c r="D349" s="39"/>
      <c r="E349" s="39"/>
    </row>
    <row r="350" spans="1:5">
      <c r="A350" s="39"/>
      <c r="B350" s="39"/>
      <c r="C350" s="39"/>
      <c r="D350" s="39"/>
      <c r="E350" s="39"/>
    </row>
    <row r="351" spans="1:5">
      <c r="A351" s="39"/>
      <c r="B351" s="39"/>
      <c r="C351" s="39"/>
      <c r="D351" s="39"/>
      <c r="E351" s="39"/>
    </row>
    <row r="352" spans="1:5">
      <c r="A352" s="39"/>
      <c r="B352" s="39"/>
      <c r="C352" s="39"/>
      <c r="D352" s="39"/>
      <c r="E352" s="39"/>
    </row>
    <row r="353" spans="1:5">
      <c r="A353" s="39"/>
      <c r="B353" s="39"/>
      <c r="C353" s="39"/>
      <c r="D353" s="39"/>
      <c r="E353" s="39"/>
    </row>
    <row r="354" spans="1:5">
      <c r="A354" s="39"/>
      <c r="B354" s="39"/>
      <c r="C354" s="39"/>
      <c r="D354" s="39"/>
      <c r="E354" s="39"/>
    </row>
    <row r="355" spans="1:5">
      <c r="A355" s="39"/>
      <c r="B355" s="39"/>
      <c r="C355" s="39"/>
      <c r="D355" s="39"/>
      <c r="E355" s="39"/>
    </row>
    <row r="356" spans="1:5">
      <c r="A356" s="39"/>
      <c r="B356" s="39"/>
      <c r="C356" s="39"/>
      <c r="D356" s="39"/>
      <c r="E356" s="39"/>
    </row>
    <row r="357" spans="1:5">
      <c r="A357" s="39"/>
      <c r="B357" s="39"/>
      <c r="C357" s="39"/>
      <c r="D357" s="39"/>
      <c r="E357" s="39"/>
    </row>
    <row r="358" spans="1:5">
      <c r="A358" s="39"/>
      <c r="B358" s="39"/>
      <c r="C358" s="39"/>
      <c r="D358" s="39"/>
      <c r="E358" s="39"/>
    </row>
    <row r="359" spans="1:5">
      <c r="A359" s="39"/>
      <c r="B359" s="39"/>
      <c r="C359" s="39"/>
      <c r="D359" s="39"/>
      <c r="E359" s="39"/>
    </row>
    <row r="360" spans="1:5">
      <c r="A360" s="39"/>
      <c r="B360" s="39"/>
      <c r="C360" s="39"/>
      <c r="D360" s="39"/>
      <c r="E360" s="39"/>
    </row>
    <row r="361" spans="1:5">
      <c r="A361" s="39"/>
      <c r="B361" s="39"/>
      <c r="C361" s="39"/>
      <c r="D361" s="39"/>
      <c r="E361" s="39"/>
    </row>
    <row r="362" spans="1:5">
      <c r="A362" s="39"/>
      <c r="B362" s="39"/>
      <c r="C362" s="39"/>
      <c r="D362" s="39"/>
      <c r="E362" s="39"/>
    </row>
    <row r="363" spans="1:5">
      <c r="A363" s="39"/>
      <c r="B363" s="39"/>
      <c r="C363" s="39"/>
      <c r="D363" s="39"/>
      <c r="E363" s="39"/>
    </row>
    <row r="364" spans="1:5">
      <c r="A364" s="39"/>
      <c r="B364" s="39"/>
      <c r="C364" s="39"/>
      <c r="D364" s="39"/>
      <c r="E364" s="39"/>
    </row>
    <row r="365" spans="1:5">
      <c r="A365" s="39"/>
      <c r="B365" s="39"/>
      <c r="C365" s="39"/>
      <c r="D365" s="39"/>
      <c r="E365" s="39"/>
    </row>
    <row r="366" spans="1:5">
      <c r="A366" s="39"/>
      <c r="B366" s="39"/>
      <c r="C366" s="39"/>
      <c r="D366" s="39"/>
      <c r="E366" s="39"/>
    </row>
    <row r="367" spans="1:5">
      <c r="A367" s="39"/>
      <c r="B367" s="39"/>
      <c r="C367" s="39"/>
      <c r="D367" s="39"/>
      <c r="E367" s="39"/>
    </row>
    <row r="368" spans="1:5">
      <c r="A368" s="39"/>
      <c r="B368" s="39"/>
      <c r="C368" s="39"/>
      <c r="D368" s="39"/>
      <c r="E368" s="39"/>
    </row>
    <row r="369" spans="1:5">
      <c r="A369" s="39"/>
      <c r="B369" s="39"/>
      <c r="C369" s="39"/>
      <c r="D369" s="39"/>
      <c r="E369" s="39"/>
    </row>
    <row r="370" spans="1:5">
      <c r="A370" s="39"/>
      <c r="B370" s="39"/>
      <c r="C370" s="39"/>
      <c r="D370" s="39"/>
      <c r="E370" s="39"/>
    </row>
    <row r="371" spans="1:5">
      <c r="A371" s="39"/>
      <c r="B371" s="39"/>
      <c r="C371" s="39"/>
      <c r="D371" s="39"/>
      <c r="E371" s="39"/>
    </row>
    <row r="372" spans="1:5">
      <c r="A372" s="39"/>
      <c r="B372" s="39"/>
      <c r="C372" s="39"/>
      <c r="D372" s="39"/>
      <c r="E372" s="39"/>
    </row>
    <row r="373" spans="1:5">
      <c r="A373" s="39"/>
      <c r="B373" s="39"/>
      <c r="C373" s="39"/>
      <c r="D373" s="39"/>
      <c r="E373" s="39"/>
    </row>
    <row r="374" spans="1:5">
      <c r="A374" s="39"/>
      <c r="B374" s="39"/>
      <c r="C374" s="39"/>
      <c r="D374" s="39"/>
      <c r="E374" s="39"/>
    </row>
    <row r="375" spans="1:5">
      <c r="A375" s="39"/>
      <c r="B375" s="39"/>
      <c r="C375" s="39"/>
      <c r="D375" s="39"/>
      <c r="E375" s="39"/>
    </row>
    <row r="376" spans="1:5">
      <c r="A376" s="39"/>
      <c r="B376" s="39"/>
      <c r="C376" s="39"/>
      <c r="D376" s="39"/>
      <c r="E376" s="39"/>
    </row>
    <row r="377" spans="1:5">
      <c r="A377" s="39"/>
      <c r="B377" s="39"/>
      <c r="C377" s="39"/>
      <c r="D377" s="39"/>
      <c r="E377" s="39"/>
    </row>
    <row r="378" spans="1:5">
      <c r="A378" s="39"/>
      <c r="B378" s="39"/>
      <c r="C378" s="39"/>
      <c r="D378" s="39"/>
      <c r="E378" s="39"/>
    </row>
    <row r="379" spans="1:5">
      <c r="A379" s="39"/>
      <c r="B379" s="39"/>
      <c r="C379" s="39"/>
      <c r="D379" s="39"/>
      <c r="E379" s="39"/>
    </row>
    <row r="380" spans="1:5">
      <c r="A380" s="39"/>
      <c r="B380" s="39"/>
      <c r="C380" s="39"/>
      <c r="D380" s="39"/>
      <c r="E380" s="39"/>
    </row>
    <row r="381" spans="1:5">
      <c r="A381" s="39"/>
      <c r="B381" s="39"/>
      <c r="C381" s="39"/>
      <c r="D381" s="39"/>
      <c r="E381" s="39"/>
    </row>
    <row r="382" spans="1:5">
      <c r="A382" s="39"/>
      <c r="B382" s="39"/>
      <c r="C382" s="39"/>
      <c r="D382" s="39"/>
      <c r="E382" s="39"/>
    </row>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4"/>
  <dimension ref="A1:CW389"/>
  <sheetViews>
    <sheetView tabSelected="1" workbookViewId="0">
      <selection activeCell="B7" sqref="B7"/>
    </sheetView>
  </sheetViews>
  <sheetFormatPr defaultColWidth="11" defaultRowHeight="15.9"/>
  <cols>
    <col min="1" max="1" width="11.640625" bestFit="1" customWidth="1"/>
    <col min="2" max="2" width="12.640625" bestFit="1" customWidth="1"/>
    <col min="3" max="3" width="21.5" bestFit="1" customWidth="1"/>
    <col min="4" max="4" width="24.140625" bestFit="1" customWidth="1"/>
    <col min="5" max="5" width="25.640625" bestFit="1" customWidth="1"/>
    <col min="6" max="6" width="20" bestFit="1" customWidth="1"/>
    <col min="7" max="7" width="13.5" bestFit="1" customWidth="1"/>
  </cols>
  <sheetData>
    <row r="1" spans="1:101">
      <c r="A1" s="74" t="s">
        <v>707</v>
      </c>
    </row>
    <row r="2" spans="1:101" ht="16.3" thickBot="1">
      <c r="A2" s="59" t="s">
        <v>706</v>
      </c>
      <c r="F2" t="s">
        <v>697</v>
      </c>
      <c r="G2" s="50" t="s">
        <v>691</v>
      </c>
      <c r="H2" s="44">
        <v>-3.1733294426636799E-3</v>
      </c>
      <c r="I2" s="44">
        <v>0.28228042019258398</v>
      </c>
      <c r="J2" s="44">
        <v>0.70903851765392101</v>
      </c>
      <c r="K2" s="44">
        <v>1.1334257367960201</v>
      </c>
      <c r="L2" s="44">
        <v>2.1239786985701699</v>
      </c>
      <c r="M2" s="44">
        <v>2.47818791946308</v>
      </c>
      <c r="N2" s="44">
        <v>3.1145316603443201</v>
      </c>
      <c r="O2" s="44">
        <v>3.6806974029763602</v>
      </c>
      <c r="P2" s="44">
        <v>4.2473373212722398</v>
      </c>
      <c r="Q2" s="44">
        <v>4.8841552378173301</v>
      </c>
      <c r="R2" s="44">
        <v>5.3094908082871299</v>
      </c>
      <c r="S2" s="44">
        <v>6.5096294134811696</v>
      </c>
      <c r="T2" s="44">
        <v>7.0056171578640098</v>
      </c>
      <c r="U2" s="44">
        <v>7.2901225561715703</v>
      </c>
      <c r="V2" s="44">
        <v>7.6457543040560196</v>
      </c>
      <c r="W2" s="44">
        <v>8.0018602276043094</v>
      </c>
      <c r="X2" s="44">
        <v>8.5727677268748099</v>
      </c>
      <c r="Y2" s="44">
        <v>8.7875693025970207</v>
      </c>
      <c r="Z2" s="44">
        <v>9.3575284505398209</v>
      </c>
      <c r="AA2" s="44">
        <v>9.6425080245112298</v>
      </c>
      <c r="AB2" s="44">
        <v>9.9990881237233697</v>
      </c>
      <c r="AC2" s="44">
        <v>10.355194047271601</v>
      </c>
      <c r="AD2" s="44">
        <v>10.6411219725707</v>
      </c>
      <c r="AE2" s="44">
        <v>11.139006419608901</v>
      </c>
      <c r="AF2" s="44">
        <v>11.637365042311</v>
      </c>
      <c r="AG2" s="44">
        <v>11.9934709658593</v>
      </c>
      <c r="AH2" s="44">
        <v>12.4918295885614</v>
      </c>
      <c r="AI2" s="44">
        <v>12.9185876860227</v>
      </c>
      <c r="AJ2" s="44">
        <v>13.4164721330609</v>
      </c>
      <c r="AK2" s="44">
        <v>13.843704406186101</v>
      </c>
      <c r="AL2" s="44">
        <v>14.4828932010504</v>
      </c>
      <c r="AM2" s="44">
        <v>14.980303472424801</v>
      </c>
      <c r="AN2" s="44">
        <v>15.4777137437992</v>
      </c>
      <c r="AO2" s="44">
        <v>15.9044718412605</v>
      </c>
      <c r="AP2" s="44">
        <v>16.472060110884101</v>
      </c>
      <c r="AQ2" s="44">
        <v>16.9689962065946</v>
      </c>
      <c r="AR2" s="44">
        <v>17.890319521447299</v>
      </c>
      <c r="AS2" s="44">
        <v>18.457433615406998</v>
      </c>
      <c r="AT2" s="44">
        <v>19.025021885030601</v>
      </c>
      <c r="AU2" s="44">
        <v>19.8747446746425</v>
      </c>
      <c r="AV2" s="44">
        <v>20.370732419025298</v>
      </c>
      <c r="AW2" s="44">
        <v>21.291107382550301</v>
      </c>
      <c r="AX2" s="44">
        <v>22.212430697402901</v>
      </c>
      <c r="AY2" s="44">
        <v>23.134228187919401</v>
      </c>
      <c r="AZ2" s="44">
        <v>24.195907499270501</v>
      </c>
      <c r="BA2" s="44">
        <v>24.833199591479399</v>
      </c>
      <c r="BB2" s="44">
        <v>25.3277648088707</v>
      </c>
      <c r="BC2" s="44">
        <v>26.602823168952401</v>
      </c>
      <c r="BD2" s="44">
        <v>27.1689889115844</v>
      </c>
      <c r="BE2" s="44">
        <v>27.736103005544201</v>
      </c>
      <c r="BF2" s="44">
        <v>28.867960315144401</v>
      </c>
      <c r="BG2" s="44">
        <v>29.574956229938699</v>
      </c>
      <c r="BH2" s="44">
        <v>30.142544499562302</v>
      </c>
      <c r="BI2" s="44">
        <v>30.7784140647796</v>
      </c>
      <c r="BJ2" s="44">
        <v>31.273453457834801</v>
      </c>
      <c r="BK2" s="44">
        <v>32.264480595272801</v>
      </c>
      <c r="BL2" s="44">
        <v>32.760468339655603</v>
      </c>
      <c r="BM2" s="44">
        <v>33.325685730959997</v>
      </c>
      <c r="BN2" s="44">
        <v>34.033155821418099</v>
      </c>
      <c r="BO2" s="44">
        <v>34.811278085789297</v>
      </c>
      <c r="BP2" s="44">
        <v>35.729756346658803</v>
      </c>
      <c r="BQ2" s="44">
        <v>36.506930259702301</v>
      </c>
      <c r="BR2" s="44">
        <v>37.214400350160403</v>
      </c>
      <c r="BS2" s="44">
        <v>38.063174788444698</v>
      </c>
      <c r="BT2" s="44">
        <v>38.770170703238897</v>
      </c>
      <c r="BU2" s="44">
        <v>39.476692442369398</v>
      </c>
      <c r="BV2" s="44">
        <v>40.536475051064997</v>
      </c>
      <c r="BW2" s="44">
        <v>41.032936971111702</v>
      </c>
      <c r="BX2" s="44">
        <v>41.809636708491396</v>
      </c>
      <c r="BY2" s="44">
        <v>42.304201925882701</v>
      </c>
      <c r="BZ2" s="44">
        <v>43.647541581558201</v>
      </c>
      <c r="CA2" s="44">
        <v>44.212758972862503</v>
      </c>
      <c r="CB2" s="44">
        <v>44.8486285380799</v>
      </c>
      <c r="CC2" s="44">
        <v>45.272541581558201</v>
      </c>
      <c r="CD2" s="44">
        <v>45.838707324190203</v>
      </c>
      <c r="CE2" s="44">
        <v>47.039794280711902</v>
      </c>
      <c r="CF2" s="44">
        <v>47.464655675517903</v>
      </c>
      <c r="CG2" s="44">
        <v>47.888568718996197</v>
      </c>
      <c r="CH2" s="44">
        <v>48.524438284213602</v>
      </c>
      <c r="CI2" s="44">
        <v>49.089655675517903</v>
      </c>
      <c r="CJ2" s="44">
        <v>49.938430113802099</v>
      </c>
      <c r="CK2" s="44">
        <v>50.6449518529325</v>
      </c>
      <c r="CL2" s="44">
        <v>51.422125765975998</v>
      </c>
      <c r="CM2" s="44">
        <v>52.0584695068573</v>
      </c>
      <c r="CN2" s="44">
        <v>53.119200466880599</v>
      </c>
      <c r="CO2" s="44">
        <v>53.896848555587901</v>
      </c>
      <c r="CP2" s="44">
        <v>54.391887948643102</v>
      </c>
      <c r="CQ2" s="44">
        <v>54.8864531660344</v>
      </c>
      <c r="CR2" s="44">
        <v>55.593449080828698</v>
      </c>
      <c r="CS2" s="44">
        <v>56.300444995622897</v>
      </c>
      <c r="CT2" s="44">
        <v>57.149219433907199</v>
      </c>
      <c r="CU2" s="44">
        <v>57.785088999124604</v>
      </c>
      <c r="CV2" s="44">
        <v>58.420958564342001</v>
      </c>
      <c r="CW2" s="44">
        <v>58.844871607820203</v>
      </c>
    </row>
    <row r="3" spans="1:101">
      <c r="A3" t="s">
        <v>714</v>
      </c>
      <c r="F3" t="s">
        <v>708</v>
      </c>
      <c r="G3" s="46" t="s">
        <v>692</v>
      </c>
      <c r="H3">
        <v>823.76453242824095</v>
      </c>
      <c r="I3">
        <v>778.53162962849501</v>
      </c>
      <c r="J3">
        <v>754.16829204613407</v>
      </c>
      <c r="K3">
        <v>772.6134566062085</v>
      </c>
      <c r="L3">
        <v>774.95123861594277</v>
      </c>
      <c r="M3">
        <v>785.34271190084746</v>
      </c>
      <c r="N3">
        <v>793.35309385222683</v>
      </c>
      <c r="O3">
        <v>824.61413235452267</v>
      </c>
      <c r="P3">
        <v>826.95191436425762</v>
      </c>
      <c r="Q3">
        <v>834.80334188257018</v>
      </c>
      <c r="R3">
        <v>858.01068910970207</v>
      </c>
      <c r="S3">
        <v>905.69701902845225</v>
      </c>
      <c r="T3">
        <v>939.33914886428636</v>
      </c>
      <c r="U3">
        <v>967.4676331915299</v>
      </c>
      <c r="V3">
        <v>995.43716308571277</v>
      </c>
      <c r="W3">
        <v>1015.3530017047262</v>
      </c>
      <c r="X3">
        <v>979.05195583063301</v>
      </c>
      <c r="Y3">
        <v>1001.5078402162386</v>
      </c>
      <c r="Z3">
        <v>978.77413112588874</v>
      </c>
      <c r="AA3">
        <v>1006.7436610200714</v>
      </c>
      <c r="AB3">
        <v>1010.7110715218171</v>
      </c>
      <c r="AC3">
        <v>1033.1669559074217</v>
      </c>
      <c r="AD3">
        <v>1018.8048469583675</v>
      </c>
      <c r="AE3">
        <v>994.00795540061176</v>
      </c>
      <c r="AF3">
        <v>982.0269377850766</v>
      </c>
      <c r="AG3">
        <v>996.58808532857825</v>
      </c>
      <c r="AH3">
        <v>955.84276565355435</v>
      </c>
      <c r="AI3">
        <v>943.06478276227801</v>
      </c>
      <c r="AJ3">
        <v>912.07841752030811</v>
      </c>
      <c r="AK3">
        <v>886.69113694653777</v>
      </c>
      <c r="AL3">
        <v>846.10477170457011</v>
      </c>
      <c r="AM3">
        <v>823.76248675379622</v>
      </c>
      <c r="AN3">
        <v>800.3245496291039</v>
      </c>
      <c r="AO3">
        <v>782.62574293919465</v>
      </c>
      <c r="AP3">
        <v>776.47627969836844</v>
      </c>
      <c r="AQ3">
        <v>770.32681645754167</v>
      </c>
      <c r="AR3">
        <v>739.29070999646467</v>
      </c>
      <c r="AS3">
        <v>720.97068173789637</v>
      </c>
      <c r="AT3">
        <v>694.07522307372915</v>
      </c>
      <c r="AU3">
        <v>677.6499316572714</v>
      </c>
      <c r="AV3">
        <v>669.27833151597792</v>
      </c>
      <c r="AW3">
        <v>651.48004238784426</v>
      </c>
      <c r="AX3">
        <v>621.34736842105201</v>
      </c>
      <c r="AY3">
        <v>584.81409242393647</v>
      </c>
      <c r="AZ3">
        <v>570.1462380784169</v>
      </c>
      <c r="BA3">
        <v>562.55724663277624</v>
      </c>
      <c r="BB3">
        <v>572.99202924147187</v>
      </c>
      <c r="BC3">
        <v>508.72145347318849</v>
      </c>
      <c r="BD3">
        <v>529.08089014482107</v>
      </c>
      <c r="BE3">
        <v>503.15033557047002</v>
      </c>
      <c r="BF3">
        <v>470.3572251316931</v>
      </c>
      <c r="BG3">
        <v>481.64083362769082</v>
      </c>
      <c r="BH3">
        <v>454.06711409395746</v>
      </c>
      <c r="BI3">
        <v>467.96185093606323</v>
      </c>
      <c r="BJ3">
        <v>473.80289650299778</v>
      </c>
      <c r="BK3">
        <v>442.1881314023297</v>
      </c>
      <c r="BL3">
        <v>428.92179441893109</v>
      </c>
      <c r="BM3">
        <v>444.11126810314204</v>
      </c>
      <c r="BN3">
        <v>418.30914871070274</v>
      </c>
      <c r="BO3">
        <v>410.69650300246798</v>
      </c>
      <c r="BP3">
        <v>410.99650300246805</v>
      </c>
      <c r="BQ3">
        <v>419.19123984457326</v>
      </c>
      <c r="BR3">
        <v>411.57859413634384</v>
      </c>
      <c r="BS3">
        <v>403.96594842811561</v>
      </c>
      <c r="BT3">
        <v>394.7122571529456</v>
      </c>
      <c r="BU3">
        <v>403.2069939950502</v>
      </c>
      <c r="BV3">
        <v>405.60699399505023</v>
      </c>
      <c r="BW3">
        <v>378.94875063351355</v>
      </c>
      <c r="BX3">
        <v>391.04592016954626</v>
      </c>
      <c r="BY3">
        <v>400.14065701165202</v>
      </c>
      <c r="BZ3">
        <v>385.23327446131805</v>
      </c>
      <c r="CA3">
        <v>378.53853761921221</v>
      </c>
      <c r="CB3">
        <v>387.63327446131797</v>
      </c>
      <c r="CC3">
        <v>404.62274814552893</v>
      </c>
      <c r="CD3">
        <v>397.61010243729959</v>
      </c>
      <c r="CE3">
        <v>390.915365595195</v>
      </c>
      <c r="CF3">
        <v>376.00798304485494</v>
      </c>
      <c r="CG3">
        <v>377.20798304485493</v>
      </c>
      <c r="CH3">
        <v>386.30271988695949</v>
      </c>
      <c r="CI3">
        <v>379.60798304485496</v>
      </c>
      <c r="CJ3">
        <v>364.70060049452093</v>
      </c>
      <c r="CK3">
        <v>365.90060049452086</v>
      </c>
      <c r="CL3">
        <v>367.1006004945209</v>
      </c>
      <c r="CM3">
        <v>360.24690921935093</v>
      </c>
      <c r="CN3">
        <v>364.72900035322687</v>
      </c>
      <c r="CO3">
        <v>358.47530907806276</v>
      </c>
      <c r="CP3">
        <v>368.01109148710384</v>
      </c>
      <c r="CQ3">
        <v>361.91635464499865</v>
      </c>
      <c r="CR3">
        <v>355.66266336982869</v>
      </c>
      <c r="CS3">
        <v>340.9142352525588</v>
      </c>
      <c r="CT3">
        <v>331.40685270221877</v>
      </c>
      <c r="CU3">
        <v>338.60685270221882</v>
      </c>
      <c r="CV3">
        <v>341.73728748482819</v>
      </c>
      <c r="CW3">
        <v>352.50158954432459</v>
      </c>
    </row>
    <row r="4" spans="1:101">
      <c r="A4" t="s">
        <v>693</v>
      </c>
      <c r="B4" s="45">
        <v>5556.6960703022023</v>
      </c>
    </row>
    <row r="5" spans="1:101">
      <c r="A5" t="s">
        <v>694</v>
      </c>
      <c r="B5" s="45">
        <v>-0.70624673581068986</v>
      </c>
    </row>
    <row r="7" spans="1:101">
      <c r="A7" t="s">
        <v>695</v>
      </c>
      <c r="B7" s="42">
        <f>SUMPRODUCT(AD11:CW11,AD11:CW11)</f>
        <v>39583.84234594513</v>
      </c>
    </row>
    <row r="8" spans="1:101" ht="16.3" thickBot="1">
      <c r="F8" t="s">
        <v>697</v>
      </c>
      <c r="G8" s="50" t="s">
        <v>691</v>
      </c>
      <c r="H8" s="44">
        <v>-3.1733294426636799E-3</v>
      </c>
      <c r="I8" s="44">
        <v>0.28228042019258398</v>
      </c>
      <c r="J8" s="44">
        <v>0.70903851765392101</v>
      </c>
      <c r="K8" s="44">
        <v>1.1334257367960201</v>
      </c>
      <c r="L8" s="44">
        <v>2.1239786985701699</v>
      </c>
      <c r="M8" s="44">
        <v>2.47818791946308</v>
      </c>
      <c r="N8" s="44">
        <v>3.1145316603443201</v>
      </c>
      <c r="O8" s="44">
        <v>3.6806974029763602</v>
      </c>
      <c r="P8" s="44">
        <v>4.2473373212722398</v>
      </c>
      <c r="Q8" s="44">
        <v>4.8841552378173301</v>
      </c>
      <c r="R8" s="44">
        <v>5.3094908082871299</v>
      </c>
      <c r="S8" s="44">
        <v>6.5096294134811696</v>
      </c>
      <c r="T8" s="44">
        <v>7.0056171578640098</v>
      </c>
      <c r="U8" s="44">
        <v>7.2901225561715703</v>
      </c>
      <c r="V8" s="44">
        <v>7.6457543040560196</v>
      </c>
      <c r="W8" s="44">
        <v>8.0018602276043094</v>
      </c>
      <c r="X8" s="44">
        <v>8.5727677268748099</v>
      </c>
      <c r="Y8" s="44">
        <v>8.7875693025970207</v>
      </c>
      <c r="Z8" s="44">
        <v>9.3575284505398209</v>
      </c>
      <c r="AA8" s="44">
        <v>9.6425080245112298</v>
      </c>
      <c r="AB8" s="44">
        <v>9.9990881237233697</v>
      </c>
      <c r="AC8" s="44">
        <v>10.355194047271601</v>
      </c>
      <c r="AD8" s="44">
        <v>10.6411219725707</v>
      </c>
      <c r="AE8" s="44">
        <v>11.139006419608901</v>
      </c>
      <c r="AF8" s="44">
        <v>11.637365042311</v>
      </c>
      <c r="AG8" s="44">
        <v>11.9934709658593</v>
      </c>
      <c r="AH8" s="44">
        <v>12.4918295885614</v>
      </c>
      <c r="AI8" s="44">
        <v>12.9185876860227</v>
      </c>
      <c r="AJ8" s="44">
        <v>13.4164721330609</v>
      </c>
      <c r="AK8" s="44">
        <v>13.843704406186101</v>
      </c>
      <c r="AL8" s="44">
        <v>14.4828932010504</v>
      </c>
      <c r="AM8" s="44">
        <v>14.980303472424801</v>
      </c>
      <c r="AN8" s="44">
        <v>15.4777137437992</v>
      </c>
      <c r="AO8" s="44">
        <v>15.9044718412605</v>
      </c>
      <c r="AP8" s="44">
        <v>16.472060110884101</v>
      </c>
      <c r="AQ8" s="44">
        <v>16.9689962065946</v>
      </c>
      <c r="AR8" s="44">
        <v>17.890319521447299</v>
      </c>
      <c r="AS8" s="44">
        <v>18.457433615406998</v>
      </c>
      <c r="AT8" s="44">
        <v>19.025021885030601</v>
      </c>
      <c r="AU8" s="44">
        <v>19.8747446746425</v>
      </c>
      <c r="AV8" s="44">
        <v>20.370732419025298</v>
      </c>
      <c r="AW8" s="44">
        <v>21.291107382550301</v>
      </c>
      <c r="AX8" s="44">
        <v>22.212430697402901</v>
      </c>
      <c r="AY8" s="44">
        <v>23.134228187919401</v>
      </c>
      <c r="AZ8" s="44">
        <v>24.195907499270501</v>
      </c>
      <c r="BA8" s="44">
        <v>24.833199591479399</v>
      </c>
      <c r="BB8" s="44">
        <v>25.3277648088707</v>
      </c>
      <c r="BC8" s="44">
        <v>26.602823168952401</v>
      </c>
      <c r="BD8" s="44">
        <v>27.1689889115844</v>
      </c>
      <c r="BE8" s="44">
        <v>27.736103005544201</v>
      </c>
      <c r="BF8" s="44">
        <v>28.867960315144401</v>
      </c>
      <c r="BG8" s="44">
        <v>29.574956229938699</v>
      </c>
      <c r="BH8" s="44">
        <v>30.142544499562302</v>
      </c>
      <c r="BI8" s="44">
        <v>30.7784140647796</v>
      </c>
      <c r="BJ8" s="44">
        <v>31.273453457834801</v>
      </c>
      <c r="BK8" s="44">
        <v>32.264480595272801</v>
      </c>
      <c r="BL8" s="44">
        <v>32.760468339655603</v>
      </c>
      <c r="BM8" s="44">
        <v>33.325685730959997</v>
      </c>
      <c r="BN8" s="44">
        <v>34.033155821418099</v>
      </c>
      <c r="BO8" s="44">
        <v>34.811278085789297</v>
      </c>
      <c r="BP8" s="44">
        <v>35.729756346658803</v>
      </c>
      <c r="BQ8" s="44">
        <v>36.506930259702301</v>
      </c>
      <c r="BR8" s="44">
        <v>37.214400350160403</v>
      </c>
      <c r="BS8" s="44">
        <v>38.063174788444698</v>
      </c>
      <c r="BT8" s="44">
        <v>38.770170703238897</v>
      </c>
      <c r="BU8" s="44">
        <v>39.476692442369398</v>
      </c>
      <c r="BV8" s="44">
        <v>40.536475051064997</v>
      </c>
      <c r="BW8" s="44">
        <v>41.032936971111702</v>
      </c>
      <c r="BX8" s="44">
        <v>41.809636708491396</v>
      </c>
      <c r="BY8" s="44">
        <v>42.304201925882701</v>
      </c>
      <c r="BZ8" s="44">
        <v>43.647541581558201</v>
      </c>
      <c r="CA8" s="44">
        <v>44.212758972862503</v>
      </c>
      <c r="CB8" s="44">
        <v>44.8486285380799</v>
      </c>
      <c r="CC8" s="44">
        <v>45.272541581558201</v>
      </c>
      <c r="CD8" s="44">
        <v>45.838707324190203</v>
      </c>
      <c r="CE8" s="44">
        <v>47.039794280711902</v>
      </c>
      <c r="CF8" s="44">
        <v>47.464655675517903</v>
      </c>
      <c r="CG8" s="44">
        <v>47.888568718996197</v>
      </c>
      <c r="CH8" s="44">
        <v>48.524438284213602</v>
      </c>
      <c r="CI8" s="44">
        <v>49.089655675517903</v>
      </c>
      <c r="CJ8" s="44">
        <v>49.938430113802099</v>
      </c>
      <c r="CK8" s="44">
        <v>50.6449518529325</v>
      </c>
      <c r="CL8" s="44">
        <v>51.422125765975998</v>
      </c>
      <c r="CM8" s="44">
        <v>52.0584695068573</v>
      </c>
      <c r="CN8" s="44">
        <v>53.119200466880599</v>
      </c>
      <c r="CO8" s="44">
        <v>53.896848555587901</v>
      </c>
      <c r="CP8" s="44">
        <v>54.391887948643102</v>
      </c>
      <c r="CQ8" s="44">
        <v>54.8864531660344</v>
      </c>
      <c r="CR8" s="44">
        <v>55.593449080828698</v>
      </c>
      <c r="CS8" s="44">
        <v>56.300444995622897</v>
      </c>
      <c r="CT8" s="44">
        <v>57.149219433907199</v>
      </c>
      <c r="CU8" s="44">
        <v>57.785088999124604</v>
      </c>
      <c r="CV8" s="44">
        <v>58.420958564342001</v>
      </c>
      <c r="CW8" s="44">
        <v>58.844871607820203</v>
      </c>
    </row>
    <row r="9" spans="1:101">
      <c r="F9" t="s">
        <v>708</v>
      </c>
      <c r="G9" s="46" t="s">
        <v>692</v>
      </c>
      <c r="H9" s="42">
        <v>823.76453242824095</v>
      </c>
      <c r="I9" s="42">
        <v>778.53162962849501</v>
      </c>
      <c r="J9" s="42">
        <v>754.16829204613407</v>
      </c>
      <c r="K9" s="42">
        <v>772.6134566062085</v>
      </c>
      <c r="L9" s="42">
        <v>774.95123861594277</v>
      </c>
      <c r="M9" s="42">
        <v>785.34271190084746</v>
      </c>
      <c r="N9" s="42">
        <v>793.35309385222683</v>
      </c>
      <c r="O9" s="42">
        <v>824.61413235452267</v>
      </c>
      <c r="P9" s="42">
        <v>826.95191436425762</v>
      </c>
      <c r="Q9" s="42">
        <v>834.80334188257018</v>
      </c>
      <c r="R9" s="42">
        <v>858.01068910970207</v>
      </c>
      <c r="S9" s="42">
        <v>905.69701902845225</v>
      </c>
      <c r="T9" s="42">
        <v>939.33914886428636</v>
      </c>
      <c r="U9" s="42">
        <v>967.4676331915299</v>
      </c>
      <c r="V9" s="42">
        <v>995.43716308571277</v>
      </c>
      <c r="W9" s="42">
        <v>1015.3530017047262</v>
      </c>
      <c r="X9" s="42">
        <v>979.05195583063301</v>
      </c>
      <c r="Y9" s="42">
        <v>1001.5078402162386</v>
      </c>
      <c r="Z9" s="42">
        <v>978.77413112588874</v>
      </c>
      <c r="AA9" s="42">
        <v>1006.7436610200714</v>
      </c>
      <c r="AB9" s="42">
        <v>1010.7110715218171</v>
      </c>
      <c r="AC9" s="42">
        <v>1033.1669559074217</v>
      </c>
      <c r="AD9">
        <f>$B$4*(AD8^$B$5)</f>
        <v>1045.9480852446509</v>
      </c>
      <c r="AE9">
        <f t="shared" ref="AE9:CP9" si="0">$B$4*(AE8^$B$5)</f>
        <v>1012.709192185629</v>
      </c>
      <c r="AF9">
        <f t="shared" si="0"/>
        <v>981.88419739944743</v>
      </c>
      <c r="AG9">
        <f t="shared" si="0"/>
        <v>961.20348748012225</v>
      </c>
      <c r="AH9">
        <f t="shared" si="0"/>
        <v>933.95956510977965</v>
      </c>
      <c r="AI9">
        <f t="shared" si="0"/>
        <v>912.06260600217536</v>
      </c>
      <c r="AJ9">
        <f t="shared" si="0"/>
        <v>888.02614310198908</v>
      </c>
      <c r="AK9">
        <f t="shared" si="0"/>
        <v>868.58218828994359</v>
      </c>
      <c r="AL9">
        <f t="shared" si="0"/>
        <v>841.32996469479065</v>
      </c>
      <c r="AM9">
        <f t="shared" si="0"/>
        <v>821.5028009339926</v>
      </c>
      <c r="AN9">
        <f t="shared" si="0"/>
        <v>802.76807325617972</v>
      </c>
      <c r="AO9">
        <f t="shared" si="0"/>
        <v>787.49461697429285</v>
      </c>
      <c r="AP9">
        <f t="shared" si="0"/>
        <v>768.23200733448675</v>
      </c>
      <c r="AQ9">
        <f t="shared" si="0"/>
        <v>752.27390860422281</v>
      </c>
      <c r="AR9">
        <f t="shared" si="0"/>
        <v>724.70156784551011</v>
      </c>
      <c r="AS9">
        <f t="shared" si="0"/>
        <v>708.90376833513665</v>
      </c>
      <c r="AT9">
        <f t="shared" si="0"/>
        <v>693.90085302111402</v>
      </c>
      <c r="AU9">
        <f t="shared" si="0"/>
        <v>672.81459794303714</v>
      </c>
      <c r="AV9">
        <f t="shared" si="0"/>
        <v>661.20324097262289</v>
      </c>
      <c r="AW9">
        <f t="shared" si="0"/>
        <v>640.88626529257976</v>
      </c>
      <c r="AX9">
        <f t="shared" si="0"/>
        <v>621.99594465396399</v>
      </c>
      <c r="AY9">
        <f t="shared" si="0"/>
        <v>604.38822146049222</v>
      </c>
      <c r="AZ9">
        <f t="shared" si="0"/>
        <v>585.53577158515009</v>
      </c>
      <c r="BA9">
        <f t="shared" si="0"/>
        <v>574.88286900616083</v>
      </c>
      <c r="BB9">
        <f t="shared" si="0"/>
        <v>566.93195827927457</v>
      </c>
      <c r="BC9">
        <f t="shared" si="0"/>
        <v>547.60333800198794</v>
      </c>
      <c r="BD9">
        <f t="shared" si="0"/>
        <v>539.51923336718619</v>
      </c>
      <c r="BE9">
        <f t="shared" si="0"/>
        <v>531.70471375841123</v>
      </c>
      <c r="BF9">
        <f t="shared" si="0"/>
        <v>516.89524845354401</v>
      </c>
      <c r="BG9">
        <f t="shared" si="0"/>
        <v>508.13755259164577</v>
      </c>
      <c r="BH9">
        <f t="shared" si="0"/>
        <v>501.36112889874096</v>
      </c>
      <c r="BI9">
        <f t="shared" si="0"/>
        <v>494.02348564908851</v>
      </c>
      <c r="BJ9">
        <f t="shared" si="0"/>
        <v>488.48764660463297</v>
      </c>
      <c r="BK9">
        <f t="shared" si="0"/>
        <v>477.84248919081341</v>
      </c>
      <c r="BL9">
        <f t="shared" si="0"/>
        <v>472.72174512490017</v>
      </c>
      <c r="BM9">
        <f t="shared" si="0"/>
        <v>467.04516271496072</v>
      </c>
      <c r="BN9">
        <f t="shared" si="0"/>
        <v>460.16724199170574</v>
      </c>
      <c r="BO9">
        <f t="shared" si="0"/>
        <v>452.87875490434328</v>
      </c>
      <c r="BP9">
        <f t="shared" si="0"/>
        <v>444.62536685830787</v>
      </c>
      <c r="BQ9">
        <f t="shared" si="0"/>
        <v>437.91939094307469</v>
      </c>
      <c r="BR9">
        <f t="shared" si="0"/>
        <v>432.0232389845969</v>
      </c>
      <c r="BS9">
        <f t="shared" si="0"/>
        <v>425.1969489035817</v>
      </c>
      <c r="BT9">
        <f t="shared" si="0"/>
        <v>419.70613589796591</v>
      </c>
      <c r="BU9">
        <f t="shared" si="0"/>
        <v>414.38706786427764</v>
      </c>
      <c r="BV9">
        <f t="shared" si="0"/>
        <v>406.70608249731663</v>
      </c>
      <c r="BW9">
        <f t="shared" si="0"/>
        <v>403.22458892347731</v>
      </c>
      <c r="BX9">
        <f t="shared" si="0"/>
        <v>397.91973817969085</v>
      </c>
      <c r="BY9">
        <f t="shared" si="0"/>
        <v>394.62863983666279</v>
      </c>
      <c r="BZ9">
        <f t="shared" si="0"/>
        <v>386.01163617418996</v>
      </c>
      <c r="CA9">
        <f t="shared" si="0"/>
        <v>382.51987951730837</v>
      </c>
      <c r="CB9">
        <f t="shared" si="0"/>
        <v>378.68158452760798</v>
      </c>
      <c r="CC9">
        <f t="shared" si="0"/>
        <v>376.17390615069536</v>
      </c>
      <c r="CD9">
        <f t="shared" si="0"/>
        <v>372.88654279446558</v>
      </c>
      <c r="CE9">
        <f t="shared" si="0"/>
        <v>366.13681892987989</v>
      </c>
      <c r="CF9">
        <f t="shared" si="0"/>
        <v>363.81915958976379</v>
      </c>
      <c r="CG9">
        <f t="shared" si="0"/>
        <v>361.54168577285162</v>
      </c>
      <c r="CH9">
        <f t="shared" si="0"/>
        <v>358.18923675242331</v>
      </c>
      <c r="CI9">
        <f t="shared" si="0"/>
        <v>355.27159469497036</v>
      </c>
      <c r="CJ9">
        <f t="shared" si="0"/>
        <v>350.99630880204353</v>
      </c>
      <c r="CK9">
        <f t="shared" si="0"/>
        <v>347.53099383347296</v>
      </c>
      <c r="CL9">
        <f t="shared" si="0"/>
        <v>343.81318116737384</v>
      </c>
      <c r="CM9">
        <f t="shared" si="0"/>
        <v>340.83971838105339</v>
      </c>
      <c r="CN9">
        <f t="shared" si="0"/>
        <v>336.01864951074987</v>
      </c>
      <c r="CO9">
        <f t="shared" si="0"/>
        <v>332.58730187850887</v>
      </c>
      <c r="CP9">
        <f t="shared" si="0"/>
        <v>330.44662953878657</v>
      </c>
      <c r="CQ9">
        <f t="shared" ref="CQ9:CW9" si="1">$B$4*(CQ8^$B$5)</f>
        <v>328.34094738544633</v>
      </c>
      <c r="CR9">
        <f t="shared" si="1"/>
        <v>325.38640852283555</v>
      </c>
      <c r="CS9">
        <f t="shared" si="1"/>
        <v>322.49529210484604</v>
      </c>
      <c r="CT9">
        <f t="shared" si="1"/>
        <v>319.10517839842237</v>
      </c>
      <c r="CU9">
        <f t="shared" si="1"/>
        <v>316.62120316996794</v>
      </c>
      <c r="CV9">
        <f t="shared" si="1"/>
        <v>314.1834327042136</v>
      </c>
      <c r="CW9">
        <f t="shared" si="1"/>
        <v>312.58325356685424</v>
      </c>
    </row>
    <row r="11" spans="1:101">
      <c r="F11" t="s">
        <v>696</v>
      </c>
      <c r="AD11">
        <f>AD9-AD3</f>
        <v>27.143238286283349</v>
      </c>
      <c r="AE11">
        <f t="shared" ref="AE11:CP11" si="2">AE9-AE3</f>
        <v>18.701236785017272</v>
      </c>
      <c r="AF11">
        <f t="shared" si="2"/>
        <v>-0.14274038562916758</v>
      </c>
      <c r="AG11">
        <f t="shared" si="2"/>
        <v>-35.384597848455996</v>
      </c>
      <c r="AH11">
        <f t="shared" si="2"/>
        <v>-21.883200543774706</v>
      </c>
      <c r="AI11">
        <f t="shared" si="2"/>
        <v>-31.002176760102657</v>
      </c>
      <c r="AJ11">
        <f t="shared" si="2"/>
        <v>-24.05227441831903</v>
      </c>
      <c r="AK11">
        <f t="shared" si="2"/>
        <v>-18.10894865659418</v>
      </c>
      <c r="AL11">
        <f t="shared" si="2"/>
        <v>-4.7748070097794653</v>
      </c>
      <c r="AM11">
        <f t="shared" si="2"/>
        <v>-2.2596858198036216</v>
      </c>
      <c r="AN11">
        <f t="shared" si="2"/>
        <v>2.4435236270758196</v>
      </c>
      <c r="AO11">
        <f t="shared" si="2"/>
        <v>4.8688740350982016</v>
      </c>
      <c r="AP11">
        <f t="shared" si="2"/>
        <v>-8.2442723638816915</v>
      </c>
      <c r="AQ11">
        <f t="shared" si="2"/>
        <v>-18.052907853318857</v>
      </c>
      <c r="AR11">
        <f t="shared" si="2"/>
        <v>-14.589142150954558</v>
      </c>
      <c r="AS11">
        <f t="shared" si="2"/>
        <v>-12.066913402759724</v>
      </c>
      <c r="AT11">
        <f t="shared" si="2"/>
        <v>-0.1743700526151315</v>
      </c>
      <c r="AU11">
        <f t="shared" si="2"/>
        <v>-4.8353337142342525</v>
      </c>
      <c r="AV11">
        <f t="shared" si="2"/>
        <v>-8.0750905433550315</v>
      </c>
      <c r="AW11">
        <f t="shared" si="2"/>
        <v>-10.5937770952645</v>
      </c>
      <c r="AX11">
        <f t="shared" si="2"/>
        <v>0.64857623291197797</v>
      </c>
      <c r="AY11">
        <f t="shared" si="2"/>
        <v>19.574129036555746</v>
      </c>
      <c r="AZ11">
        <f t="shared" si="2"/>
        <v>15.389533506733187</v>
      </c>
      <c r="BA11">
        <f t="shared" si="2"/>
        <v>12.32562237338459</v>
      </c>
      <c r="BB11">
        <f t="shared" si="2"/>
        <v>-6.060070962197301</v>
      </c>
      <c r="BC11">
        <f t="shared" si="2"/>
        <v>38.881884528799446</v>
      </c>
      <c r="BD11">
        <f t="shared" si="2"/>
        <v>10.43834322236512</v>
      </c>
      <c r="BE11">
        <f t="shared" si="2"/>
        <v>28.554378187941211</v>
      </c>
      <c r="BF11">
        <f t="shared" si="2"/>
        <v>46.538023321850915</v>
      </c>
      <c r="BG11">
        <f t="shared" si="2"/>
        <v>26.496718963954947</v>
      </c>
      <c r="BH11">
        <f t="shared" si="2"/>
        <v>47.294014804783501</v>
      </c>
      <c r="BI11">
        <f t="shared" si="2"/>
        <v>26.061634713025285</v>
      </c>
      <c r="BJ11">
        <f t="shared" si="2"/>
        <v>14.684750101635188</v>
      </c>
      <c r="BK11">
        <f t="shared" si="2"/>
        <v>35.654357788483708</v>
      </c>
      <c r="BL11">
        <f t="shared" si="2"/>
        <v>43.799950705969081</v>
      </c>
      <c r="BM11">
        <f t="shared" si="2"/>
        <v>22.933894611818687</v>
      </c>
      <c r="BN11">
        <f t="shared" si="2"/>
        <v>41.858093281002994</v>
      </c>
      <c r="BO11">
        <f t="shared" si="2"/>
        <v>42.182251901875304</v>
      </c>
      <c r="BP11">
        <f t="shared" si="2"/>
        <v>33.628863855839825</v>
      </c>
      <c r="BQ11">
        <f t="shared" si="2"/>
        <v>18.728151098501428</v>
      </c>
      <c r="BR11">
        <f t="shared" si="2"/>
        <v>20.444644848253063</v>
      </c>
      <c r="BS11">
        <f t="shared" si="2"/>
        <v>21.231000475466089</v>
      </c>
      <c r="BT11">
        <f t="shared" si="2"/>
        <v>24.993878745020311</v>
      </c>
      <c r="BU11">
        <f t="shared" si="2"/>
        <v>11.180073869227442</v>
      </c>
      <c r="BV11">
        <f t="shared" si="2"/>
        <v>1.0990885022663974</v>
      </c>
      <c r="BW11">
        <f t="shared" si="2"/>
        <v>24.275838289963758</v>
      </c>
      <c r="BX11">
        <f t="shared" si="2"/>
        <v>6.8738180101445892</v>
      </c>
      <c r="BY11">
        <f t="shared" si="2"/>
        <v>-5.5120171749892393</v>
      </c>
      <c r="BZ11">
        <f t="shared" si="2"/>
        <v>0.77836171287191291</v>
      </c>
      <c r="CA11">
        <f t="shared" si="2"/>
        <v>3.9813418980961615</v>
      </c>
      <c r="CB11">
        <f t="shared" si="2"/>
        <v>-8.9516899337099858</v>
      </c>
      <c r="CC11">
        <f t="shared" si="2"/>
        <v>-28.448841994833572</v>
      </c>
      <c r="CD11">
        <f t="shared" si="2"/>
        <v>-24.723559642834005</v>
      </c>
      <c r="CE11">
        <f t="shared" si="2"/>
        <v>-24.778546665315105</v>
      </c>
      <c r="CF11">
        <f t="shared" si="2"/>
        <v>-12.188823455091153</v>
      </c>
      <c r="CG11">
        <f t="shared" si="2"/>
        <v>-15.666297272003305</v>
      </c>
      <c r="CH11">
        <f t="shared" si="2"/>
        <v>-28.113483134536182</v>
      </c>
      <c r="CI11">
        <f t="shared" si="2"/>
        <v>-24.336388349884601</v>
      </c>
      <c r="CJ11">
        <f t="shared" si="2"/>
        <v>-13.704291692477398</v>
      </c>
      <c r="CK11">
        <f t="shared" si="2"/>
        <v>-18.369606661047897</v>
      </c>
      <c r="CL11">
        <f t="shared" si="2"/>
        <v>-23.287419327147063</v>
      </c>
      <c r="CM11">
        <f t="shared" si="2"/>
        <v>-19.407190838297538</v>
      </c>
      <c r="CN11">
        <f t="shared" si="2"/>
        <v>-28.710350842476998</v>
      </c>
      <c r="CO11">
        <f t="shared" si="2"/>
        <v>-25.888007199553897</v>
      </c>
      <c r="CP11">
        <f t="shared" si="2"/>
        <v>-37.564461948317273</v>
      </c>
      <c r="CQ11">
        <f t="shared" ref="CQ11:CW11" si="3">CQ9-CQ3</f>
        <v>-33.575407259552321</v>
      </c>
      <c r="CR11">
        <f t="shared" si="3"/>
        <v>-30.27625484699314</v>
      </c>
      <c r="CS11">
        <f t="shared" si="3"/>
        <v>-18.418943147712753</v>
      </c>
      <c r="CT11">
        <f t="shared" si="3"/>
        <v>-12.301674303796403</v>
      </c>
      <c r="CU11">
        <f t="shared" si="3"/>
        <v>-21.985649532250875</v>
      </c>
      <c r="CV11">
        <f t="shared" si="3"/>
        <v>-27.553854780614586</v>
      </c>
      <c r="CW11">
        <f t="shared" si="3"/>
        <v>-39.918335977470349</v>
      </c>
    </row>
    <row r="15" spans="1:101">
      <c r="A15" s="35" t="s">
        <v>710</v>
      </c>
    </row>
    <row r="17" spans="1:5">
      <c r="A17" s="52" t="s">
        <v>711</v>
      </c>
      <c r="B17" s="52" t="s">
        <v>712</v>
      </c>
      <c r="C17" s="52" t="s">
        <v>716</v>
      </c>
      <c r="D17" s="52" t="s">
        <v>717</v>
      </c>
      <c r="E17" s="52" t="s">
        <v>720</v>
      </c>
    </row>
    <row r="18" spans="1:5">
      <c r="A18" s="39">
        <f>B18/12</f>
        <v>-2.6444412022197335E-4</v>
      </c>
      <c r="B18" s="269">
        <v>-3.1733294426636799E-3</v>
      </c>
      <c r="C18" s="268">
        <v>823.76453242824095</v>
      </c>
      <c r="D18" s="51">
        <f>C18*(365/12)</f>
        <v>25056.171194692331</v>
      </c>
      <c r="E18" s="51">
        <f>D18</f>
        <v>25056.171194692331</v>
      </c>
    </row>
    <row r="19" spans="1:5">
      <c r="A19" s="39">
        <f t="shared" ref="A19:A39" si="4">B19/12</f>
        <v>2.3523368349381998E-2</v>
      </c>
      <c r="B19" s="269">
        <v>0.28228042019258398</v>
      </c>
      <c r="C19" s="268">
        <v>778.53162962849501</v>
      </c>
      <c r="D19" s="51">
        <f>C19*(365/12)</f>
        <v>23680.337067866723</v>
      </c>
      <c r="E19" s="51">
        <f>E18+D19</f>
        <v>48736.508262559058</v>
      </c>
    </row>
    <row r="20" spans="1:5">
      <c r="A20" s="39">
        <f t="shared" si="4"/>
        <v>5.9086543137826748E-2</v>
      </c>
      <c r="B20" s="269">
        <v>0.70903851765392101</v>
      </c>
      <c r="C20" s="268">
        <v>754.16829204613407</v>
      </c>
      <c r="D20" s="51">
        <f t="shared" ref="D20:D83" si="5">C20*(365/12)</f>
        <v>22939.285549736578</v>
      </c>
      <c r="E20" s="51">
        <f t="shared" ref="E20:E39" si="6">E19+D20</f>
        <v>71675.79381229564</v>
      </c>
    </row>
    <row r="21" spans="1:5">
      <c r="A21" s="39">
        <f t="shared" si="4"/>
        <v>9.4452144733001675E-2</v>
      </c>
      <c r="B21" s="269">
        <v>1.1334257367960201</v>
      </c>
      <c r="C21" s="268">
        <v>772.6134566062085</v>
      </c>
      <c r="D21" s="51">
        <f t="shared" si="5"/>
        <v>23500.325971772178</v>
      </c>
      <c r="E21" s="51">
        <f t="shared" si="6"/>
        <v>95176.119784067821</v>
      </c>
    </row>
    <row r="22" spans="1:5">
      <c r="A22" s="39">
        <f t="shared" si="4"/>
        <v>0.17699822488084749</v>
      </c>
      <c r="B22" s="269">
        <v>2.1239786985701699</v>
      </c>
      <c r="C22" s="268">
        <v>774.95123861594277</v>
      </c>
      <c r="D22" s="51">
        <f t="shared" si="5"/>
        <v>23571.433507901595</v>
      </c>
      <c r="E22" s="51">
        <f t="shared" si="6"/>
        <v>118747.55329196941</v>
      </c>
    </row>
    <row r="23" spans="1:5">
      <c r="A23" s="39">
        <f t="shared" si="4"/>
        <v>0.20651565995525667</v>
      </c>
      <c r="B23" s="269">
        <v>2.47818791946308</v>
      </c>
      <c r="C23" s="268">
        <v>785.34271190084746</v>
      </c>
      <c r="D23" s="51">
        <f t="shared" si="5"/>
        <v>23887.507486984112</v>
      </c>
      <c r="E23" s="51">
        <f t="shared" si="6"/>
        <v>142635.06077895351</v>
      </c>
    </row>
    <row r="24" spans="1:5">
      <c r="A24" s="39">
        <f t="shared" si="4"/>
        <v>0.25954430502869336</v>
      </c>
      <c r="B24" s="269">
        <v>3.1145316603443201</v>
      </c>
      <c r="C24" s="268">
        <v>793.35309385222683</v>
      </c>
      <c r="D24" s="51">
        <f t="shared" si="5"/>
        <v>24131.156604671902</v>
      </c>
      <c r="E24" s="51">
        <f t="shared" si="6"/>
        <v>166766.21738362542</v>
      </c>
    </row>
    <row r="25" spans="1:5">
      <c r="A25" s="39">
        <f t="shared" si="4"/>
        <v>0.30672478358136335</v>
      </c>
      <c r="B25" s="269">
        <v>3.6806974029763602</v>
      </c>
      <c r="C25" s="268">
        <v>824.61413235452267</v>
      </c>
      <c r="D25" s="51">
        <f t="shared" si="5"/>
        <v>25082.013192450064</v>
      </c>
      <c r="E25" s="51">
        <f t="shared" si="6"/>
        <v>191848.2305760755</v>
      </c>
    </row>
    <row r="26" spans="1:5">
      <c r="A26" s="39">
        <f t="shared" si="4"/>
        <v>0.35394477677268665</v>
      </c>
      <c r="B26" s="269">
        <v>4.2473373212722398</v>
      </c>
      <c r="C26" s="268">
        <v>826.95191436425762</v>
      </c>
      <c r="D26" s="51">
        <f t="shared" si="5"/>
        <v>25153.120728579503</v>
      </c>
      <c r="E26" s="51">
        <f t="shared" si="6"/>
        <v>217001.35130465499</v>
      </c>
    </row>
    <row r="27" spans="1:5">
      <c r="A27" s="39">
        <f t="shared" si="4"/>
        <v>0.40701293648477749</v>
      </c>
      <c r="B27" s="269">
        <v>4.8841552378173301</v>
      </c>
      <c r="C27" s="268">
        <v>834.80334188257018</v>
      </c>
      <c r="D27" s="51">
        <f t="shared" si="5"/>
        <v>25391.934982261511</v>
      </c>
      <c r="E27" s="51">
        <f t="shared" si="6"/>
        <v>242393.2862869165</v>
      </c>
    </row>
    <row r="28" spans="1:5">
      <c r="A28" s="39">
        <f>B28/12</f>
        <v>0.44245756735726083</v>
      </c>
      <c r="B28" s="269">
        <v>5.3094908082871299</v>
      </c>
      <c r="C28" s="268">
        <v>858.01068910970207</v>
      </c>
      <c r="D28" s="51">
        <f t="shared" si="5"/>
        <v>26097.825127086773</v>
      </c>
      <c r="E28" s="51">
        <f t="shared" si="6"/>
        <v>268491.11141400324</v>
      </c>
    </row>
    <row r="29" spans="1:5">
      <c r="A29" s="39">
        <f t="shared" si="4"/>
        <v>0.54246911779009743</v>
      </c>
      <c r="B29" s="269">
        <v>6.5096294134811696</v>
      </c>
      <c r="C29" s="268">
        <v>905.69701902845225</v>
      </c>
      <c r="D29" s="51">
        <f t="shared" si="5"/>
        <v>27548.284328782091</v>
      </c>
      <c r="E29" s="51">
        <f t="shared" si="6"/>
        <v>296039.39574278536</v>
      </c>
    </row>
    <row r="30" spans="1:5">
      <c r="A30" s="39">
        <f t="shared" si="4"/>
        <v>0.58380142982200078</v>
      </c>
      <c r="B30" s="269">
        <v>7.0056171578640098</v>
      </c>
      <c r="C30" s="268">
        <v>939.33914886428636</v>
      </c>
      <c r="D30" s="51">
        <f t="shared" si="5"/>
        <v>28571.565777955377</v>
      </c>
      <c r="E30" s="51">
        <f t="shared" si="6"/>
        <v>324610.96152074076</v>
      </c>
    </row>
    <row r="31" spans="1:5">
      <c r="A31" s="39">
        <f t="shared" si="4"/>
        <v>0.60751021301429753</v>
      </c>
      <c r="B31" s="269">
        <v>7.2901225561715703</v>
      </c>
      <c r="C31" s="268">
        <v>967.4676331915299</v>
      </c>
      <c r="D31" s="51">
        <f t="shared" si="5"/>
        <v>29427.140509575704</v>
      </c>
      <c r="E31" s="51">
        <f t="shared" si="6"/>
        <v>354038.10203031648</v>
      </c>
    </row>
    <row r="32" spans="1:5">
      <c r="A32" s="39">
        <f t="shared" si="4"/>
        <v>0.63714619200466827</v>
      </c>
      <c r="B32" s="269">
        <v>7.6457543040560196</v>
      </c>
      <c r="C32" s="268">
        <v>995.43716308571277</v>
      </c>
      <c r="D32" s="51">
        <f t="shared" si="5"/>
        <v>30277.880377190431</v>
      </c>
      <c r="E32" s="51">
        <f t="shared" si="6"/>
        <v>384315.9824075069</v>
      </c>
    </row>
    <row r="33" spans="1:5">
      <c r="A33" s="39">
        <f t="shared" si="4"/>
        <v>0.66682168563369248</v>
      </c>
      <c r="B33" s="269">
        <v>8.0018602276043094</v>
      </c>
      <c r="C33" s="268">
        <v>1015.3530017047262</v>
      </c>
      <c r="D33" s="51">
        <f t="shared" si="5"/>
        <v>30883.653801852091</v>
      </c>
      <c r="E33" s="51">
        <f t="shared" si="6"/>
        <v>415199.63620935899</v>
      </c>
    </row>
    <row r="34" spans="1:5">
      <c r="A34" s="39">
        <f t="shared" si="4"/>
        <v>0.71439731057290079</v>
      </c>
      <c r="B34" s="269">
        <v>8.5727677268748099</v>
      </c>
      <c r="C34" s="268">
        <v>979.05195583063301</v>
      </c>
      <c r="D34" s="51">
        <f t="shared" si="5"/>
        <v>29779.496989848423</v>
      </c>
      <c r="E34" s="51">
        <f t="shared" si="6"/>
        <v>444979.13319920743</v>
      </c>
    </row>
    <row r="35" spans="1:5">
      <c r="A35" s="39">
        <f t="shared" si="4"/>
        <v>0.7322974418830851</v>
      </c>
      <c r="B35" s="269">
        <v>8.7875693025970207</v>
      </c>
      <c r="C35" s="268">
        <v>1001.5078402162386</v>
      </c>
      <c r="D35" s="51">
        <f t="shared" si="5"/>
        <v>30462.530139910592</v>
      </c>
      <c r="E35" s="51">
        <f t="shared" si="6"/>
        <v>475441.66333911801</v>
      </c>
    </row>
    <row r="36" spans="1:5">
      <c r="A36" s="39">
        <f t="shared" si="4"/>
        <v>0.77979403754498511</v>
      </c>
      <c r="B36" s="269">
        <v>9.3575284505398209</v>
      </c>
      <c r="C36" s="268">
        <v>978.77413112588874</v>
      </c>
      <c r="D36" s="51">
        <f t="shared" si="5"/>
        <v>29771.046488412452</v>
      </c>
      <c r="E36" s="51">
        <f t="shared" si="6"/>
        <v>505212.70982753043</v>
      </c>
    </row>
    <row r="37" spans="1:5">
      <c r="A37" s="39">
        <f t="shared" si="4"/>
        <v>0.80354233537593578</v>
      </c>
      <c r="B37" s="269">
        <v>9.6425080245112298</v>
      </c>
      <c r="C37" s="268">
        <v>1006.7436610200714</v>
      </c>
      <c r="D37" s="51">
        <f t="shared" si="5"/>
        <v>30621.786356027173</v>
      </c>
      <c r="E37" s="51">
        <f t="shared" si="6"/>
        <v>535834.49618355755</v>
      </c>
    </row>
    <row r="38" spans="1:5">
      <c r="A38" s="39">
        <f t="shared" si="4"/>
        <v>0.83325734364361415</v>
      </c>
      <c r="B38" s="269">
        <v>9.9990881237233697</v>
      </c>
      <c r="C38" s="268">
        <v>1010.7110715218171</v>
      </c>
      <c r="D38" s="51">
        <f t="shared" si="5"/>
        <v>30742.461758788602</v>
      </c>
      <c r="E38" s="51">
        <f t="shared" si="6"/>
        <v>566576.95794234611</v>
      </c>
    </row>
    <row r="39" spans="1:5">
      <c r="A39" s="39">
        <f t="shared" si="4"/>
        <v>0.86293283727263337</v>
      </c>
      <c r="B39" s="269">
        <v>10.355194047271601</v>
      </c>
      <c r="C39" s="268">
        <v>1033.1669559074217</v>
      </c>
      <c r="D39" s="51">
        <f t="shared" si="5"/>
        <v>31425.494908850742</v>
      </c>
      <c r="E39" s="51">
        <f t="shared" si="6"/>
        <v>598002.45285119687</v>
      </c>
    </row>
    <row r="40" spans="1:5">
      <c r="A40" s="39">
        <f>(11/12)</f>
        <v>0.91666666666666663</v>
      </c>
      <c r="B40" s="269">
        <f>A40*12</f>
        <v>11</v>
      </c>
      <c r="C40" s="51">
        <f>$B$4*(B40^$B$5)</f>
        <v>1021.7307371131864</v>
      </c>
      <c r="D40" s="51">
        <f t="shared" si="5"/>
        <v>31077.64325385942</v>
      </c>
      <c r="E40" s="51">
        <f t="shared" ref="E40:E41" si="7">E39+D40</f>
        <v>629080.09610505623</v>
      </c>
    </row>
    <row r="41" spans="1:5">
      <c r="A41" s="39">
        <f>A40+(1/12)</f>
        <v>1</v>
      </c>
      <c r="B41" s="269">
        <f>A41*12</f>
        <v>12</v>
      </c>
      <c r="C41" s="51">
        <f>$B$4*(B41^$B$5)</f>
        <v>960.83410678204245</v>
      </c>
      <c r="D41" s="51">
        <f t="shared" si="5"/>
        <v>29225.370747953792</v>
      </c>
      <c r="E41" s="51">
        <f t="shared" si="7"/>
        <v>658305.46685301</v>
      </c>
    </row>
    <row r="42" spans="1:5">
      <c r="A42" s="39">
        <f t="shared" ref="A42:A105" si="8">A41+(1/12)</f>
        <v>1.0833333333333333</v>
      </c>
      <c r="B42" s="269">
        <f t="shared" ref="B42:B105" si="9">A42*12</f>
        <v>13</v>
      </c>
      <c r="C42" s="51">
        <f t="shared" ref="C42:C105" si="10">$B$4*(B42^$B$5)</f>
        <v>908.02496020122555</v>
      </c>
      <c r="D42" s="51">
        <f t="shared" si="5"/>
        <v>27619.092539453944</v>
      </c>
      <c r="E42" s="51">
        <f t="shared" ref="E42:E105" si="11">E41+D42</f>
        <v>685924.559392464</v>
      </c>
    </row>
    <row r="43" spans="1:5">
      <c r="A43" s="39">
        <f t="shared" si="8"/>
        <v>1.1666666666666665</v>
      </c>
      <c r="B43" s="269">
        <f t="shared" si="9"/>
        <v>13.999999999999998</v>
      </c>
      <c r="C43" s="51">
        <f t="shared" si="10"/>
        <v>861.72255249643035</v>
      </c>
      <c r="D43" s="51">
        <f t="shared" si="5"/>
        <v>26210.727638433091</v>
      </c>
      <c r="E43" s="51">
        <f t="shared" si="11"/>
        <v>712135.2870308971</v>
      </c>
    </row>
    <row r="44" spans="1:5">
      <c r="A44" s="39">
        <f t="shared" si="8"/>
        <v>1.2499999999999998</v>
      </c>
      <c r="B44" s="269">
        <f t="shared" si="9"/>
        <v>14.999999999999996</v>
      </c>
      <c r="C44" s="51">
        <f t="shared" si="10"/>
        <v>820.74081367340602</v>
      </c>
      <c r="D44" s="51">
        <f t="shared" si="5"/>
        <v>24964.199749232768</v>
      </c>
      <c r="E44" s="51">
        <f t="shared" si="11"/>
        <v>737099.48678012984</v>
      </c>
    </row>
    <row r="45" spans="1:5">
      <c r="A45" s="39">
        <f t="shared" si="8"/>
        <v>1.333333333333333</v>
      </c>
      <c r="B45" s="269">
        <f t="shared" si="9"/>
        <v>15.999999999999996</v>
      </c>
      <c r="C45" s="51">
        <f t="shared" si="10"/>
        <v>784.17110587810248</v>
      </c>
      <c r="D45" s="51">
        <f t="shared" si="5"/>
        <v>23851.871137125618</v>
      </c>
      <c r="E45" s="51">
        <f t="shared" si="11"/>
        <v>760951.35791725549</v>
      </c>
    </row>
    <row r="46" spans="1:5">
      <c r="A46" s="39">
        <f t="shared" si="8"/>
        <v>1.4166666666666663</v>
      </c>
      <c r="B46" s="269">
        <f t="shared" si="9"/>
        <v>16.999999999999996</v>
      </c>
      <c r="C46" s="51">
        <f t="shared" si="10"/>
        <v>751.30470554840667</v>
      </c>
      <c r="D46" s="51">
        <f t="shared" si="5"/>
        <v>22852.184793764038</v>
      </c>
      <c r="E46" s="51">
        <f t="shared" si="11"/>
        <v>783803.54271101952</v>
      </c>
    </row>
    <row r="47" spans="1:5">
      <c r="A47" s="39">
        <f t="shared" si="8"/>
        <v>1.4999999999999996</v>
      </c>
      <c r="B47" s="269">
        <f t="shared" si="9"/>
        <v>17.999999999999993</v>
      </c>
      <c r="C47" s="51">
        <f t="shared" si="10"/>
        <v>721.5800773441257</v>
      </c>
      <c r="D47" s="51">
        <f t="shared" si="5"/>
        <v>21948.060685883825</v>
      </c>
      <c r="E47" s="51">
        <f t="shared" si="11"/>
        <v>805751.60339690337</v>
      </c>
    </row>
    <row r="48" spans="1:5">
      <c r="A48" s="39">
        <f t="shared" si="8"/>
        <v>1.5833333333333328</v>
      </c>
      <c r="B48" s="269">
        <f t="shared" si="9"/>
        <v>18.999999999999993</v>
      </c>
      <c r="C48" s="51">
        <f t="shared" si="10"/>
        <v>694.54611538253812</v>
      </c>
      <c r="D48" s="51">
        <f t="shared" si="5"/>
        <v>21125.77767621887</v>
      </c>
      <c r="E48" s="51">
        <f t="shared" si="11"/>
        <v>826877.38107312226</v>
      </c>
    </row>
    <row r="49" spans="1:5">
      <c r="A49" s="39">
        <f t="shared" si="8"/>
        <v>1.6666666666666661</v>
      </c>
      <c r="B49" s="269">
        <f t="shared" si="9"/>
        <v>19.999999999999993</v>
      </c>
      <c r="C49" s="51">
        <f t="shared" si="10"/>
        <v>669.83595498402099</v>
      </c>
      <c r="D49" s="51">
        <f t="shared" si="5"/>
        <v>20374.176964097307</v>
      </c>
      <c r="E49" s="51">
        <f t="shared" si="11"/>
        <v>847251.55803721957</v>
      </c>
    </row>
    <row r="50" spans="1:5">
      <c r="A50" s="39">
        <f t="shared" si="8"/>
        <v>1.7499999999999993</v>
      </c>
      <c r="B50" s="269">
        <f t="shared" si="9"/>
        <v>20.999999999999993</v>
      </c>
      <c r="C50" s="51">
        <f t="shared" si="10"/>
        <v>647.14795373162383</v>
      </c>
      <c r="D50" s="51">
        <f t="shared" si="5"/>
        <v>19684.083592670224</v>
      </c>
      <c r="E50" s="51">
        <f t="shared" si="11"/>
        <v>866935.64162988984</v>
      </c>
    </row>
    <row r="51" spans="1:5">
      <c r="A51" s="39">
        <f t="shared" si="8"/>
        <v>1.8333333333333326</v>
      </c>
      <c r="B51" s="269">
        <f t="shared" si="9"/>
        <v>21.999999999999993</v>
      </c>
      <c r="C51" s="51">
        <f t="shared" si="10"/>
        <v>626.23164070024404</v>
      </c>
      <c r="D51" s="51">
        <f t="shared" si="5"/>
        <v>19047.879071299092</v>
      </c>
      <c r="E51" s="51">
        <f t="shared" si="11"/>
        <v>885983.52070118894</v>
      </c>
    </row>
    <row r="52" spans="1:5">
      <c r="A52" s="39">
        <f t="shared" si="8"/>
        <v>1.9166666666666659</v>
      </c>
      <c r="B52" s="269">
        <f t="shared" si="9"/>
        <v>22.999999999999989</v>
      </c>
      <c r="C52" s="51">
        <f t="shared" si="10"/>
        <v>606.8771753230352</v>
      </c>
      <c r="D52" s="51">
        <f t="shared" si="5"/>
        <v>18459.180749408988</v>
      </c>
      <c r="E52" s="51">
        <f t="shared" si="11"/>
        <v>904442.70145059796</v>
      </c>
    </row>
    <row r="53" spans="1:5">
      <c r="A53" s="39">
        <f t="shared" si="8"/>
        <v>1.9999999999999991</v>
      </c>
      <c r="B53" s="269">
        <f t="shared" si="9"/>
        <v>23.999999999999989</v>
      </c>
      <c r="C53" s="51">
        <f t="shared" si="10"/>
        <v>588.90732878501603</v>
      </c>
      <c r="D53" s="51">
        <f t="shared" si="5"/>
        <v>17912.597917210904</v>
      </c>
      <c r="E53" s="51">
        <f t="shared" si="11"/>
        <v>922355.29936780885</v>
      </c>
    </row>
    <row r="54" spans="1:5">
      <c r="A54" s="39">
        <f t="shared" si="8"/>
        <v>2.0833333333333326</v>
      </c>
      <c r="B54" s="269">
        <f t="shared" si="9"/>
        <v>24.999999999999993</v>
      </c>
      <c r="C54" s="51">
        <f t="shared" si="10"/>
        <v>572.17130703500004</v>
      </c>
      <c r="D54" s="51">
        <f t="shared" si="5"/>
        <v>17403.543922314584</v>
      </c>
      <c r="E54" s="51">
        <f t="shared" si="11"/>
        <v>939758.84329012339</v>
      </c>
    </row>
    <row r="55" spans="1:5">
      <c r="A55" s="39">
        <f t="shared" si="8"/>
        <v>2.1666666666666661</v>
      </c>
      <c r="B55" s="269">
        <f t="shared" si="9"/>
        <v>25.999999999999993</v>
      </c>
      <c r="C55" s="51">
        <f t="shared" si="10"/>
        <v>556.53993754774808</v>
      </c>
      <c r="D55" s="51">
        <f t="shared" si="5"/>
        <v>16928.089767077337</v>
      </c>
      <c r="E55" s="51">
        <f t="shared" si="11"/>
        <v>956686.93305720075</v>
      </c>
    </row>
    <row r="56" spans="1:5">
      <c r="A56" s="39">
        <f t="shared" si="8"/>
        <v>2.2499999999999996</v>
      </c>
      <c r="B56" s="269">
        <f t="shared" si="9"/>
        <v>26.999999999999993</v>
      </c>
      <c r="C56" s="51">
        <f t="shared" si="10"/>
        <v>541.9018791534902</v>
      </c>
      <c r="D56" s="51">
        <f t="shared" si="5"/>
        <v>16482.848824251992</v>
      </c>
      <c r="E56" s="51">
        <f t="shared" si="11"/>
        <v>973169.78188145277</v>
      </c>
    </row>
    <row r="57" spans="1:5">
      <c r="A57" s="39">
        <f t="shared" si="8"/>
        <v>2.333333333333333</v>
      </c>
      <c r="B57" s="269">
        <f t="shared" si="9"/>
        <v>27.999999999999996</v>
      </c>
      <c r="C57" s="51">
        <f t="shared" si="10"/>
        <v>528.16060854050716</v>
      </c>
      <c r="D57" s="51">
        <f t="shared" si="5"/>
        <v>16064.885176440426</v>
      </c>
      <c r="E57" s="51">
        <f t="shared" si="11"/>
        <v>989234.66705789324</v>
      </c>
    </row>
    <row r="58" spans="1:5">
      <c r="A58" s="39">
        <f t="shared" si="8"/>
        <v>2.4166666666666665</v>
      </c>
      <c r="B58" s="269">
        <f t="shared" si="9"/>
        <v>29</v>
      </c>
      <c r="C58" s="51">
        <f t="shared" si="10"/>
        <v>515.23200286437248</v>
      </c>
      <c r="D58" s="51">
        <f t="shared" si="5"/>
        <v>15671.640087124664</v>
      </c>
      <c r="E58" s="51">
        <f t="shared" si="11"/>
        <v>1004906.3071450179</v>
      </c>
    </row>
    <row r="59" spans="1:5">
      <c r="A59" s="39">
        <f t="shared" si="8"/>
        <v>2.5</v>
      </c>
      <c r="B59" s="269">
        <f t="shared" si="9"/>
        <v>30</v>
      </c>
      <c r="C59" s="51">
        <f t="shared" si="10"/>
        <v>503.04238452152231</v>
      </c>
      <c r="D59" s="51">
        <f t="shared" si="5"/>
        <v>15300.872529196304</v>
      </c>
      <c r="E59" s="51">
        <f t="shared" si="11"/>
        <v>1020207.1796742142</v>
      </c>
    </row>
    <row r="60" spans="1:5">
      <c r="A60" s="39">
        <f t="shared" si="8"/>
        <v>2.5833333333333335</v>
      </c>
      <c r="B60" s="269">
        <f t="shared" si="9"/>
        <v>31</v>
      </c>
      <c r="C60" s="51">
        <f t="shared" si="10"/>
        <v>491.52692760849595</v>
      </c>
      <c r="D60" s="51">
        <f t="shared" si="5"/>
        <v>14950.610714758419</v>
      </c>
      <c r="E60" s="51">
        <f t="shared" si="11"/>
        <v>1035157.7903889726</v>
      </c>
    </row>
    <row r="61" spans="1:5">
      <c r="A61" s="39">
        <f t="shared" si="8"/>
        <v>2.666666666666667</v>
      </c>
      <c r="B61" s="269">
        <f t="shared" si="9"/>
        <v>32</v>
      </c>
      <c r="C61" s="51">
        <f t="shared" si="10"/>
        <v>480.62834990288451</v>
      </c>
      <c r="D61" s="51">
        <f t="shared" si="5"/>
        <v>14619.112309546072</v>
      </c>
      <c r="E61" s="51">
        <f t="shared" si="11"/>
        <v>1049776.9026985187</v>
      </c>
    </row>
    <row r="62" spans="1:5">
      <c r="A62" s="39">
        <f t="shared" si="8"/>
        <v>2.7500000000000004</v>
      </c>
      <c r="B62" s="269">
        <f t="shared" si="9"/>
        <v>33.000000000000007</v>
      </c>
      <c r="C62" s="51">
        <f t="shared" si="10"/>
        <v>470.2958320715868</v>
      </c>
      <c r="D62" s="51">
        <f t="shared" si="5"/>
        <v>14304.831558844098</v>
      </c>
      <c r="E62" s="51">
        <f t="shared" si="11"/>
        <v>1064081.7342573628</v>
      </c>
    </row>
    <row r="63" spans="1:5">
      <c r="A63" s="39">
        <f t="shared" si="8"/>
        <v>2.8333333333333339</v>
      </c>
      <c r="B63" s="269">
        <f t="shared" si="9"/>
        <v>34.000000000000007</v>
      </c>
      <c r="C63" s="51">
        <f t="shared" si="10"/>
        <v>460.4841190847639</v>
      </c>
      <c r="D63" s="51">
        <f t="shared" si="5"/>
        <v>14006.391955494903</v>
      </c>
      <c r="E63" s="51">
        <f t="shared" si="11"/>
        <v>1078088.1262128577</v>
      </c>
    </row>
    <row r="64" spans="1:5">
      <c r="A64" s="39">
        <f t="shared" si="8"/>
        <v>2.9166666666666674</v>
      </c>
      <c r="B64" s="269">
        <f t="shared" si="9"/>
        <v>35.000000000000007</v>
      </c>
      <c r="C64" s="51">
        <f t="shared" si="10"/>
        <v>451.15276877042533</v>
      </c>
      <c r="D64" s="51">
        <f t="shared" si="5"/>
        <v>13722.563383433771</v>
      </c>
      <c r="E64" s="51">
        <f t="shared" si="11"/>
        <v>1091810.6895962914</v>
      </c>
    </row>
    <row r="65" spans="1:5">
      <c r="A65" s="39">
        <f t="shared" si="8"/>
        <v>3.0000000000000009</v>
      </c>
      <c r="B65" s="269">
        <f t="shared" si="9"/>
        <v>36.000000000000014</v>
      </c>
      <c r="C65" s="51">
        <f t="shared" si="10"/>
        <v>442.26551998284663</v>
      </c>
      <c r="D65" s="51">
        <f t="shared" si="5"/>
        <v>13452.242899478251</v>
      </c>
      <c r="E65" s="51">
        <f t="shared" si="11"/>
        <v>1105262.9324957696</v>
      </c>
    </row>
    <row r="66" spans="1:5">
      <c r="A66" s="39">
        <f t="shared" si="8"/>
        <v>3.0833333333333344</v>
      </c>
      <c r="B66" s="269">
        <f t="shared" si="9"/>
        <v>37.000000000000014</v>
      </c>
      <c r="C66" s="51">
        <f t="shared" si="10"/>
        <v>433.78975861508127</v>
      </c>
      <c r="D66" s="51">
        <f t="shared" si="5"/>
        <v>13194.438491208723</v>
      </c>
      <c r="E66" s="51">
        <f t="shared" si="11"/>
        <v>1118457.3709869783</v>
      </c>
    </row>
    <row r="67" spans="1:5">
      <c r="A67" s="39">
        <f t="shared" si="8"/>
        <v>3.1666666666666679</v>
      </c>
      <c r="B67" s="269">
        <f t="shared" si="9"/>
        <v>38.000000000000014</v>
      </c>
      <c r="C67" s="51">
        <f t="shared" si="10"/>
        <v>425.69606411851032</v>
      </c>
      <c r="D67" s="51">
        <f t="shared" si="5"/>
        <v>12948.255283604689</v>
      </c>
      <c r="E67" s="51">
        <f t="shared" si="11"/>
        <v>1131405.6262705829</v>
      </c>
    </row>
    <row r="68" spans="1:5">
      <c r="A68" s="39">
        <f t="shared" si="8"/>
        <v>3.2500000000000013</v>
      </c>
      <c r="B68" s="269">
        <f t="shared" si="9"/>
        <v>39.000000000000014</v>
      </c>
      <c r="C68" s="51">
        <f t="shared" si="10"/>
        <v>417.95782263159776</v>
      </c>
      <c r="D68" s="51">
        <f t="shared" si="5"/>
        <v>12712.8837717111</v>
      </c>
      <c r="E68" s="51">
        <f t="shared" si="11"/>
        <v>1144118.5100422939</v>
      </c>
    </row>
    <row r="69" spans="1:5">
      <c r="A69" s="39">
        <f t="shared" si="8"/>
        <v>3.3333333333333348</v>
      </c>
      <c r="B69" s="269">
        <f t="shared" si="9"/>
        <v>40.000000000000014</v>
      </c>
      <c r="C69" s="51">
        <f t="shared" si="10"/>
        <v>410.55089550779479</v>
      </c>
      <c r="D69" s="51">
        <f t="shared" si="5"/>
        <v>12487.589738362092</v>
      </c>
      <c r="E69" s="51">
        <f t="shared" si="11"/>
        <v>1156606.0997806559</v>
      </c>
    </row>
    <row r="70" spans="1:5">
      <c r="A70" s="39">
        <f t="shared" si="8"/>
        <v>3.4166666666666683</v>
      </c>
      <c r="B70" s="269">
        <f t="shared" si="9"/>
        <v>41.000000000000021</v>
      </c>
      <c r="C70" s="51">
        <f t="shared" si="10"/>
        <v>403.45333414741845</v>
      </c>
      <c r="D70" s="51">
        <f t="shared" si="5"/>
        <v>12271.705580317312</v>
      </c>
      <c r="E70" s="51">
        <f t="shared" si="11"/>
        <v>1168877.8053609733</v>
      </c>
    </row>
    <row r="71" spans="1:5">
      <c r="A71" s="39">
        <f t="shared" si="8"/>
        <v>3.5000000000000018</v>
      </c>
      <c r="B71" s="269">
        <f t="shared" si="9"/>
        <v>42.000000000000021</v>
      </c>
      <c r="C71" s="51">
        <f t="shared" si="10"/>
        <v>396.64513371321368</v>
      </c>
      <c r="D71" s="51">
        <f t="shared" si="5"/>
        <v>12064.62281711025</v>
      </c>
      <c r="E71" s="51">
        <f t="shared" si="11"/>
        <v>1180942.4281780836</v>
      </c>
    </row>
    <row r="72" spans="1:5">
      <c r="A72" s="39">
        <f t="shared" si="8"/>
        <v>3.5833333333333353</v>
      </c>
      <c r="B72" s="269">
        <f t="shared" si="9"/>
        <v>43.000000000000021</v>
      </c>
      <c r="C72" s="51">
        <f t="shared" si="10"/>
        <v>390.1080196438661</v>
      </c>
      <c r="D72" s="51">
        <f t="shared" si="5"/>
        <v>11865.785597500928</v>
      </c>
      <c r="E72" s="51">
        <f t="shared" si="11"/>
        <v>1192808.2137755845</v>
      </c>
    </row>
    <row r="73" spans="1:5">
      <c r="A73" s="39">
        <f t="shared" si="8"/>
        <v>3.6666666666666687</v>
      </c>
      <c r="B73" s="269">
        <f t="shared" si="9"/>
        <v>44.000000000000028</v>
      </c>
      <c r="C73" s="51">
        <f t="shared" si="10"/>
        <v>383.8252619492992</v>
      </c>
      <c r="D73" s="51">
        <f t="shared" si="5"/>
        <v>11674.685050957851</v>
      </c>
      <c r="E73" s="51">
        <f t="shared" si="11"/>
        <v>1204482.8988265423</v>
      </c>
    </row>
    <row r="74" spans="1:5">
      <c r="A74" s="39">
        <f t="shared" si="8"/>
        <v>3.7500000000000022</v>
      </c>
      <c r="B74" s="269">
        <f t="shared" si="9"/>
        <v>45.000000000000028</v>
      </c>
      <c r="C74" s="51">
        <f t="shared" si="10"/>
        <v>377.78151313351913</v>
      </c>
      <c r="D74" s="51">
        <f t="shared" si="5"/>
        <v>11490.854357811208</v>
      </c>
      <c r="E74" s="51">
        <f t="shared" si="11"/>
        <v>1215973.7531843535</v>
      </c>
    </row>
    <row r="75" spans="1:5">
      <c r="A75" s="39">
        <f t="shared" si="8"/>
        <v>3.8333333333333357</v>
      </c>
      <c r="B75" s="269">
        <f t="shared" si="9"/>
        <v>46.000000000000028</v>
      </c>
      <c r="C75" s="51">
        <f t="shared" si="10"/>
        <v>371.96266628902703</v>
      </c>
      <c r="D75" s="51">
        <f t="shared" si="5"/>
        <v>11313.864432957906</v>
      </c>
      <c r="E75" s="51">
        <f t="shared" si="11"/>
        <v>1227287.6176173114</v>
      </c>
    </row>
    <row r="76" spans="1:5">
      <c r="A76" s="39">
        <f t="shared" si="8"/>
        <v>3.9166666666666692</v>
      </c>
      <c r="B76" s="269">
        <f t="shared" si="9"/>
        <v>47.000000000000028</v>
      </c>
      <c r="C76" s="51">
        <f t="shared" si="10"/>
        <v>366.35573047530625</v>
      </c>
      <c r="D76" s="51">
        <f t="shared" si="5"/>
        <v>11143.320135290565</v>
      </c>
      <c r="E76" s="51">
        <f t="shared" si="11"/>
        <v>1238430.9377526019</v>
      </c>
    </row>
    <row r="77" spans="1:5">
      <c r="A77" s="39">
        <f t="shared" si="8"/>
        <v>4.0000000000000027</v>
      </c>
      <c r="B77" s="269">
        <f t="shared" si="9"/>
        <v>48.000000000000028</v>
      </c>
      <c r="C77" s="51">
        <f t="shared" si="10"/>
        <v>360.94872095893885</v>
      </c>
      <c r="D77" s="51">
        <f t="shared" si="5"/>
        <v>10978.856929167723</v>
      </c>
      <c r="E77" s="51">
        <f t="shared" si="11"/>
        <v>1249409.7946817696</v>
      </c>
    </row>
    <row r="78" spans="1:5">
      <c r="A78" s="39">
        <f t="shared" si="8"/>
        <v>4.0833333333333357</v>
      </c>
      <c r="B78" s="269">
        <f t="shared" si="9"/>
        <v>49.000000000000028</v>
      </c>
      <c r="C78" s="51">
        <f t="shared" si="10"/>
        <v>355.73056227506743</v>
      </c>
      <c r="D78" s="51">
        <f t="shared" si="5"/>
        <v>10820.137935866635</v>
      </c>
      <c r="E78" s="51">
        <f t="shared" si="11"/>
        <v>1260229.9326176362</v>
      </c>
    </row>
    <row r="79" spans="1:5">
      <c r="A79" s="39">
        <f t="shared" si="8"/>
        <v>4.1666666666666687</v>
      </c>
      <c r="B79" s="269">
        <f t="shared" si="9"/>
        <v>50.000000000000028</v>
      </c>
      <c r="C79" s="51">
        <f t="shared" si="10"/>
        <v>350.69100238533537</v>
      </c>
      <c r="D79" s="51">
        <f t="shared" si="5"/>
        <v>10666.851322553952</v>
      </c>
      <c r="E79" s="51">
        <f t="shared" si="11"/>
        <v>1270896.7839401902</v>
      </c>
    </row>
    <row r="80" spans="1:5">
      <c r="A80" s="39">
        <f t="shared" si="8"/>
        <v>4.2500000000000018</v>
      </c>
      <c r="B80" s="269">
        <f t="shared" si="9"/>
        <v>51.000000000000021</v>
      </c>
      <c r="C80" s="51">
        <f t="shared" si="10"/>
        <v>345.82053646884077</v>
      </c>
      <c r="D80" s="51">
        <f t="shared" si="5"/>
        <v>10518.707984260574</v>
      </c>
      <c r="E80" s="51">
        <f t="shared" si="11"/>
        <v>1281415.4919244507</v>
      </c>
    </row>
    <row r="81" spans="1:5">
      <c r="A81" s="39">
        <f t="shared" si="8"/>
        <v>4.3333333333333348</v>
      </c>
      <c r="B81" s="269">
        <f t="shared" si="9"/>
        <v>52.000000000000014</v>
      </c>
      <c r="C81" s="51">
        <f t="shared" si="10"/>
        <v>341.11033910016198</v>
      </c>
      <c r="D81" s="51">
        <f t="shared" si="5"/>
        <v>10375.439480963261</v>
      </c>
      <c r="E81" s="51">
        <f t="shared" si="11"/>
        <v>1291790.9314054139</v>
      </c>
    </row>
    <row r="82" spans="1:5">
      <c r="A82" s="39">
        <f t="shared" si="8"/>
        <v>4.4166666666666679</v>
      </c>
      <c r="B82" s="269">
        <f t="shared" si="9"/>
        <v>53.000000000000014</v>
      </c>
      <c r="C82" s="51">
        <f t="shared" si="10"/>
        <v>336.55220375018519</v>
      </c>
      <c r="D82" s="51">
        <f t="shared" si="5"/>
        <v>10236.796197401467</v>
      </c>
      <c r="E82" s="51">
        <f t="shared" si="11"/>
        <v>1302027.7276028153</v>
      </c>
    </row>
    <row r="83" spans="1:5">
      <c r="A83" s="39">
        <f t="shared" si="8"/>
        <v>4.5000000000000009</v>
      </c>
      <c r="B83" s="269">
        <f t="shared" si="9"/>
        <v>54.000000000000014</v>
      </c>
      <c r="C83" s="51">
        <f t="shared" si="10"/>
        <v>332.13848869777303</v>
      </c>
      <c r="D83" s="51">
        <f t="shared" si="5"/>
        <v>10102.545697890597</v>
      </c>
      <c r="E83" s="51">
        <f t="shared" si="11"/>
        <v>1312130.2733007059</v>
      </c>
    </row>
    <row r="84" spans="1:5">
      <c r="A84" s="39">
        <f t="shared" si="8"/>
        <v>4.5833333333333339</v>
      </c>
      <c r="B84" s="269">
        <f t="shared" si="9"/>
        <v>55.000000000000007</v>
      </c>
      <c r="C84" s="51">
        <f t="shared" si="10"/>
        <v>327.86206856844638</v>
      </c>
      <c r="D84" s="51">
        <f t="shared" ref="D84:D147" si="12">C84*(365/12)</f>
        <v>9972.4712522902446</v>
      </c>
      <c r="E84" s="51">
        <f t="shared" si="11"/>
        <v>1322102.7445529962</v>
      </c>
    </row>
    <row r="85" spans="1:5">
      <c r="A85" s="39">
        <f t="shared" si="8"/>
        <v>4.666666666666667</v>
      </c>
      <c r="B85" s="269">
        <f t="shared" si="9"/>
        <v>56</v>
      </c>
      <c r="C85" s="51">
        <f t="shared" si="10"/>
        <v>323.71629082440023</v>
      </c>
      <c r="D85" s="51">
        <f t="shared" si="12"/>
        <v>9846.3705125755077</v>
      </c>
      <c r="E85" s="51">
        <f t="shared" si="11"/>
        <v>1331949.1150655719</v>
      </c>
    </row>
    <row r="86" spans="1:5">
      <c r="A86" s="39">
        <f t="shared" si="8"/>
        <v>4.75</v>
      </c>
      <c r="B86" s="269">
        <f t="shared" si="9"/>
        <v>57</v>
      </c>
      <c r="C86" s="51">
        <f t="shared" si="10"/>
        <v>319.69493662177456</v>
      </c>
      <c r="D86" s="51">
        <f t="shared" si="12"/>
        <v>9724.0543222456436</v>
      </c>
      <c r="E86" s="51">
        <f t="shared" si="11"/>
        <v>1341673.1693878174</v>
      </c>
    </row>
    <row r="87" spans="1:5">
      <c r="A87" s="39">
        <f t="shared" si="8"/>
        <v>4.833333333333333</v>
      </c>
      <c r="B87" s="269">
        <f t="shared" si="9"/>
        <v>58</v>
      </c>
      <c r="C87" s="51">
        <f t="shared" si="10"/>
        <v>315.7921855289016</v>
      </c>
      <c r="D87" s="51">
        <f t="shared" si="12"/>
        <v>9605.3456431707582</v>
      </c>
      <c r="E87" s="51">
        <f t="shared" si="11"/>
        <v>1351278.515030988</v>
      </c>
    </row>
    <row r="88" spans="1:5">
      <c r="A88" s="39">
        <f t="shared" si="8"/>
        <v>4.9166666666666661</v>
      </c>
      <c r="B88" s="269">
        <f t="shared" si="9"/>
        <v>58.999999999999993</v>
      </c>
      <c r="C88" s="51">
        <f t="shared" si="10"/>
        <v>312.00258366555192</v>
      </c>
      <c r="D88" s="51">
        <f t="shared" si="12"/>
        <v>9490.0785864938716</v>
      </c>
      <c r="E88" s="51">
        <f t="shared" si="11"/>
        <v>1360768.5936174819</v>
      </c>
    </row>
    <row r="89" spans="1:5">
      <c r="A89" s="39">
        <f t="shared" si="8"/>
        <v>4.9999999999999991</v>
      </c>
      <c r="B89" s="269">
        <f t="shared" si="9"/>
        <v>59.999999999999986</v>
      </c>
      <c r="C89" s="51">
        <f t="shared" si="10"/>
        <v>308.32101487985125</v>
      </c>
      <c r="D89" s="51">
        <f t="shared" si="12"/>
        <v>9378.0975359288095</v>
      </c>
      <c r="E89" s="51">
        <f t="shared" si="11"/>
        <v>1370146.6911534106</v>
      </c>
    </row>
    <row r="90" spans="1:5">
      <c r="A90" s="39">
        <f t="shared" si="8"/>
        <v>5.0833333333333321</v>
      </c>
      <c r="B90" s="269">
        <f t="shared" si="9"/>
        <v>60.999999999999986</v>
      </c>
      <c r="C90" s="51">
        <f t="shared" si="10"/>
        <v>304.74267462808564</v>
      </c>
      <c r="D90" s="51">
        <f t="shared" si="12"/>
        <v>9269.2563532709391</v>
      </c>
      <c r="E90" s="51">
        <f t="shared" si="11"/>
        <v>1379415.9475066816</v>
      </c>
    </row>
    <row r="91" spans="1:5">
      <c r="A91" s="39">
        <f t="shared" si="8"/>
        <v>5.1666666666666652</v>
      </c>
      <c r="B91" s="269">
        <f t="shared" si="9"/>
        <v>61.999999999999986</v>
      </c>
      <c r="C91" s="51">
        <f t="shared" si="10"/>
        <v>301.26304626433074</v>
      </c>
      <c r="D91" s="51">
        <f t="shared" si="12"/>
        <v>9163.4176572067263</v>
      </c>
      <c r="E91" s="51">
        <f t="shared" si="11"/>
        <v>1388579.3651638883</v>
      </c>
    </row>
    <row r="92" spans="1:5">
      <c r="A92" s="39">
        <f t="shared" si="8"/>
        <v>5.2499999999999982</v>
      </c>
      <c r="B92" s="269">
        <f t="shared" si="9"/>
        <v>62.999999999999979</v>
      </c>
      <c r="C92" s="51">
        <f t="shared" si="10"/>
        <v>297.87787948276542</v>
      </c>
      <c r="D92" s="51">
        <f t="shared" si="12"/>
        <v>9060.4521676007826</v>
      </c>
      <c r="E92" s="51">
        <f t="shared" si="11"/>
        <v>1397639.8173314892</v>
      </c>
    </row>
    <row r="93" spans="1:5">
      <c r="A93" s="39">
        <f t="shared" si="8"/>
        <v>5.3333333333333313</v>
      </c>
      <c r="B93" s="269">
        <f t="shared" si="9"/>
        <v>63.999999999999972</v>
      </c>
      <c r="C93" s="51">
        <f t="shared" si="10"/>
        <v>294.58317068657556</v>
      </c>
      <c r="D93" s="51">
        <f t="shared" si="12"/>
        <v>8960.2381083833407</v>
      </c>
      <c r="E93" s="51">
        <f t="shared" si="11"/>
        <v>1406600.0554398724</v>
      </c>
    </row>
    <row r="94" spans="1:5">
      <c r="A94" s="39">
        <f t="shared" si="8"/>
        <v>5.4166666666666643</v>
      </c>
      <c r="B94" s="269">
        <f t="shared" si="9"/>
        <v>64.999999999999972</v>
      </c>
      <c r="C94" s="51">
        <f t="shared" si="10"/>
        <v>291.3751450842135</v>
      </c>
      <c r="D94" s="51">
        <f t="shared" si="12"/>
        <v>8862.6606629781618</v>
      </c>
      <c r="E94" s="51">
        <f t="shared" si="11"/>
        <v>1415462.7161028506</v>
      </c>
    </row>
    <row r="95" spans="1:5">
      <c r="A95" s="39">
        <f t="shared" si="8"/>
        <v>5.4999999999999973</v>
      </c>
      <c r="B95" s="269">
        <f t="shared" si="9"/>
        <v>65.999999999999972</v>
      </c>
      <c r="C95" s="51">
        <f t="shared" si="10"/>
        <v>288.25024033709803</v>
      </c>
      <c r="D95" s="51">
        <f t="shared" si="12"/>
        <v>8767.6114769200649</v>
      </c>
      <c r="E95" s="51">
        <f t="shared" si="11"/>
        <v>1424230.3275797707</v>
      </c>
    </row>
    <row r="96" spans="1:5">
      <c r="A96" s="39">
        <f t="shared" si="8"/>
        <v>5.5833333333333304</v>
      </c>
      <c r="B96" s="269">
        <f t="shared" si="9"/>
        <v>66.999999999999972</v>
      </c>
      <c r="C96" s="51">
        <f t="shared" si="10"/>
        <v>285.20509160311786</v>
      </c>
      <c r="D96" s="51">
        <f t="shared" si="12"/>
        <v>8674.9882029281689</v>
      </c>
      <c r="E96" s="51">
        <f t="shared" si="11"/>
        <v>1432905.3157826988</v>
      </c>
    </row>
    <row r="97" spans="1:5">
      <c r="A97" s="39">
        <f t="shared" si="8"/>
        <v>5.6666666666666634</v>
      </c>
      <c r="B97" s="269">
        <f t="shared" si="9"/>
        <v>67.999999999999957</v>
      </c>
      <c r="C97" s="51">
        <f t="shared" si="10"/>
        <v>282.23651783798016</v>
      </c>
      <c r="D97" s="51">
        <f t="shared" si="12"/>
        <v>8584.6940842385629</v>
      </c>
      <c r="E97" s="51">
        <f t="shared" si="11"/>
        <v>1441490.0098669373</v>
      </c>
    </row>
    <row r="98" spans="1:5">
      <c r="A98" s="39">
        <f t="shared" si="8"/>
        <v>5.7499999999999964</v>
      </c>
      <c r="B98" s="269">
        <f t="shared" si="9"/>
        <v>68.999999999999957</v>
      </c>
      <c r="C98" s="51">
        <f t="shared" si="10"/>
        <v>279.34150923188241</v>
      </c>
      <c r="D98" s="51">
        <f t="shared" si="12"/>
        <v>8496.6375724697573</v>
      </c>
      <c r="E98" s="51">
        <f t="shared" si="11"/>
        <v>1449986.647439407</v>
      </c>
    </row>
    <row r="99" spans="1:5">
      <c r="A99" s="39">
        <f t="shared" si="8"/>
        <v>5.8333333333333295</v>
      </c>
      <c r="B99" s="269">
        <f t="shared" si="9"/>
        <v>69.999999999999957</v>
      </c>
      <c r="C99" s="51">
        <f t="shared" si="10"/>
        <v>276.51721567251184</v>
      </c>
      <c r="D99" s="51">
        <f t="shared" si="12"/>
        <v>8410.7319767055687</v>
      </c>
      <c r="E99" s="51">
        <f t="shared" si="11"/>
        <v>1458397.3794161126</v>
      </c>
    </row>
    <row r="100" spans="1:5">
      <c r="A100" s="39">
        <f t="shared" si="8"/>
        <v>5.9166666666666625</v>
      </c>
      <c r="B100" s="269">
        <f t="shared" si="9"/>
        <v>70.999999999999943</v>
      </c>
      <c r="C100" s="51">
        <f t="shared" si="10"/>
        <v>273.76093613722043</v>
      </c>
      <c r="D100" s="51">
        <f t="shared" si="12"/>
        <v>8326.8951408404555</v>
      </c>
      <c r="E100" s="51">
        <f t="shared" si="11"/>
        <v>1466724.274556953</v>
      </c>
    </row>
    <row r="101" spans="1:5">
      <c r="A101" s="39">
        <f t="shared" si="8"/>
        <v>5.9999999999999956</v>
      </c>
      <c r="B101" s="269">
        <f t="shared" si="9"/>
        <v>71.999999999999943</v>
      </c>
      <c r="C101" s="51">
        <f t="shared" si="10"/>
        <v>271.0701089276551</v>
      </c>
      <c r="D101" s="51">
        <f t="shared" si="12"/>
        <v>8245.0491465495088</v>
      </c>
      <c r="E101" s="51">
        <f t="shared" si="11"/>
        <v>1474969.3237035025</v>
      </c>
    </row>
    <row r="102" spans="1:5">
      <c r="A102" s="39">
        <f t="shared" si="8"/>
        <v>6.0833333333333286</v>
      </c>
      <c r="B102" s="269">
        <f t="shared" si="9"/>
        <v>72.999999999999943</v>
      </c>
      <c r="C102" s="51">
        <f t="shared" si="10"/>
        <v>268.44230266928741</v>
      </c>
      <c r="D102" s="51">
        <f t="shared" si="12"/>
        <v>8165.1200395241594</v>
      </c>
      <c r="E102" s="51">
        <f t="shared" si="11"/>
        <v>1483134.4437430266</v>
      </c>
    </row>
    <row r="103" spans="1:5">
      <c r="A103" s="39">
        <f t="shared" si="8"/>
        <v>6.1666666666666616</v>
      </c>
      <c r="B103" s="269">
        <f t="shared" si="9"/>
        <v>73.999999999999943</v>
      </c>
      <c r="C103" s="51">
        <f t="shared" si="10"/>
        <v>265.87520800638481</v>
      </c>
      <c r="D103" s="51">
        <f t="shared" si="12"/>
        <v>8087.0375768608719</v>
      </c>
      <c r="E103" s="51">
        <f t="shared" si="11"/>
        <v>1491221.4813198876</v>
      </c>
    </row>
    <row r="104" spans="1:5">
      <c r="A104" s="39">
        <f t="shared" si="8"/>
        <v>6.2499999999999947</v>
      </c>
      <c r="B104" s="269">
        <f t="shared" si="9"/>
        <v>74.999999999999943</v>
      </c>
      <c r="C104" s="51">
        <f t="shared" si="10"/>
        <v>263.36662993011549</v>
      </c>
      <c r="D104" s="51">
        <f t="shared" si="12"/>
        <v>8010.7349937076797</v>
      </c>
      <c r="E104" s="51">
        <f t="shared" si="11"/>
        <v>1499232.2163135952</v>
      </c>
    </row>
    <row r="105" spans="1:5">
      <c r="A105" s="39">
        <f t="shared" si="8"/>
        <v>6.3333333333333277</v>
      </c>
      <c r="B105" s="269">
        <f t="shared" si="9"/>
        <v>75.999999999999929</v>
      </c>
      <c r="C105" s="51">
        <f t="shared" si="10"/>
        <v>260.91448068380782</v>
      </c>
      <c r="D105" s="51">
        <f t="shared" si="12"/>
        <v>7936.1487874658214</v>
      </c>
      <c r="E105" s="51">
        <f t="shared" si="11"/>
        <v>1507168.3651010611</v>
      </c>
    </row>
    <row r="106" spans="1:5">
      <c r="A106" s="39">
        <f t="shared" ref="A106:A169" si="13">A105+(1/12)</f>
        <v>6.4166666666666607</v>
      </c>
      <c r="B106" s="269">
        <f t="shared" ref="B106:B169" si="14">A106*12</f>
        <v>76.999999999999929</v>
      </c>
      <c r="C106" s="51">
        <f t="shared" ref="C106:C169" si="15">$B$4*(B106^$B$5)</f>
        <v>258.51677319499987</v>
      </c>
      <c r="D106" s="51">
        <f t="shared" si="12"/>
        <v>7863.2185180145798</v>
      </c>
      <c r="E106" s="51">
        <f t="shared" ref="E106:E169" si="16">E105+D106</f>
        <v>1515031.5836190756</v>
      </c>
    </row>
    <row r="107" spans="1:5">
      <c r="A107" s="39">
        <f t="shared" si="13"/>
        <v>6.4999999999999938</v>
      </c>
      <c r="B107" s="269">
        <f t="shared" si="14"/>
        <v>77.999999999999929</v>
      </c>
      <c r="C107" s="51">
        <f t="shared" si="15"/>
        <v>256.17161498890295</v>
      </c>
      <c r="D107" s="51">
        <f t="shared" si="12"/>
        <v>7791.8866225791317</v>
      </c>
      <c r="E107" s="51">
        <f t="shared" si="16"/>
        <v>1522823.4702416547</v>
      </c>
    </row>
    <row r="108" spans="1:5">
      <c r="A108" s="39">
        <f t="shared" si="13"/>
        <v>6.5833333333333268</v>
      </c>
      <c r="B108" s="269">
        <f t="shared" si="14"/>
        <v>78.999999999999915</v>
      </c>
      <c r="C108" s="51">
        <f t="shared" si="15"/>
        <v>253.87720254232948</v>
      </c>
      <c r="D108" s="51">
        <f t="shared" si="12"/>
        <v>7722.0982439958552</v>
      </c>
      <c r="E108" s="51">
        <f t="shared" si="16"/>
        <v>1530545.5684856505</v>
      </c>
    </row>
    <row r="109" spans="1:5">
      <c r="A109" s="39">
        <f t="shared" si="13"/>
        <v>6.6666666666666599</v>
      </c>
      <c r="B109" s="269">
        <f t="shared" si="14"/>
        <v>79.999999999999915</v>
      </c>
      <c r="C109" s="51">
        <f t="shared" si="15"/>
        <v>251.63181604109829</v>
      </c>
      <c r="D109" s="51">
        <f t="shared" si="12"/>
        <v>7653.8010712500736</v>
      </c>
      <c r="E109" s="51">
        <f t="shared" si="16"/>
        <v>1538199.3695569006</v>
      </c>
    </row>
    <row r="110" spans="1:5">
      <c r="A110" s="39">
        <f t="shared" si="13"/>
        <v>6.7499999999999929</v>
      </c>
      <c r="B110" s="269">
        <f t="shared" si="14"/>
        <v>80.999999999999915</v>
      </c>
      <c r="C110" s="51">
        <f t="shared" si="15"/>
        <v>249.4338145074467</v>
      </c>
      <c r="D110" s="51">
        <f t="shared" si="12"/>
        <v>7586.9451912681707</v>
      </c>
      <c r="E110" s="51">
        <f t="shared" si="16"/>
        <v>1545786.3147481687</v>
      </c>
    </row>
    <row r="111" spans="1:5">
      <c r="A111" s="39">
        <f t="shared" si="13"/>
        <v>6.8333333333333259</v>
      </c>
      <c r="B111" s="269">
        <f t="shared" si="14"/>
        <v>81.999999999999915</v>
      </c>
      <c r="C111" s="51">
        <f t="shared" si="15"/>
        <v>247.28163126713588</v>
      </c>
      <c r="D111" s="51">
        <f t="shared" si="12"/>
        <v>7521.4829510420495</v>
      </c>
      <c r="E111" s="51">
        <f t="shared" si="16"/>
        <v>1553307.7976992107</v>
      </c>
    </row>
    <row r="112" spans="1:5">
      <c r="A112" s="39">
        <f t="shared" si="13"/>
        <v>6.916666666666659</v>
      </c>
      <c r="B112" s="269">
        <f t="shared" si="14"/>
        <v>82.999999999999915</v>
      </c>
      <c r="C112" s="51">
        <f t="shared" si="15"/>
        <v>245.17376972875275</v>
      </c>
      <c r="D112" s="51">
        <f t="shared" si="12"/>
        <v>7457.3688292495626</v>
      </c>
      <c r="E112" s="51">
        <f t="shared" si="16"/>
        <v>1560765.1665284603</v>
      </c>
    </row>
    <row r="113" spans="1:5">
      <c r="A113" s="39">
        <f t="shared" si="13"/>
        <v>6.999999999999992</v>
      </c>
      <c r="B113" s="269">
        <f t="shared" si="14"/>
        <v>83.999999999999901</v>
      </c>
      <c r="C113" s="51">
        <f t="shared" si="15"/>
        <v>243.10879945023825</v>
      </c>
      <c r="D113" s="51">
        <f t="shared" si="12"/>
        <v>7394.559316611414</v>
      </c>
      <c r="E113" s="51">
        <f t="shared" si="16"/>
        <v>1568159.7258450717</v>
      </c>
    </row>
    <row r="114" spans="1:5">
      <c r="A114" s="39">
        <f t="shared" si="13"/>
        <v>7.083333333333325</v>
      </c>
      <c r="B114" s="269">
        <f t="shared" si="14"/>
        <v>84.999999999999901</v>
      </c>
      <c r="C114" s="51">
        <f t="shared" si="15"/>
        <v>241.08535246994407</v>
      </c>
      <c r="D114" s="51">
        <f t="shared" si="12"/>
        <v>7333.0128042941324</v>
      </c>
      <c r="E114" s="51">
        <f t="shared" si="16"/>
        <v>1575492.738649366</v>
      </c>
    </row>
    <row r="115" spans="1:5">
      <c r="A115" s="39">
        <f t="shared" si="13"/>
        <v>7.1666666666666581</v>
      </c>
      <c r="B115" s="269">
        <f t="shared" si="14"/>
        <v>85.999999999999901</v>
      </c>
      <c r="C115" s="51">
        <f t="shared" si="15"/>
        <v>239.10211988155004</v>
      </c>
      <c r="D115" s="51">
        <f t="shared" si="12"/>
        <v>7272.6894797304803</v>
      </c>
      <c r="E115" s="51">
        <f t="shared" si="16"/>
        <v>1582765.4281290965</v>
      </c>
    </row>
    <row r="116" spans="1:5">
      <c r="A116" s="39">
        <f t="shared" si="13"/>
        <v>7.2499999999999911</v>
      </c>
      <c r="B116" s="269">
        <f t="shared" si="14"/>
        <v>86.999999999999886</v>
      </c>
      <c r="C116" s="51">
        <f t="shared" si="15"/>
        <v>237.15784863401572</v>
      </c>
      <c r="D116" s="51">
        <f t="shared" si="12"/>
        <v>7213.5512292846452</v>
      </c>
      <c r="E116" s="51">
        <f t="shared" si="16"/>
        <v>1589978.9793583811</v>
      </c>
    </row>
    <row r="117" spans="1:5">
      <c r="A117" s="39">
        <f t="shared" si="13"/>
        <v>7.3333333333333242</v>
      </c>
      <c r="B117" s="269">
        <f t="shared" si="14"/>
        <v>87.999999999999886</v>
      </c>
      <c r="C117" s="51">
        <f t="shared" si="15"/>
        <v>235.25133853938632</v>
      </c>
      <c r="D117" s="51">
        <f t="shared" si="12"/>
        <v>7155.5615472396676</v>
      </c>
      <c r="E117" s="51">
        <f t="shared" si="16"/>
        <v>1597134.5409056209</v>
      </c>
    </row>
    <row r="118" spans="1:5">
      <c r="A118" s="39">
        <f t="shared" si="13"/>
        <v>7.4166666666666572</v>
      </c>
      <c r="B118" s="269">
        <f t="shared" si="14"/>
        <v>88.999999999999886</v>
      </c>
      <c r="C118" s="51">
        <f t="shared" si="15"/>
        <v>233.3814394727635</v>
      </c>
      <c r="D118" s="51">
        <f t="shared" si="12"/>
        <v>7098.6854506298905</v>
      </c>
      <c r="E118" s="51">
        <f t="shared" si="16"/>
        <v>1604233.2263562507</v>
      </c>
    </row>
    <row r="119" spans="1:5">
      <c r="A119" s="39">
        <f t="shared" si="13"/>
        <v>7.4999999999999902</v>
      </c>
      <c r="B119" s="269">
        <f t="shared" si="14"/>
        <v>89.999999999999886</v>
      </c>
      <c r="C119" s="51">
        <f t="shared" si="15"/>
        <v>231.54704875010199</v>
      </c>
      <c r="D119" s="51">
        <f t="shared" si="12"/>
        <v>7042.8893994822693</v>
      </c>
      <c r="E119" s="51">
        <f t="shared" si="16"/>
        <v>1611276.1157557329</v>
      </c>
    </row>
    <row r="120" spans="1:5">
      <c r="A120" s="39">
        <f t="shared" si="13"/>
        <v>7.5833333333333233</v>
      </c>
      <c r="B120" s="269">
        <f t="shared" si="14"/>
        <v>90.999999999999886</v>
      </c>
      <c r="C120" s="51">
        <f t="shared" si="15"/>
        <v>229.74710867070149</v>
      </c>
      <c r="D120" s="51">
        <f t="shared" si="12"/>
        <v>6988.1412220671709</v>
      </c>
      <c r="E120" s="51">
        <f t="shared" si="16"/>
        <v>1618264.2569778</v>
      </c>
    </row>
    <row r="121" spans="1:5">
      <c r="A121" s="39">
        <f t="shared" si="13"/>
        <v>7.6666666666666563</v>
      </c>
      <c r="B121" s="269">
        <f t="shared" si="14"/>
        <v>91.999999999999872</v>
      </c>
      <c r="C121" s="51">
        <f t="shared" si="15"/>
        <v>227.98060421237065</v>
      </c>
      <c r="D121" s="51">
        <f t="shared" si="12"/>
        <v>6934.4100447929413</v>
      </c>
      <c r="E121" s="51">
        <f t="shared" si="16"/>
        <v>1625198.6670225931</v>
      </c>
    </row>
    <row r="122" spans="1:5">
      <c r="A122" s="39">
        <f t="shared" si="13"/>
        <v>7.7499999999999893</v>
      </c>
      <c r="B122" s="269">
        <f t="shared" si="14"/>
        <v>92.999999999999872</v>
      </c>
      <c r="C122" s="51">
        <f t="shared" si="15"/>
        <v>226.2465608682383</v>
      </c>
      <c r="D122" s="51">
        <f t="shared" si="12"/>
        <v>6881.6662264089155</v>
      </c>
      <c r="E122" s="51">
        <f t="shared" si="16"/>
        <v>1632080.333249002</v>
      </c>
    </row>
    <row r="123" spans="1:5">
      <c r="A123" s="39">
        <f t="shared" si="13"/>
        <v>7.8333333333333224</v>
      </c>
      <c r="B123" s="269">
        <f t="shared" si="14"/>
        <v>93.999999999999872</v>
      </c>
      <c r="C123" s="51">
        <f t="shared" si="15"/>
        <v>224.54404261508714</v>
      </c>
      <c r="D123" s="51">
        <f t="shared" si="12"/>
        <v>6829.8812962089005</v>
      </c>
      <c r="E123" s="51">
        <f t="shared" si="16"/>
        <v>1638910.2145452108</v>
      </c>
    </row>
    <row r="124" spans="1:5">
      <c r="A124" s="39">
        <f t="shared" si="13"/>
        <v>7.9166666666666554</v>
      </c>
      <c r="B124" s="269">
        <f t="shared" si="14"/>
        <v>94.999999999999858</v>
      </c>
      <c r="C124" s="51">
        <f t="shared" si="15"/>
        <v>222.87215000391251</v>
      </c>
      <c r="D124" s="51">
        <f t="shared" si="12"/>
        <v>6779.0278959523393</v>
      </c>
      <c r="E124" s="51">
        <f t="shared" si="16"/>
        <v>1645689.2424411632</v>
      </c>
    </row>
    <row r="125" spans="1:5">
      <c r="A125" s="39">
        <f t="shared" si="13"/>
        <v>7.9999999999999885</v>
      </c>
      <c r="B125" s="269">
        <f t="shared" si="14"/>
        <v>95.999999999999858</v>
      </c>
      <c r="C125" s="51">
        <f t="shared" si="15"/>
        <v>221.23001836415435</v>
      </c>
      <c r="D125" s="51">
        <f t="shared" si="12"/>
        <v>6729.0797252430284</v>
      </c>
      <c r="E125" s="51">
        <f t="shared" si="16"/>
        <v>1652418.3221664061</v>
      </c>
    </row>
    <row r="126" spans="1:5">
      <c r="A126" s="39">
        <f t="shared" si="13"/>
        <v>8.0833333333333215</v>
      </c>
      <c r="B126" s="269">
        <f t="shared" si="14"/>
        <v>96.999999999999858</v>
      </c>
      <c r="C126" s="51">
        <f t="shared" si="15"/>
        <v>219.61681611373223</v>
      </c>
      <c r="D126" s="51">
        <f t="shared" si="12"/>
        <v>6680.0114901260222</v>
      </c>
      <c r="E126" s="51">
        <f t="shared" si="16"/>
        <v>1659098.333656532</v>
      </c>
    </row>
    <row r="127" spans="1:5">
      <c r="A127" s="39">
        <f t="shared" si="13"/>
        <v>8.1666666666666554</v>
      </c>
      <c r="B127" s="269">
        <f t="shared" si="14"/>
        <v>97.999999999999858</v>
      </c>
      <c r="C127" s="51">
        <f t="shared" si="15"/>
        <v>218.03174316763062</v>
      </c>
      <c r="D127" s="51">
        <f t="shared" si="12"/>
        <v>6631.798854682098</v>
      </c>
      <c r="E127" s="51">
        <f t="shared" si="16"/>
        <v>1665730.1325112141</v>
      </c>
    </row>
    <row r="128" spans="1:5">
      <c r="A128" s="39">
        <f t="shared" si="13"/>
        <v>8.2499999999999893</v>
      </c>
      <c r="B128" s="269">
        <f t="shared" si="14"/>
        <v>98.999999999999872</v>
      </c>
      <c r="C128" s="51">
        <f t="shared" si="15"/>
        <v>216.47402943834939</v>
      </c>
      <c r="D128" s="51">
        <f t="shared" si="12"/>
        <v>6584.418395416461</v>
      </c>
      <c r="E128" s="51">
        <f t="shared" si="16"/>
        <v>1672314.5509066305</v>
      </c>
    </row>
    <row r="129" spans="1:5">
      <c r="A129" s="39">
        <f t="shared" si="13"/>
        <v>8.3333333333333233</v>
      </c>
      <c r="B129" s="269">
        <f t="shared" si="14"/>
        <v>99.999999999999886</v>
      </c>
      <c r="C129" s="51">
        <f t="shared" si="15"/>
        <v>214.94293342205032</v>
      </c>
      <c r="D129" s="51">
        <f t="shared" si="12"/>
        <v>6537.8475582540304</v>
      </c>
      <c r="E129" s="51">
        <f t="shared" si="16"/>
        <v>1678852.3984648846</v>
      </c>
    </row>
    <row r="130" spans="1:5">
      <c r="A130" s="39">
        <f t="shared" si="13"/>
        <v>8.4166666666666572</v>
      </c>
      <c r="B130" s="269">
        <f t="shared" si="14"/>
        <v>100.99999999999989</v>
      </c>
      <c r="C130" s="51">
        <f t="shared" si="15"/>
        <v>213.43774086469944</v>
      </c>
      <c r="D130" s="51">
        <f t="shared" si="12"/>
        <v>6492.0646179679416</v>
      </c>
      <c r="E130" s="51">
        <f t="shared" si="16"/>
        <v>1685344.4630828525</v>
      </c>
    </row>
    <row r="131" spans="1:5">
      <c r="A131" s="39">
        <f t="shared" si="13"/>
        <v>8.4999999999999911</v>
      </c>
      <c r="B131" s="269">
        <f t="shared" si="14"/>
        <v>101.99999999999989</v>
      </c>
      <c r="C131" s="51">
        <f t="shared" si="15"/>
        <v>211.95776350293963</v>
      </c>
      <c r="D131" s="51">
        <f t="shared" si="12"/>
        <v>6447.0486398810808</v>
      </c>
      <c r="E131" s="51">
        <f t="shared" si="16"/>
        <v>1691791.5117227337</v>
      </c>
    </row>
    <row r="132" spans="1:5">
      <c r="A132" s="39">
        <f t="shared" si="13"/>
        <v>8.583333333333325</v>
      </c>
      <c r="B132" s="269">
        <f t="shared" si="14"/>
        <v>102.9999999999999</v>
      </c>
      <c r="C132" s="51">
        <f t="shared" si="15"/>
        <v>210.50233787482057</v>
      </c>
      <c r="D132" s="51">
        <f t="shared" si="12"/>
        <v>6402.7794436924596</v>
      </c>
      <c r="E132" s="51">
        <f t="shared" si="16"/>
        <v>1698194.2911664261</v>
      </c>
    </row>
    <row r="133" spans="1:5">
      <c r="A133" s="39">
        <f t="shared" si="13"/>
        <v>8.666666666666659</v>
      </c>
      <c r="B133" s="269">
        <f t="shared" si="14"/>
        <v>103.99999999999991</v>
      </c>
      <c r="C133" s="51">
        <f t="shared" si="15"/>
        <v>209.07082419587343</v>
      </c>
      <c r="D133" s="51">
        <f t="shared" si="12"/>
        <v>6359.2375692911501</v>
      </c>
      <c r="E133" s="51">
        <f t="shared" si="16"/>
        <v>1704553.5287357173</v>
      </c>
    </row>
    <row r="134" spans="1:5">
      <c r="A134" s="39">
        <f t="shared" si="13"/>
        <v>8.7499999999999929</v>
      </c>
      <c r="B134" s="269">
        <f t="shared" si="14"/>
        <v>104.99999999999991</v>
      </c>
      <c r="C134" s="51">
        <f t="shared" si="15"/>
        <v>207.66260529635315</v>
      </c>
      <c r="D134" s="51">
        <f t="shared" si="12"/>
        <v>6316.4042444307415</v>
      </c>
      <c r="E134" s="51">
        <f t="shared" si="16"/>
        <v>1710869.9329801481</v>
      </c>
    </row>
    <row r="135" spans="1:5">
      <c r="A135" s="39">
        <f t="shared" si="13"/>
        <v>8.8333333333333268</v>
      </c>
      <c r="B135" s="269">
        <f t="shared" si="14"/>
        <v>105.99999999999991</v>
      </c>
      <c r="C135" s="51">
        <f t="shared" si="15"/>
        <v>206.27708561577086</v>
      </c>
      <c r="D135" s="51">
        <f t="shared" si="12"/>
        <v>6274.2613541463643</v>
      </c>
      <c r="E135" s="51">
        <f t="shared" si="16"/>
        <v>1717144.1943342944</v>
      </c>
    </row>
    <row r="136" spans="1:5">
      <c r="A136" s="39">
        <f t="shared" si="13"/>
        <v>8.9166666666666607</v>
      </c>
      <c r="B136" s="269">
        <f t="shared" si="14"/>
        <v>106.99999999999993</v>
      </c>
      <c r="C136" s="51">
        <f t="shared" si="15"/>
        <v>204.91369025112272</v>
      </c>
      <c r="D136" s="51">
        <f t="shared" si="12"/>
        <v>6232.791411804983</v>
      </c>
      <c r="E136" s="51">
        <f t="shared" si="16"/>
        <v>1723376.9857460994</v>
      </c>
    </row>
    <row r="137" spans="1:5">
      <c r="A137" s="39">
        <f t="shared" si="13"/>
        <v>8.9999999999999947</v>
      </c>
      <c r="B137" s="269">
        <f t="shared" si="14"/>
        <v>107.99999999999994</v>
      </c>
      <c r="C137" s="51">
        <f t="shared" si="15"/>
        <v>203.57186405547512</v>
      </c>
      <c r="D137" s="51">
        <f t="shared" si="12"/>
        <v>6191.9775316873684</v>
      </c>
      <c r="E137" s="51">
        <f t="shared" si="16"/>
        <v>1729568.9632777867</v>
      </c>
    </row>
    <row r="138" spans="1:5">
      <c r="A138" s="39">
        <f t="shared" si="13"/>
        <v>9.0833333333333286</v>
      </c>
      <c r="B138" s="269">
        <f t="shared" si="14"/>
        <v>108.99999999999994</v>
      </c>
      <c r="C138" s="51">
        <f t="shared" si="15"/>
        <v>202.2510707838035</v>
      </c>
      <c r="D138" s="51">
        <f t="shared" si="12"/>
        <v>6151.8034030073568</v>
      </c>
      <c r="E138" s="51">
        <f t="shared" si="16"/>
        <v>1735720.7666807941</v>
      </c>
    </row>
    <row r="139" spans="1:5">
      <c r="A139" s="39">
        <f t="shared" si="13"/>
        <v>9.1666666666666625</v>
      </c>
      <c r="B139" s="269">
        <f t="shared" si="14"/>
        <v>109.99999999999994</v>
      </c>
      <c r="C139" s="51">
        <f t="shared" si="15"/>
        <v>200.95079228320145</v>
      </c>
      <c r="D139" s="51">
        <f t="shared" si="12"/>
        <v>6112.2532652807113</v>
      </c>
      <c r="E139" s="51">
        <f t="shared" si="16"/>
        <v>1741833.0199460748</v>
      </c>
    </row>
    <row r="140" spans="1:5">
      <c r="A140" s="39">
        <f t="shared" si="13"/>
        <v>9.2499999999999964</v>
      </c>
      <c r="B140" s="269">
        <f t="shared" si="14"/>
        <v>110.99999999999996</v>
      </c>
      <c r="C140" s="51">
        <f t="shared" si="15"/>
        <v>199.67052772477433</v>
      </c>
      <c r="D140" s="51">
        <f t="shared" si="12"/>
        <v>6073.3118849618859</v>
      </c>
      <c r="E140" s="51">
        <f t="shared" si="16"/>
        <v>1747906.3318310366</v>
      </c>
    </row>
    <row r="141" spans="1:5">
      <c r="A141" s="39">
        <f t="shared" si="13"/>
        <v>9.3333333333333304</v>
      </c>
      <c r="B141" s="269">
        <f t="shared" si="14"/>
        <v>111.99999999999997</v>
      </c>
      <c r="C141" s="51">
        <f t="shared" si="15"/>
        <v>198.40979287471927</v>
      </c>
      <c r="D141" s="51">
        <f t="shared" si="12"/>
        <v>6034.9645332727114</v>
      </c>
      <c r="E141" s="51">
        <f t="shared" si="16"/>
        <v>1753941.2963643093</v>
      </c>
    </row>
    <row r="142" spans="1:5">
      <c r="A142" s="39">
        <f t="shared" si="13"/>
        <v>9.4166666666666643</v>
      </c>
      <c r="B142" s="269">
        <f t="shared" si="14"/>
        <v>112.99999999999997</v>
      </c>
      <c r="C142" s="51">
        <f t="shared" si="15"/>
        <v>197.16811940226239</v>
      </c>
      <c r="D142" s="51">
        <f t="shared" si="12"/>
        <v>5997.1969651521476</v>
      </c>
      <c r="E142" s="51">
        <f t="shared" si="16"/>
        <v>1759938.4933294614</v>
      </c>
    </row>
    <row r="143" spans="1:5">
      <c r="A143" s="39">
        <f t="shared" si="13"/>
        <v>9.4999999999999982</v>
      </c>
      <c r="B143" s="269">
        <f t="shared" si="14"/>
        <v>113.99999999999997</v>
      </c>
      <c r="C143" s="51">
        <f t="shared" si="15"/>
        <v>195.94505422228104</v>
      </c>
      <c r="D143" s="51">
        <f t="shared" si="12"/>
        <v>5959.995399261049</v>
      </c>
      <c r="E143" s="51">
        <f t="shared" si="16"/>
        <v>1765898.4887287226</v>
      </c>
    </row>
    <row r="144" spans="1:5">
      <c r="A144" s="39">
        <f t="shared" si="13"/>
        <v>9.5833333333333321</v>
      </c>
      <c r="B144" s="269">
        <f t="shared" si="14"/>
        <v>114.99999999999999</v>
      </c>
      <c r="C144" s="51">
        <f t="shared" si="15"/>
        <v>194.74015887058908</v>
      </c>
      <c r="D144" s="51">
        <f t="shared" si="12"/>
        <v>5923.3464989804179</v>
      </c>
      <c r="E144" s="51">
        <f t="shared" si="16"/>
        <v>1771821.835227703</v>
      </c>
    </row>
    <row r="145" spans="1:5">
      <c r="A145" s="39">
        <f t="shared" si="13"/>
        <v>9.6666666666666661</v>
      </c>
      <c r="B145" s="269">
        <f t="shared" si="14"/>
        <v>116</v>
      </c>
      <c r="C145" s="51">
        <f t="shared" si="15"/>
        <v>193.55300890999069</v>
      </c>
      <c r="D145" s="51">
        <f t="shared" si="12"/>
        <v>5887.2373543455506</v>
      </c>
      <c r="E145" s="51">
        <f t="shared" si="16"/>
        <v>1777709.0725820486</v>
      </c>
    </row>
    <row r="146" spans="1:5">
      <c r="A146" s="39">
        <f t="shared" si="13"/>
        <v>9.75</v>
      </c>
      <c r="B146" s="269">
        <f t="shared" si="14"/>
        <v>117</v>
      </c>
      <c r="C146" s="51">
        <f t="shared" si="15"/>
        <v>192.38319336533851</v>
      </c>
      <c r="D146" s="51">
        <f t="shared" si="12"/>
        <v>5851.6554648623796</v>
      </c>
      <c r="E146" s="51">
        <f t="shared" si="16"/>
        <v>1783560.7280469111</v>
      </c>
    </row>
    <row r="147" spans="1:5">
      <c r="A147" s="39">
        <f t="shared" si="13"/>
        <v>9.8333333333333339</v>
      </c>
      <c r="B147" s="269">
        <f t="shared" si="14"/>
        <v>118</v>
      </c>
      <c r="C147" s="51">
        <f t="shared" si="15"/>
        <v>191.23031418594687</v>
      </c>
      <c r="D147" s="51">
        <f t="shared" si="12"/>
        <v>5816.5887231558845</v>
      </c>
      <c r="E147" s="51">
        <f t="shared" si="16"/>
        <v>1789377.316770067</v>
      </c>
    </row>
    <row r="148" spans="1:5">
      <c r="A148" s="39">
        <f t="shared" si="13"/>
        <v>9.9166666666666679</v>
      </c>
      <c r="B148" s="269">
        <f t="shared" si="14"/>
        <v>119.00000000000001</v>
      </c>
      <c r="C148" s="51">
        <f t="shared" si="15"/>
        <v>190.09398573381407</v>
      </c>
      <c r="D148" s="51">
        <f t="shared" ref="D148:D211" si="17">C148*(365/12)</f>
        <v>5782.0253994035111</v>
      </c>
      <c r="E148" s="51">
        <f t="shared" si="16"/>
        <v>1795159.3421694704</v>
      </c>
    </row>
    <row r="149" spans="1:5" ht="16.3" thickBot="1">
      <c r="A149" s="55">
        <f t="shared" si="13"/>
        <v>10.000000000000002</v>
      </c>
      <c r="B149" s="54">
        <f t="shared" si="14"/>
        <v>120.00000000000003</v>
      </c>
      <c r="C149" s="54">
        <f t="shared" si="15"/>
        <v>188.97383429621172</v>
      </c>
      <c r="D149" s="54">
        <f t="shared" si="17"/>
        <v>5747.9541265097732</v>
      </c>
      <c r="E149" s="54">
        <f t="shared" si="16"/>
        <v>1800907.2962959802</v>
      </c>
    </row>
    <row r="150" spans="1:5">
      <c r="A150" s="39">
        <f t="shared" si="13"/>
        <v>10.083333333333336</v>
      </c>
      <c r="B150" s="269">
        <f t="shared" si="14"/>
        <v>121.00000000000003</v>
      </c>
      <c r="C150" s="51">
        <f t="shared" si="15"/>
        <v>187.86949762128711</v>
      </c>
      <c r="D150" s="51">
        <f t="shared" si="17"/>
        <v>5714.3638859808161</v>
      </c>
      <c r="E150" s="51">
        <f t="shared" si="16"/>
        <v>1806621.660181961</v>
      </c>
    </row>
    <row r="151" spans="1:5">
      <c r="A151" s="39">
        <f t="shared" si="13"/>
        <v>10.16666666666667</v>
      </c>
      <c r="B151" s="269">
        <f t="shared" si="14"/>
        <v>122.00000000000003</v>
      </c>
      <c r="C151" s="51">
        <f t="shared" si="15"/>
        <v>186.78062447541461</v>
      </c>
      <c r="D151" s="51">
        <f t="shared" si="17"/>
        <v>5681.2439944605276</v>
      </c>
      <c r="E151" s="51">
        <f t="shared" si="16"/>
        <v>1812302.9041764215</v>
      </c>
    </row>
    <row r="152" spans="1:5">
      <c r="A152" s="39">
        <f t="shared" si="13"/>
        <v>10.250000000000004</v>
      </c>
      <c r="B152" s="269">
        <f t="shared" si="14"/>
        <v>123.00000000000004</v>
      </c>
      <c r="C152" s="51">
        <f t="shared" si="15"/>
        <v>185.70687422110572</v>
      </c>
      <c r="D152" s="51">
        <f t="shared" si="17"/>
        <v>5648.5840908919663</v>
      </c>
      <c r="E152" s="51">
        <f t="shared" si="16"/>
        <v>1817951.4882673135</v>
      </c>
    </row>
    <row r="153" spans="1:5">
      <c r="A153" s="39">
        <f t="shared" si="13"/>
        <v>10.333333333333337</v>
      </c>
      <c r="B153" s="269">
        <f t="shared" si="14"/>
        <v>124.00000000000006</v>
      </c>
      <c r="C153" s="51">
        <f t="shared" si="15"/>
        <v>184.6479164143671</v>
      </c>
      <c r="D153" s="51">
        <f t="shared" si="17"/>
        <v>5616.3741242703327</v>
      </c>
      <c r="E153" s="51">
        <f t="shared" si="16"/>
        <v>1823567.8623915839</v>
      </c>
    </row>
    <row r="154" spans="1:5">
      <c r="A154" s="39">
        <f t="shared" si="13"/>
        <v>10.416666666666671</v>
      </c>
      <c r="B154" s="269">
        <f t="shared" si="14"/>
        <v>125.00000000000006</v>
      </c>
      <c r="C154" s="51">
        <f t="shared" si="15"/>
        <v>183.60343042046051</v>
      </c>
      <c r="D154" s="51">
        <f t="shared" si="17"/>
        <v>5584.6043419556745</v>
      </c>
      <c r="E154" s="51">
        <f t="shared" si="16"/>
        <v>1829152.4667335395</v>
      </c>
    </row>
    <row r="155" spans="1:5">
      <c r="A155" s="39">
        <f t="shared" si="13"/>
        <v>10.500000000000005</v>
      </c>
      <c r="B155" s="269">
        <f t="shared" si="14"/>
        <v>126.00000000000006</v>
      </c>
      <c r="C155" s="51">
        <f t="shared" si="15"/>
        <v>182.57310504708522</v>
      </c>
      <c r="D155" s="51">
        <f t="shared" si="17"/>
        <v>5553.2652785155087</v>
      </c>
      <c r="E155" s="51">
        <f t="shared" si="16"/>
        <v>1834705.7320120549</v>
      </c>
    </row>
    <row r="156" spans="1:5">
      <c r="A156" s="39">
        <f t="shared" si="13"/>
        <v>10.583333333333339</v>
      </c>
      <c r="B156" s="269">
        <f t="shared" si="14"/>
        <v>127.00000000000007</v>
      </c>
      <c r="C156" s="51">
        <f t="shared" si="15"/>
        <v>181.55663819406055</v>
      </c>
      <c r="D156" s="51">
        <f t="shared" si="17"/>
        <v>5522.3477450693417</v>
      </c>
      <c r="E156" s="51">
        <f t="shared" si="16"/>
        <v>1840228.0797571242</v>
      </c>
    </row>
    <row r="157" spans="1:5">
      <c r="A157" s="39">
        <f t="shared" si="13"/>
        <v>10.666666666666673</v>
      </c>
      <c r="B157" s="269">
        <f t="shared" si="14"/>
        <v>128.00000000000009</v>
      </c>
      <c r="C157" s="51">
        <f t="shared" si="15"/>
        <v>180.55373651864394</v>
      </c>
      <c r="D157" s="51">
        <f t="shared" si="17"/>
        <v>5491.8428191087532</v>
      </c>
      <c r="E157" s="51">
        <f t="shared" si="16"/>
        <v>1845719.922576233</v>
      </c>
    </row>
    <row r="158" spans="1:5">
      <c r="A158" s="39">
        <f t="shared" si="13"/>
        <v>10.750000000000007</v>
      </c>
      <c r="B158" s="269">
        <f t="shared" si="14"/>
        <v>129.00000000000009</v>
      </c>
      <c r="C158" s="51">
        <f t="shared" si="15"/>
        <v>179.56411511567032</v>
      </c>
      <c r="D158" s="51">
        <f t="shared" si="17"/>
        <v>5461.741834768306</v>
      </c>
      <c r="E158" s="51">
        <f t="shared" si="16"/>
        <v>1851181.6644110014</v>
      </c>
    </row>
    <row r="159" spans="1:5">
      <c r="A159" s="39">
        <f t="shared" si="13"/>
        <v>10.833333333333341</v>
      </c>
      <c r="B159" s="269">
        <f t="shared" si="14"/>
        <v>130.00000000000009</v>
      </c>
      <c r="C159" s="51">
        <f t="shared" si="15"/>
        <v>178.58749721174817</v>
      </c>
      <c r="D159" s="51">
        <f t="shared" si="17"/>
        <v>5432.0363735240071</v>
      </c>
      <c r="E159" s="51">
        <f t="shared" si="16"/>
        <v>1856613.7007845254</v>
      </c>
    </row>
    <row r="160" spans="1:5">
      <c r="A160" s="39">
        <f t="shared" si="13"/>
        <v>10.916666666666675</v>
      </c>
      <c r="B160" s="269">
        <f t="shared" si="14"/>
        <v>131.00000000000011</v>
      </c>
      <c r="C160" s="51">
        <f t="shared" si="15"/>
        <v>177.62361387279017</v>
      </c>
      <c r="D160" s="51">
        <f t="shared" si="17"/>
        <v>5402.7182552973682</v>
      </c>
      <c r="E160" s="51">
        <f t="shared" si="16"/>
        <v>1862016.4190398226</v>
      </c>
    </row>
    <row r="161" spans="1:5">
      <c r="A161" s="39">
        <f t="shared" si="13"/>
        <v>11.000000000000009</v>
      </c>
      <c r="B161" s="269">
        <f t="shared" si="14"/>
        <v>132.00000000000011</v>
      </c>
      <c r="C161" s="51">
        <f t="shared" si="15"/>
        <v>176.67220372420249</v>
      </c>
      <c r="D161" s="51">
        <f t="shared" si="17"/>
        <v>5373.7795299444924</v>
      </c>
      <c r="E161" s="51">
        <f t="shared" si="16"/>
        <v>1867390.1985697672</v>
      </c>
    </row>
    <row r="162" spans="1:5">
      <c r="A162" s="39">
        <f t="shared" si="13"/>
        <v>11.083333333333343</v>
      </c>
      <c r="B162" s="269">
        <f t="shared" si="14"/>
        <v>133.00000000000011</v>
      </c>
      <c r="C162" s="51">
        <f t="shared" si="15"/>
        <v>175.73301268309115</v>
      </c>
      <c r="D162" s="51">
        <f t="shared" si="17"/>
        <v>5345.2124691106892</v>
      </c>
      <c r="E162" s="51">
        <f t="shared" si="16"/>
        <v>1872735.4110388779</v>
      </c>
    </row>
    <row r="163" spans="1:5">
      <c r="A163" s="39">
        <f t="shared" si="13"/>
        <v>11.166666666666677</v>
      </c>
      <c r="B163" s="269">
        <f t="shared" si="14"/>
        <v>134.00000000000011</v>
      </c>
      <c r="C163" s="51">
        <f t="shared" si="15"/>
        <v>174.80579370188622</v>
      </c>
      <c r="D163" s="51">
        <f t="shared" si="17"/>
        <v>5317.0095584323726</v>
      </c>
      <c r="E163" s="51">
        <f t="shared" si="16"/>
        <v>1878052.4205973102</v>
      </c>
    </row>
    <row r="164" spans="1:5">
      <c r="A164" s="39">
        <f t="shared" si="13"/>
        <v>11.250000000000011</v>
      </c>
      <c r="B164" s="269">
        <f t="shared" si="14"/>
        <v>135.00000000000011</v>
      </c>
      <c r="C164" s="51">
        <f t="shared" si="15"/>
        <v>173.89030652281272</v>
      </c>
      <c r="D164" s="51">
        <f t="shared" si="17"/>
        <v>5289.1634900688869</v>
      </c>
      <c r="E164" s="51">
        <f t="shared" si="16"/>
        <v>1883341.584087379</v>
      </c>
    </row>
    <row r="165" spans="1:5">
      <c r="A165" s="39">
        <f t="shared" si="13"/>
        <v>11.333333333333345</v>
      </c>
      <c r="B165" s="269">
        <f t="shared" si="14"/>
        <v>136.00000000000014</v>
      </c>
      <c r="C165" s="51">
        <f t="shared" si="15"/>
        <v>172.98631744267672</v>
      </c>
      <c r="D165" s="51">
        <f t="shared" si="17"/>
        <v>5261.6671555480834</v>
      </c>
      <c r="E165" s="51">
        <f t="shared" si="16"/>
        <v>1888603.251242927</v>
      </c>
    </row>
    <row r="166" spans="1:5">
      <c r="A166" s="39">
        <f t="shared" si="13"/>
        <v>11.416666666666679</v>
      </c>
      <c r="B166" s="269">
        <f t="shared" si="14"/>
        <v>137.00000000000014</v>
      </c>
      <c r="C166" s="51">
        <f t="shared" si="15"/>
        <v>172.09359908745697</v>
      </c>
      <c r="D166" s="51">
        <f t="shared" si="17"/>
        <v>5234.5136389101499</v>
      </c>
      <c r="E166" s="51">
        <f t="shared" si="16"/>
        <v>1893837.7648818372</v>
      </c>
    </row>
    <row r="167" spans="1:5">
      <c r="A167" s="39">
        <f t="shared" si="13"/>
        <v>11.500000000000012</v>
      </c>
      <c r="B167" s="269">
        <f t="shared" si="14"/>
        <v>138.00000000000014</v>
      </c>
      <c r="C167" s="51">
        <f t="shared" si="15"/>
        <v>171.21193019622837</v>
      </c>
      <c r="D167" s="51">
        <f t="shared" si="17"/>
        <v>5207.6962101352792</v>
      </c>
      <c r="E167" s="51">
        <f t="shared" si="16"/>
        <v>1899045.4610919724</v>
      </c>
    </row>
    <row r="168" spans="1:5">
      <c r="A168" s="39">
        <f t="shared" si="13"/>
        <v>11.583333333333346</v>
      </c>
      <c r="B168" s="269">
        <f t="shared" si="14"/>
        <v>139.00000000000017</v>
      </c>
      <c r="C168" s="51">
        <f t="shared" si="15"/>
        <v>170.34109541396532</v>
      </c>
      <c r="D168" s="51">
        <f t="shared" si="17"/>
        <v>5181.2083188414454</v>
      </c>
      <c r="E168" s="51">
        <f t="shared" si="16"/>
        <v>1904226.6694108138</v>
      </c>
    </row>
    <row r="169" spans="1:5">
      <c r="A169" s="39">
        <f t="shared" si="13"/>
        <v>11.66666666666668</v>
      </c>
      <c r="B169" s="269">
        <f t="shared" si="14"/>
        <v>140.00000000000017</v>
      </c>
      <c r="C169" s="51">
        <f t="shared" si="15"/>
        <v>169.4808850927983</v>
      </c>
      <c r="D169" s="51">
        <f t="shared" si="17"/>
        <v>5155.0435882392821</v>
      </c>
      <c r="E169" s="51">
        <f t="shared" si="16"/>
        <v>1909381.7129990531</v>
      </c>
    </row>
    <row r="170" spans="1:5">
      <c r="A170" s="39">
        <f t="shared" ref="A170:A233" si="18">A169+(1/12)</f>
        <v>11.750000000000014</v>
      </c>
      <c r="B170" s="269">
        <f t="shared" ref="B170:B233" si="19">A170*12</f>
        <v>141.00000000000017</v>
      </c>
      <c r="C170" s="51">
        <f t="shared" ref="C170:C233" si="20">$B$4*(B170^$B$5)</f>
        <v>168.63109510132253</v>
      </c>
      <c r="D170" s="51">
        <f t="shared" si="17"/>
        <v>5129.1958093318935</v>
      </c>
      <c r="E170" s="51">
        <f t="shared" ref="E170:E233" si="21">E169+D170</f>
        <v>1914510.908808385</v>
      </c>
    </row>
    <row r="171" spans="1:5">
      <c r="A171" s="39">
        <f t="shared" si="18"/>
        <v>11.833333333333348</v>
      </c>
      <c r="B171" s="269">
        <f t="shared" si="19"/>
        <v>142.00000000000017</v>
      </c>
      <c r="C171" s="51">
        <f t="shared" si="20"/>
        <v>167.79152664157766</v>
      </c>
      <c r="D171" s="51">
        <f t="shared" si="17"/>
        <v>5103.6589353479876</v>
      </c>
      <c r="E171" s="51">
        <f t="shared" si="21"/>
        <v>1919614.5677437331</v>
      </c>
    </row>
    <row r="172" spans="1:5">
      <c r="A172" s="39">
        <f t="shared" si="18"/>
        <v>11.916666666666682</v>
      </c>
      <c r="B172" s="269">
        <f t="shared" si="19"/>
        <v>143.00000000000017</v>
      </c>
      <c r="C172" s="51">
        <f t="shared" si="20"/>
        <v>166.96198607333812</v>
      </c>
      <c r="D172" s="51">
        <f t="shared" si="17"/>
        <v>5078.4270763973682</v>
      </c>
      <c r="E172" s="51">
        <f t="shared" si="21"/>
        <v>1924692.9948201305</v>
      </c>
    </row>
    <row r="173" spans="1:5">
      <c r="A173" s="39">
        <f t="shared" si="18"/>
        <v>12.000000000000016</v>
      </c>
      <c r="B173" s="269">
        <f t="shared" si="19"/>
        <v>144.0000000000002</v>
      </c>
      <c r="C173" s="51">
        <f t="shared" si="20"/>
        <v>166.14228474537325</v>
      </c>
      <c r="D173" s="51">
        <f t="shared" si="17"/>
        <v>5053.4944943384362</v>
      </c>
      <c r="E173" s="51">
        <f t="shared" si="21"/>
        <v>1929746.489314469</v>
      </c>
    </row>
    <row r="174" spans="1:5">
      <c r="A174" s="39">
        <f t="shared" si="18"/>
        <v>12.08333333333335</v>
      </c>
      <c r="B174" s="269">
        <f t="shared" si="19"/>
        <v>145.0000000000002</v>
      </c>
      <c r="C174" s="51">
        <f t="shared" si="20"/>
        <v>165.33223883335452</v>
      </c>
      <c r="D174" s="51">
        <f t="shared" si="17"/>
        <v>5028.8555978478671</v>
      </c>
      <c r="E174" s="51">
        <f t="shared" si="21"/>
        <v>1934775.3449123169</v>
      </c>
    </row>
    <row r="175" spans="1:5">
      <c r="A175" s="39">
        <f t="shared" si="18"/>
        <v>12.166666666666684</v>
      </c>
      <c r="B175" s="269">
        <f t="shared" si="19"/>
        <v>146.0000000000002</v>
      </c>
      <c r="C175" s="51">
        <f t="shared" si="20"/>
        <v>164.53166918410548</v>
      </c>
      <c r="D175" s="51">
        <f t="shared" si="17"/>
        <v>5004.5049376832085</v>
      </c>
      <c r="E175" s="51">
        <f t="shared" si="21"/>
        <v>1939779.8498500001</v>
      </c>
    </row>
    <row r="176" spans="1:5">
      <c r="A176" s="39">
        <f t="shared" si="18"/>
        <v>12.250000000000018</v>
      </c>
      <c r="B176" s="269">
        <f t="shared" si="19"/>
        <v>147.00000000000023</v>
      </c>
      <c r="C176" s="51">
        <f t="shared" si="20"/>
        <v>163.74040116590234</v>
      </c>
      <c r="D176" s="51">
        <f t="shared" si="17"/>
        <v>4980.4372021295294</v>
      </c>
      <c r="E176" s="51">
        <f t="shared" si="21"/>
        <v>1944760.2870521296</v>
      </c>
    </row>
    <row r="177" spans="1:5">
      <c r="A177" s="39">
        <f t="shared" si="18"/>
        <v>12.333333333333352</v>
      </c>
      <c r="B177" s="269">
        <f t="shared" si="19"/>
        <v>148.00000000000023</v>
      </c>
      <c r="C177" s="51">
        <f t="shared" si="20"/>
        <v>162.95826452455262</v>
      </c>
      <c r="D177" s="51">
        <f t="shared" si="17"/>
        <v>4956.6472126218086</v>
      </c>
      <c r="E177" s="51">
        <f t="shared" si="21"/>
        <v>1949716.9342647514</v>
      </c>
    </row>
    <row r="178" spans="1:5">
      <c r="A178" s="39">
        <f t="shared" si="18"/>
        <v>12.416666666666686</v>
      </c>
      <c r="B178" s="269">
        <f t="shared" si="19"/>
        <v>149.00000000000023</v>
      </c>
      <c r="C178" s="51">
        <f t="shared" si="20"/>
        <v>162.18509324499169</v>
      </c>
      <c r="D178" s="51">
        <f t="shared" si="17"/>
        <v>4933.1299195351639</v>
      </c>
      <c r="E178" s="51">
        <f t="shared" si="21"/>
        <v>1954650.0641842866</v>
      </c>
    </row>
    <row r="179" spans="1:5">
      <c r="A179" s="39">
        <f t="shared" si="18"/>
        <v>12.50000000000002</v>
      </c>
      <c r="B179" s="269">
        <f t="shared" si="19"/>
        <v>150.00000000000023</v>
      </c>
      <c r="C179" s="51">
        <f t="shared" si="20"/>
        <v>161.42072541814841</v>
      </c>
      <c r="D179" s="51">
        <f t="shared" si="17"/>
        <v>4909.8803981353476</v>
      </c>
      <c r="E179" s="51">
        <f t="shared" si="21"/>
        <v>1959559.944582422</v>
      </c>
    </row>
    <row r="180" spans="1:5">
      <c r="A180" s="39">
        <f t="shared" si="18"/>
        <v>12.583333333333353</v>
      </c>
      <c r="B180" s="269">
        <f t="shared" si="19"/>
        <v>151.00000000000023</v>
      </c>
      <c r="C180" s="51">
        <f t="shared" si="20"/>
        <v>160.66500311284773</v>
      </c>
      <c r="D180" s="51">
        <f t="shared" si="17"/>
        <v>4886.8938446824523</v>
      </c>
      <c r="E180" s="51">
        <f t="shared" si="21"/>
        <v>1964446.8384271045</v>
      </c>
    </row>
    <row r="181" spans="1:5">
      <c r="A181" s="39">
        <f t="shared" si="18"/>
        <v>12.666666666666687</v>
      </c>
      <c r="B181" s="269">
        <f t="shared" si="19"/>
        <v>152.00000000000026</v>
      </c>
      <c r="C181" s="51">
        <f t="shared" si="20"/>
        <v>159.9177722525267</v>
      </c>
      <c r="D181" s="51">
        <f t="shared" si="17"/>
        <v>4864.1655726810204</v>
      </c>
      <c r="E181" s="51">
        <f t="shared" si="21"/>
        <v>1969311.0039997855</v>
      </c>
    </row>
    <row r="182" spans="1:5">
      <c r="A182" s="39">
        <f t="shared" si="18"/>
        <v>12.750000000000021</v>
      </c>
      <c r="B182" s="269">
        <f t="shared" si="19"/>
        <v>153.00000000000026</v>
      </c>
      <c r="C182" s="51">
        <f t="shared" si="20"/>
        <v>159.17888249655243</v>
      </c>
      <c r="D182" s="51">
        <f t="shared" si="17"/>
        <v>4841.6910092701364</v>
      </c>
      <c r="E182" s="51">
        <f t="shared" si="21"/>
        <v>1974152.6950090555</v>
      </c>
    </row>
    <row r="183" spans="1:5">
      <c r="A183" s="39">
        <f t="shared" si="18"/>
        <v>12.833333333333355</v>
      </c>
      <c r="B183" s="269">
        <f t="shared" si="19"/>
        <v>154.00000000000026</v>
      </c>
      <c r="C183" s="51">
        <f t="shared" si="20"/>
        <v>158.44818712594264</v>
      </c>
      <c r="D183" s="51">
        <f t="shared" si="17"/>
        <v>4819.4656917474222</v>
      </c>
      <c r="E183" s="51">
        <f t="shared" si="21"/>
        <v>1978972.1607008029</v>
      </c>
    </row>
    <row r="184" spans="1:5">
      <c r="A184" s="39">
        <f t="shared" si="18"/>
        <v>12.916666666666689</v>
      </c>
      <c r="B184" s="269">
        <f t="shared" si="19"/>
        <v>155.00000000000028</v>
      </c>
      <c r="C184" s="51">
        <f t="shared" si="20"/>
        <v>157.72554293329631</v>
      </c>
      <c r="D184" s="51">
        <f t="shared" si="17"/>
        <v>4797.4852642210963</v>
      </c>
      <c r="E184" s="51">
        <f t="shared" si="21"/>
        <v>1983769.6459650241</v>
      </c>
    </row>
    <row r="185" spans="1:5">
      <c r="A185" s="39">
        <f t="shared" si="18"/>
        <v>13.000000000000023</v>
      </c>
      <c r="B185" s="269">
        <f t="shared" si="19"/>
        <v>156.00000000000028</v>
      </c>
      <c r="C185" s="51">
        <f t="shared" si="20"/>
        <v>157.01081011675598</v>
      </c>
      <c r="D185" s="51">
        <f t="shared" si="17"/>
        <v>4775.7454743846611</v>
      </c>
      <c r="E185" s="51">
        <f t="shared" si="21"/>
        <v>1988545.3914394088</v>
      </c>
    </row>
    <row r="186" spans="1:5">
      <c r="A186" s="39">
        <f t="shared" si="18"/>
        <v>13.083333333333357</v>
      </c>
      <c r="B186" s="269">
        <f t="shared" si="19"/>
        <v>157.00000000000028</v>
      </c>
      <c r="C186" s="51">
        <f t="shared" si="20"/>
        <v>156.30385217782572</v>
      </c>
      <c r="D186" s="51">
        <f t="shared" si="17"/>
        <v>4754.2421704088656</v>
      </c>
      <c r="E186" s="51">
        <f t="shared" si="21"/>
        <v>1993299.6336098176</v>
      </c>
    </row>
    <row r="187" spans="1:5">
      <c r="A187" s="39">
        <f t="shared" si="18"/>
        <v>13.166666666666691</v>
      </c>
      <c r="B187" s="269">
        <f t="shared" si="19"/>
        <v>158.00000000000028</v>
      </c>
      <c r="C187" s="51">
        <f t="shared" si="20"/>
        <v>155.60453582288434</v>
      </c>
      <c r="D187" s="51">
        <f t="shared" si="17"/>
        <v>4732.9712979460655</v>
      </c>
      <c r="E187" s="51">
        <f t="shared" si="21"/>
        <v>1998032.6049077637</v>
      </c>
    </row>
    <row r="188" spans="1:5">
      <c r="A188" s="39">
        <f t="shared" si="18"/>
        <v>13.250000000000025</v>
      </c>
      <c r="B188" s="269">
        <f t="shared" si="19"/>
        <v>159.00000000000028</v>
      </c>
      <c r="C188" s="51">
        <f t="shared" si="20"/>
        <v>154.91273086823594</v>
      </c>
      <c r="D188" s="51">
        <f t="shared" si="17"/>
        <v>4711.9288972421764</v>
      </c>
      <c r="E188" s="51">
        <f t="shared" si="21"/>
        <v>2002744.5338050057</v>
      </c>
    </row>
    <row r="189" spans="1:5">
      <c r="A189" s="39">
        <f t="shared" si="18"/>
        <v>13.333333333333359</v>
      </c>
      <c r="B189" s="269">
        <f t="shared" si="19"/>
        <v>160.00000000000031</v>
      </c>
      <c r="C189" s="51">
        <f t="shared" si="20"/>
        <v>154.22831014854944</v>
      </c>
      <c r="D189" s="51">
        <f t="shared" si="17"/>
        <v>4691.1111003517126</v>
      </c>
      <c r="E189" s="51">
        <f t="shared" si="21"/>
        <v>2007435.6449053574</v>
      </c>
    </row>
    <row r="190" spans="1:5">
      <c r="A190" s="39">
        <f t="shared" si="18"/>
        <v>13.416666666666693</v>
      </c>
      <c r="B190" s="269">
        <f t="shared" si="19"/>
        <v>161.00000000000031</v>
      </c>
      <c r="C190" s="51">
        <f t="shared" si="20"/>
        <v>153.5511494285476</v>
      </c>
      <c r="D190" s="51">
        <f t="shared" si="17"/>
        <v>4670.5141284516567</v>
      </c>
      <c r="E190" s="51">
        <f t="shared" si="21"/>
        <v>2012106.1590338091</v>
      </c>
    </row>
    <row r="191" spans="1:5">
      <c r="A191" s="39">
        <f t="shared" si="18"/>
        <v>13.500000000000027</v>
      </c>
      <c r="B191" s="269">
        <f t="shared" si="19"/>
        <v>162.00000000000031</v>
      </c>
      <c r="C191" s="51">
        <f t="shared" si="20"/>
        <v>152.88112731780745</v>
      </c>
      <c r="D191" s="51">
        <f t="shared" si="17"/>
        <v>4650.134289249977</v>
      </c>
      <c r="E191" s="51">
        <f t="shared" si="21"/>
        <v>2016756.2933230591</v>
      </c>
    </row>
    <row r="192" spans="1:5">
      <c r="A192" s="39">
        <f t="shared" si="18"/>
        <v>13.583333333333361</v>
      </c>
      <c r="B192" s="269">
        <f t="shared" si="19"/>
        <v>163.00000000000034</v>
      </c>
      <c r="C192" s="51">
        <f t="shared" si="20"/>
        <v>152.21812518854802</v>
      </c>
      <c r="D192" s="51">
        <f t="shared" si="17"/>
        <v>4629.9679744850027</v>
      </c>
      <c r="E192" s="51">
        <f t="shared" si="21"/>
        <v>2021386.261297544</v>
      </c>
    </row>
    <row r="193" spans="1:5">
      <c r="A193" s="39">
        <f t="shared" si="18"/>
        <v>13.666666666666694</v>
      </c>
      <c r="B193" s="269">
        <f t="shared" si="19"/>
        <v>164.00000000000034</v>
      </c>
      <c r="C193" s="51">
        <f t="shared" si="20"/>
        <v>151.56202709628002</v>
      </c>
      <c r="D193" s="51">
        <f t="shared" si="17"/>
        <v>4610.0116575118509</v>
      </c>
      <c r="E193" s="51">
        <f t="shared" si="21"/>
        <v>2025996.2729550558</v>
      </c>
    </row>
    <row r="194" spans="1:5">
      <c r="A194" s="39">
        <f t="shared" si="18"/>
        <v>13.750000000000028</v>
      </c>
      <c r="B194" s="269">
        <f t="shared" si="19"/>
        <v>165.00000000000034</v>
      </c>
      <c r="C194" s="51">
        <f t="shared" si="20"/>
        <v>150.91271970320261</v>
      </c>
      <c r="D194" s="51">
        <f t="shared" si="17"/>
        <v>4590.2618909724133</v>
      </c>
      <c r="E194" s="51">
        <f t="shared" si="21"/>
        <v>2030586.5348460283</v>
      </c>
    </row>
    <row r="195" spans="1:5">
      <c r="A195" s="39">
        <f t="shared" si="18"/>
        <v>13.833333333333362</v>
      </c>
      <c r="B195" s="269">
        <f t="shared" si="19"/>
        <v>166.00000000000034</v>
      </c>
      <c r="C195" s="51">
        <f t="shared" si="20"/>
        <v>150.27009220423571</v>
      </c>
      <c r="D195" s="51">
        <f t="shared" si="17"/>
        <v>4570.7153045455034</v>
      </c>
      <c r="E195" s="51">
        <f t="shared" si="21"/>
        <v>2035157.2501505739</v>
      </c>
    </row>
    <row r="196" spans="1:5">
      <c r="A196" s="39">
        <f t="shared" si="18"/>
        <v>13.916666666666696</v>
      </c>
      <c r="B196" s="269">
        <f t="shared" si="19"/>
        <v>167.00000000000034</v>
      </c>
      <c r="C196" s="51">
        <f t="shared" si="20"/>
        <v>149.63403625558163</v>
      </c>
      <c r="D196" s="51">
        <f t="shared" si="17"/>
        <v>4551.3686027739413</v>
      </c>
      <c r="E196" s="51">
        <f t="shared" si="21"/>
        <v>2039708.6187533478</v>
      </c>
    </row>
    <row r="197" spans="1:5">
      <c r="A197" s="39">
        <f t="shared" si="18"/>
        <v>14.00000000000003</v>
      </c>
      <c r="B197" s="269">
        <f t="shared" si="19"/>
        <v>168.00000000000037</v>
      </c>
      <c r="C197" s="51">
        <f t="shared" si="20"/>
        <v>149.00444590571576</v>
      </c>
      <c r="D197" s="51">
        <f t="shared" si="17"/>
        <v>4532.2185629655214</v>
      </c>
      <c r="E197" s="51">
        <f t="shared" si="21"/>
        <v>2044240.8373163133</v>
      </c>
    </row>
    <row r="198" spans="1:5">
      <c r="A198" s="39">
        <f t="shared" si="18"/>
        <v>14.083333333333364</v>
      </c>
      <c r="B198" s="269">
        <f t="shared" si="19"/>
        <v>169.00000000000037</v>
      </c>
      <c r="C198" s="51">
        <f t="shared" si="20"/>
        <v>148.3812175287095</v>
      </c>
      <c r="D198" s="51">
        <f t="shared" si="17"/>
        <v>4513.2620331649141</v>
      </c>
      <c r="E198" s="51">
        <f t="shared" si="21"/>
        <v>2048754.0993494783</v>
      </c>
    </row>
    <row r="199" spans="1:5">
      <c r="A199" s="39">
        <f t="shared" si="18"/>
        <v>14.166666666666698</v>
      </c>
      <c r="B199" s="269">
        <f t="shared" si="19"/>
        <v>170.00000000000037</v>
      </c>
      <c r="C199" s="51">
        <f t="shared" si="20"/>
        <v>147.76424975979208</v>
      </c>
      <c r="D199" s="51">
        <f t="shared" si="17"/>
        <v>4494.495930193676</v>
      </c>
      <c r="E199" s="51">
        <f t="shared" si="21"/>
        <v>2053248.595279672</v>
      </c>
    </row>
    <row r="200" spans="1:5">
      <c r="A200" s="39">
        <f t="shared" si="18"/>
        <v>14.250000000000032</v>
      </c>
      <c r="B200" s="269">
        <f t="shared" si="19"/>
        <v>171.0000000000004</v>
      </c>
      <c r="C200" s="51">
        <f t="shared" si="20"/>
        <v>147.15344343306637</v>
      </c>
      <c r="D200" s="51">
        <f t="shared" si="17"/>
        <v>4475.9172377557688</v>
      </c>
      <c r="E200" s="51">
        <f t="shared" si="21"/>
        <v>2057724.5125174278</v>
      </c>
    </row>
    <row r="201" spans="1:5">
      <c r="A201" s="39">
        <f t="shared" si="18"/>
        <v>14.333333333333366</v>
      </c>
      <c r="B201" s="269">
        <f t="shared" si="19"/>
        <v>172.0000000000004</v>
      </c>
      <c r="C201" s="51">
        <f t="shared" si="20"/>
        <v>146.54870152129109</v>
      </c>
      <c r="D201" s="51">
        <f t="shared" si="17"/>
        <v>4457.5230046059378</v>
      </c>
      <c r="E201" s="51">
        <f t="shared" si="21"/>
        <v>2062182.0355220337</v>
      </c>
    </row>
    <row r="202" spans="1:5">
      <c r="A202" s="39">
        <f t="shared" si="18"/>
        <v>14.4166666666667</v>
      </c>
      <c r="B202" s="269">
        <f t="shared" si="19"/>
        <v>173.0000000000004</v>
      </c>
      <c r="C202" s="51">
        <f t="shared" si="20"/>
        <v>145.94992907765214</v>
      </c>
      <c r="D202" s="51">
        <f t="shared" si="17"/>
        <v>4439.3103427785863</v>
      </c>
      <c r="E202" s="51">
        <f t="shared" si="21"/>
        <v>2066621.3458648124</v>
      </c>
    </row>
    <row r="203" spans="1:5">
      <c r="A203" s="39">
        <f t="shared" si="18"/>
        <v>14.500000000000034</v>
      </c>
      <c r="B203" s="269">
        <f t="shared" si="19"/>
        <v>174.0000000000004</v>
      </c>
      <c r="C203" s="51">
        <f t="shared" si="20"/>
        <v>145.3570331794443</v>
      </c>
      <c r="D203" s="51">
        <f t="shared" si="17"/>
        <v>4421.2764258747648</v>
      </c>
      <c r="E203" s="51">
        <f t="shared" si="21"/>
        <v>2071042.6222906872</v>
      </c>
    </row>
    <row r="204" spans="1:5">
      <c r="A204" s="39">
        <f t="shared" si="18"/>
        <v>14.583333333333368</v>
      </c>
      <c r="B204" s="269">
        <f t="shared" si="19"/>
        <v>175.0000000000004</v>
      </c>
      <c r="C204" s="51">
        <f t="shared" si="20"/>
        <v>144.76992287359118</v>
      </c>
      <c r="D204" s="51">
        <f t="shared" si="17"/>
        <v>4403.4184874050652</v>
      </c>
      <c r="E204" s="51">
        <f t="shared" si="21"/>
        <v>2075446.0407780923</v>
      </c>
    </row>
    <row r="205" spans="1:5">
      <c r="A205" s="39">
        <f t="shared" si="18"/>
        <v>14.666666666666702</v>
      </c>
      <c r="B205" s="269">
        <f t="shared" si="19"/>
        <v>176.00000000000043</v>
      </c>
      <c r="C205" s="51">
        <f t="shared" si="20"/>
        <v>144.18850912393353</v>
      </c>
      <c r="D205" s="51">
        <f t="shared" si="17"/>
        <v>4385.7338191863118</v>
      </c>
      <c r="E205" s="51">
        <f t="shared" si="21"/>
        <v>2079831.7745972786</v>
      </c>
    </row>
    <row r="206" spans="1:5">
      <c r="A206" s="39">
        <f t="shared" si="18"/>
        <v>14.750000000000036</v>
      </c>
      <c r="B206" s="269">
        <f t="shared" si="19"/>
        <v>177.00000000000043</v>
      </c>
      <c r="C206" s="51">
        <f t="shared" si="20"/>
        <v>143.61270476021744</v>
      </c>
      <c r="D206" s="51">
        <f t="shared" si="17"/>
        <v>4368.2197697899473</v>
      </c>
      <c r="E206" s="51">
        <f t="shared" si="21"/>
        <v>2084199.9943670684</v>
      </c>
    </row>
    <row r="207" spans="1:5">
      <c r="A207" s="39">
        <f t="shared" si="18"/>
        <v>14.833333333333369</v>
      </c>
      <c r="B207" s="269">
        <f t="shared" si="19"/>
        <v>178.00000000000043</v>
      </c>
      <c r="C207" s="51">
        <f t="shared" si="20"/>
        <v>143.04242442871964</v>
      </c>
      <c r="D207" s="51">
        <f t="shared" si="17"/>
        <v>4350.8737430402225</v>
      </c>
      <c r="E207" s="51">
        <f t="shared" si="21"/>
        <v>2088550.8681101087</v>
      </c>
    </row>
    <row r="208" spans="1:5">
      <c r="A208" s="39">
        <f t="shared" si="18"/>
        <v>14.916666666666703</v>
      </c>
      <c r="B208" s="269">
        <f t="shared" si="19"/>
        <v>179.00000000000045</v>
      </c>
      <c r="C208" s="51">
        <f t="shared" si="20"/>
        <v>142.47758454444815</v>
      </c>
      <c r="D208" s="51">
        <f t="shared" si="17"/>
        <v>4333.693196560298</v>
      </c>
      <c r="E208" s="51">
        <f t="shared" si="21"/>
        <v>2092884.5613066689</v>
      </c>
    </row>
    <row r="209" spans="1:5">
      <c r="A209" s="39">
        <f t="shared" si="18"/>
        <v>15.000000000000037</v>
      </c>
      <c r="B209" s="269">
        <f t="shared" si="19"/>
        <v>180.00000000000045</v>
      </c>
      <c r="C209" s="51">
        <f t="shared" si="20"/>
        <v>141.91810324485934</v>
      </c>
      <c r="D209" s="51">
        <f t="shared" si="17"/>
        <v>4316.6756403644713</v>
      </c>
      <c r="E209" s="51">
        <f t="shared" si="21"/>
        <v>2097201.2369470336</v>
      </c>
    </row>
    <row r="210" spans="1:5">
      <c r="A210" s="39">
        <f t="shared" si="18"/>
        <v>15.083333333333371</v>
      </c>
      <c r="B210" s="269">
        <f t="shared" si="19"/>
        <v>181.00000000000045</v>
      </c>
      <c r="C210" s="51">
        <f t="shared" si="20"/>
        <v>141.36390034503543</v>
      </c>
      <c r="D210" s="51">
        <f t="shared" si="17"/>
        <v>4299.8186354948275</v>
      </c>
      <c r="E210" s="51">
        <f t="shared" si="21"/>
        <v>2101501.0555825285</v>
      </c>
    </row>
    <row r="211" spans="1:5">
      <c r="A211" s="39">
        <f t="shared" si="18"/>
        <v>15.166666666666705</v>
      </c>
      <c r="B211" s="269">
        <f t="shared" si="19"/>
        <v>182.00000000000045</v>
      </c>
      <c r="C211" s="51">
        <f t="shared" si="20"/>
        <v>140.81489729426818</v>
      </c>
      <c r="D211" s="51">
        <f t="shared" si="17"/>
        <v>4283.1197927006569</v>
      </c>
      <c r="E211" s="51">
        <f t="shared" si="21"/>
        <v>2105784.1753752292</v>
      </c>
    </row>
    <row r="212" spans="1:5">
      <c r="A212" s="39">
        <f t="shared" si="18"/>
        <v>15.250000000000039</v>
      </c>
      <c r="B212" s="269">
        <f t="shared" si="19"/>
        <v>183.00000000000045</v>
      </c>
      <c r="C212" s="51">
        <f t="shared" si="20"/>
        <v>140.27101713399799</v>
      </c>
      <c r="D212" s="51">
        <f t="shared" ref="D212:D269" si="22">C212*(365/12)</f>
        <v>4266.5767711591052</v>
      </c>
      <c r="E212" s="51">
        <f t="shared" si="21"/>
        <v>2110050.7521463884</v>
      </c>
    </row>
    <row r="213" spans="1:5">
      <c r="A213" s="39">
        <f t="shared" si="18"/>
        <v>15.333333333333373</v>
      </c>
      <c r="B213" s="269">
        <f t="shared" si="19"/>
        <v>184.00000000000048</v>
      </c>
      <c r="C213" s="51">
        <f t="shared" si="20"/>
        <v>139.73218445705777</v>
      </c>
      <c r="D213" s="51">
        <f t="shared" si="22"/>
        <v>4250.1872772355073</v>
      </c>
      <c r="E213" s="51">
        <f t="shared" si="21"/>
        <v>2114300.939423624</v>
      </c>
    </row>
    <row r="214" spans="1:5">
      <c r="A214" s="39">
        <f t="shared" si="18"/>
        <v>15.416666666666707</v>
      </c>
      <c r="B214" s="269">
        <f t="shared" si="19"/>
        <v>185.00000000000048</v>
      </c>
      <c r="C214" s="51">
        <f t="shared" si="20"/>
        <v>139.1983253681758</v>
      </c>
      <c r="D214" s="51">
        <f t="shared" si="22"/>
        <v>4233.9490632820143</v>
      </c>
      <c r="E214" s="51">
        <f t="shared" si="21"/>
        <v>2118534.888486906</v>
      </c>
    </row>
    <row r="215" spans="1:5">
      <c r="A215" s="39">
        <f t="shared" si="18"/>
        <v>15.500000000000041</v>
      </c>
      <c r="B215" s="269">
        <f t="shared" si="19"/>
        <v>186.00000000000048</v>
      </c>
      <c r="C215" s="51">
        <f t="shared" si="20"/>
        <v>138.66936744569003</v>
      </c>
      <c r="D215" s="51">
        <f t="shared" si="22"/>
        <v>4217.8599264730719</v>
      </c>
      <c r="E215" s="51">
        <f t="shared" si="21"/>
        <v>2122752.7484133788</v>
      </c>
    </row>
    <row r="216" spans="1:5">
      <c r="A216" s="39">
        <f t="shared" si="18"/>
        <v>15.583333333333375</v>
      </c>
      <c r="B216" s="269">
        <f t="shared" si="19"/>
        <v>187.00000000000051</v>
      </c>
      <c r="C216" s="51">
        <f t="shared" si="20"/>
        <v>138.14523970443273</v>
      </c>
      <c r="D216" s="51">
        <f t="shared" si="22"/>
        <v>4201.9177076764954</v>
      </c>
      <c r="E216" s="51">
        <f t="shared" si="21"/>
        <v>2126954.6661210554</v>
      </c>
    </row>
    <row r="217" spans="1:5">
      <c r="A217" s="39">
        <f t="shared" si="18"/>
        <v>15.666666666666709</v>
      </c>
      <c r="B217" s="269">
        <f t="shared" si="19"/>
        <v>188.00000000000051</v>
      </c>
      <c r="C217" s="51">
        <f t="shared" si="20"/>
        <v>137.62587255974245</v>
      </c>
      <c r="D217" s="51">
        <f t="shared" si="22"/>
        <v>4186.1202903588328</v>
      </c>
      <c r="E217" s="51">
        <f t="shared" si="21"/>
        <v>2131140.7864114144</v>
      </c>
    </row>
    <row r="218" spans="1:5">
      <c r="A218" s="39">
        <f t="shared" si="18"/>
        <v>15.750000000000043</v>
      </c>
      <c r="B218" s="269">
        <f t="shared" si="19"/>
        <v>189.00000000000051</v>
      </c>
      <c r="C218" s="51">
        <f t="shared" si="20"/>
        <v>137.11119779256245</v>
      </c>
      <c r="D218" s="51">
        <f t="shared" si="22"/>
        <v>4170.4655995237745</v>
      </c>
      <c r="E218" s="51">
        <f t="shared" si="21"/>
        <v>2135311.2520109382</v>
      </c>
    </row>
    <row r="219" spans="1:5">
      <c r="A219" s="39">
        <f t="shared" si="18"/>
        <v>15.833333333333377</v>
      </c>
      <c r="B219" s="269">
        <f t="shared" si="19"/>
        <v>190.00000000000051</v>
      </c>
      <c r="C219" s="51">
        <f t="shared" si="20"/>
        <v>136.60114851558899</v>
      </c>
      <c r="D219" s="51">
        <f t="shared" si="22"/>
        <v>4154.9516006824988</v>
      </c>
      <c r="E219" s="51">
        <f t="shared" si="21"/>
        <v>2139466.2036116207</v>
      </c>
    </row>
    <row r="220" spans="1:5">
      <c r="A220" s="39">
        <f t="shared" si="18"/>
        <v>15.91666666666671</v>
      </c>
      <c r="B220" s="269">
        <f t="shared" si="19"/>
        <v>191.00000000000051</v>
      </c>
      <c r="C220" s="51">
        <f t="shared" si="20"/>
        <v>136.09565914043162</v>
      </c>
      <c r="D220" s="51">
        <f t="shared" si="22"/>
        <v>4139.5762988547949</v>
      </c>
      <c r="E220" s="51">
        <f t="shared" si="21"/>
        <v>2143605.7799104755</v>
      </c>
    </row>
    <row r="221" spans="1:5">
      <c r="A221" s="39">
        <f t="shared" si="18"/>
        <v>16.000000000000043</v>
      </c>
      <c r="B221" s="269">
        <f t="shared" si="19"/>
        <v>192.00000000000051</v>
      </c>
      <c r="C221" s="51">
        <f t="shared" si="20"/>
        <v>135.59466534575006</v>
      </c>
      <c r="D221" s="51">
        <f t="shared" si="22"/>
        <v>4124.337737599898</v>
      </c>
      <c r="E221" s="51">
        <f t="shared" si="21"/>
        <v>2147730.1176480753</v>
      </c>
    </row>
    <row r="222" spans="1:5">
      <c r="A222" s="39">
        <f t="shared" si="18"/>
        <v>16.083333333333375</v>
      </c>
      <c r="B222" s="269">
        <f t="shared" si="19"/>
        <v>193.00000000000051</v>
      </c>
      <c r="C222" s="51">
        <f t="shared" si="20"/>
        <v>135.09810404633384</v>
      </c>
      <c r="D222" s="51">
        <f t="shared" si="22"/>
        <v>4109.233998075988</v>
      </c>
      <c r="E222" s="51">
        <f t="shared" si="21"/>
        <v>2151839.3516461514</v>
      </c>
    </row>
    <row r="223" spans="1:5">
      <c r="A223" s="39">
        <f t="shared" si="18"/>
        <v>16.166666666666707</v>
      </c>
      <c r="B223" s="269">
        <f t="shared" si="19"/>
        <v>194.00000000000048</v>
      </c>
      <c r="C223" s="51">
        <f t="shared" si="20"/>
        <v>134.60591336309216</v>
      </c>
      <c r="D223" s="51">
        <f t="shared" si="22"/>
        <v>4094.2631981273867</v>
      </c>
      <c r="E223" s="51">
        <f t="shared" si="21"/>
        <v>2155933.6148442789</v>
      </c>
    </row>
    <row r="224" spans="1:5">
      <c r="A224" s="39">
        <f t="shared" si="18"/>
        <v>16.250000000000039</v>
      </c>
      <c r="B224" s="269">
        <f t="shared" si="19"/>
        <v>195.00000000000045</v>
      </c>
      <c r="C224" s="51">
        <f t="shared" si="20"/>
        <v>134.11803259392295</v>
      </c>
      <c r="D224" s="51">
        <f t="shared" si="22"/>
        <v>4079.4234913984897</v>
      </c>
      <c r="E224" s="51">
        <f t="shared" si="21"/>
        <v>2160013.0383356772</v>
      </c>
    </row>
    <row r="225" spans="1:5">
      <c r="A225" s="39">
        <f t="shared" si="18"/>
        <v>16.333333333333371</v>
      </c>
      <c r="B225" s="269">
        <f t="shared" si="19"/>
        <v>196.00000000000045</v>
      </c>
      <c r="C225" s="51">
        <f t="shared" si="20"/>
        <v>133.63440218542976</v>
      </c>
      <c r="D225" s="51">
        <f t="shared" si="22"/>
        <v>4064.7130664734887</v>
      </c>
      <c r="E225" s="51">
        <f t="shared" si="21"/>
        <v>2164077.7514021508</v>
      </c>
    </row>
    <row r="226" spans="1:5">
      <c r="A226" s="39">
        <f t="shared" si="18"/>
        <v>16.416666666666703</v>
      </c>
      <c r="B226" s="269">
        <f t="shared" si="19"/>
        <v>197.00000000000045</v>
      </c>
      <c r="C226" s="51">
        <f t="shared" si="20"/>
        <v>133.15496370545964</v>
      </c>
      <c r="D226" s="51">
        <f t="shared" si="22"/>
        <v>4050.1301460410641</v>
      </c>
      <c r="E226" s="51">
        <f t="shared" si="21"/>
        <v>2168127.8815481919</v>
      </c>
    </row>
    <row r="227" spans="1:5">
      <c r="A227" s="39">
        <f t="shared" si="18"/>
        <v>16.500000000000036</v>
      </c>
      <c r="B227" s="269">
        <f t="shared" si="19"/>
        <v>198.00000000000043</v>
      </c>
      <c r="C227" s="51">
        <f t="shared" si="20"/>
        <v>132.67965981643229</v>
      </c>
      <c r="D227" s="51">
        <f t="shared" si="22"/>
        <v>4035.6729860831492</v>
      </c>
      <c r="E227" s="51">
        <f t="shared" si="21"/>
        <v>2172163.5545342751</v>
      </c>
    </row>
    <row r="228" spans="1:5">
      <c r="A228" s="39">
        <f t="shared" si="18"/>
        <v>16.583333333333368</v>
      </c>
      <c r="B228" s="269">
        <f t="shared" si="19"/>
        <v>199.0000000000004</v>
      </c>
      <c r="C228" s="51">
        <f t="shared" si="20"/>
        <v>132.2084342494347</v>
      </c>
      <c r="D228" s="51">
        <f t="shared" si="22"/>
        <v>4021.3398750869724</v>
      </c>
      <c r="E228" s="51">
        <f t="shared" si="21"/>
        <v>2176184.8944093622</v>
      </c>
    </row>
    <row r="229" spans="1:5">
      <c r="A229" s="39">
        <f t="shared" si="18"/>
        <v>16.6666666666667</v>
      </c>
      <c r="B229" s="269">
        <f t="shared" si="19"/>
        <v>200.0000000000004</v>
      </c>
      <c r="C229" s="51">
        <f t="shared" si="20"/>
        <v>131.74123177905554</v>
      </c>
      <c r="D229" s="51">
        <f t="shared" si="22"/>
        <v>4007.1291332796063</v>
      </c>
      <c r="E229" s="51">
        <f t="shared" si="21"/>
        <v>2180192.0235426417</v>
      </c>
    </row>
    <row r="230" spans="1:5">
      <c r="A230" s="39">
        <f t="shared" si="18"/>
        <v>16.750000000000032</v>
      </c>
      <c r="B230" s="269">
        <f t="shared" si="19"/>
        <v>201.0000000000004</v>
      </c>
      <c r="C230" s="51">
        <f t="shared" si="20"/>
        <v>131.27799819893494</v>
      </c>
      <c r="D230" s="51">
        <f t="shared" si="22"/>
        <v>3993.0391118842713</v>
      </c>
      <c r="E230" s="51">
        <f t="shared" si="21"/>
        <v>2184185.062654526</v>
      </c>
    </row>
    <row r="231" spans="1:5">
      <c r="A231" s="39">
        <f t="shared" si="18"/>
        <v>16.833333333333364</v>
      </c>
      <c r="B231" s="269">
        <f t="shared" si="19"/>
        <v>202.00000000000037</v>
      </c>
      <c r="C231" s="51">
        <f t="shared" si="20"/>
        <v>130.81868029800395</v>
      </c>
      <c r="D231" s="51">
        <f t="shared" si="22"/>
        <v>3979.0681923976204</v>
      </c>
      <c r="E231" s="51">
        <f t="shared" si="21"/>
        <v>2188164.1308469237</v>
      </c>
    </row>
    <row r="232" spans="1:5">
      <c r="A232" s="39">
        <f t="shared" si="18"/>
        <v>16.916666666666696</v>
      </c>
      <c r="B232" s="269">
        <f t="shared" si="19"/>
        <v>203.00000000000034</v>
      </c>
      <c r="C232" s="51">
        <f t="shared" si="20"/>
        <v>130.36322583739494</v>
      </c>
      <c r="D232" s="51">
        <f t="shared" si="22"/>
        <v>3965.2147858874296</v>
      </c>
      <c r="E232" s="51">
        <f t="shared" si="21"/>
        <v>2192129.3456328111</v>
      </c>
    </row>
    <row r="233" spans="1:5">
      <c r="A233" s="39">
        <f t="shared" si="18"/>
        <v>17.000000000000028</v>
      </c>
      <c r="B233" s="269">
        <f t="shared" si="19"/>
        <v>204.00000000000034</v>
      </c>
      <c r="C233" s="51">
        <f t="shared" si="20"/>
        <v>129.9115835279953</v>
      </c>
      <c r="D233" s="51">
        <f t="shared" si="22"/>
        <v>3951.4773323098575</v>
      </c>
      <c r="E233" s="51">
        <f t="shared" si="21"/>
        <v>2196080.8229651209</v>
      </c>
    </row>
    <row r="234" spans="1:5">
      <c r="A234" s="39">
        <f t="shared" ref="A234:A269" si="23">A233+(1/12)</f>
        <v>17.083333333333361</v>
      </c>
      <c r="B234" s="269">
        <f t="shared" ref="B234:B269" si="24">A234*12</f>
        <v>205.00000000000034</v>
      </c>
      <c r="C234" s="51">
        <f t="shared" ref="C234:C269" si="25">$B$4*(B234^$B$5)</f>
        <v>129.46370300862898</v>
      </c>
      <c r="D234" s="51">
        <f t="shared" si="22"/>
        <v>3937.8542998457983</v>
      </c>
      <c r="E234" s="51">
        <f t="shared" ref="E234:E269" si="26">E233+D234</f>
        <v>2200018.6772649665</v>
      </c>
    </row>
    <row r="235" spans="1:5">
      <c r="A235" s="39">
        <f t="shared" si="23"/>
        <v>17.166666666666693</v>
      </c>
      <c r="B235" s="269">
        <f t="shared" si="24"/>
        <v>206.00000000000031</v>
      </c>
      <c r="C235" s="51">
        <f t="shared" si="25"/>
        <v>129.01953482484149</v>
      </c>
      <c r="D235" s="51">
        <f t="shared" si="22"/>
        <v>3924.3441842555953</v>
      </c>
      <c r="E235" s="51">
        <f t="shared" si="26"/>
        <v>2203943.0214492222</v>
      </c>
    </row>
    <row r="236" spans="1:5">
      <c r="A236" s="39">
        <f t="shared" si="23"/>
        <v>17.250000000000025</v>
      </c>
      <c r="B236" s="269">
        <f t="shared" si="24"/>
        <v>207.00000000000028</v>
      </c>
      <c r="C236" s="51">
        <f t="shared" si="25"/>
        <v>128.57903040827026</v>
      </c>
      <c r="D236" s="51">
        <f t="shared" si="22"/>
        <v>3910.9455082515537</v>
      </c>
      <c r="E236" s="51">
        <f t="shared" si="26"/>
        <v>2207853.9669574737</v>
      </c>
    </row>
    <row r="237" spans="1:5">
      <c r="A237" s="39">
        <f t="shared" si="23"/>
        <v>17.333333333333357</v>
      </c>
      <c r="B237" s="269">
        <f t="shared" si="24"/>
        <v>208.00000000000028</v>
      </c>
      <c r="C237" s="51">
        <f t="shared" si="25"/>
        <v>128.14214205658166</v>
      </c>
      <c r="D237" s="51">
        <f t="shared" si="22"/>
        <v>3897.6568208876924</v>
      </c>
      <c r="E237" s="51">
        <f t="shared" si="26"/>
        <v>2211751.6237783614</v>
      </c>
    </row>
    <row r="238" spans="1:5">
      <c r="A238" s="39">
        <f t="shared" si="23"/>
        <v>17.416666666666689</v>
      </c>
      <c r="B238" s="269">
        <f t="shared" si="24"/>
        <v>209.00000000000028</v>
      </c>
      <c r="C238" s="51">
        <f t="shared" si="25"/>
        <v>127.70882291395617</v>
      </c>
      <c r="D238" s="51">
        <f t="shared" si="22"/>
        <v>3884.4766969661669</v>
      </c>
      <c r="E238" s="51">
        <f t="shared" si="26"/>
        <v>2215636.1004753276</v>
      </c>
    </row>
    <row r="239" spans="1:5">
      <c r="A239" s="39">
        <f t="shared" si="23"/>
        <v>17.500000000000021</v>
      </c>
      <c r="B239" s="269">
        <f t="shared" si="24"/>
        <v>210.00000000000026</v>
      </c>
      <c r="C239" s="51">
        <f t="shared" si="25"/>
        <v>127.27902695210385</v>
      </c>
      <c r="D239" s="51">
        <f t="shared" si="22"/>
        <v>3871.4037364598257</v>
      </c>
      <c r="E239" s="51">
        <f t="shared" si="26"/>
        <v>2219507.5042117876</v>
      </c>
    </row>
    <row r="240" spans="1:5">
      <c r="A240" s="39">
        <f t="shared" si="23"/>
        <v>17.583333333333353</v>
      </c>
      <c r="B240" s="269">
        <f t="shared" si="24"/>
        <v>211.00000000000023</v>
      </c>
      <c r="C240" s="51">
        <f t="shared" si="25"/>
        <v>126.85270895179383</v>
      </c>
      <c r="D240" s="51">
        <f t="shared" si="22"/>
        <v>3858.4365639503958</v>
      </c>
      <c r="E240" s="51">
        <f t="shared" si="26"/>
        <v>2223365.9407757381</v>
      </c>
    </row>
    <row r="241" spans="1:5">
      <c r="A241" s="39">
        <f t="shared" si="23"/>
        <v>17.666666666666686</v>
      </c>
      <c r="B241" s="269">
        <f t="shared" si="24"/>
        <v>212.00000000000023</v>
      </c>
      <c r="C241" s="51">
        <f t="shared" si="25"/>
        <v>126.42982448488142</v>
      </c>
      <c r="D241" s="51">
        <f t="shared" si="22"/>
        <v>3845.57382808181</v>
      </c>
      <c r="E241" s="51">
        <f t="shared" si="26"/>
        <v>2227211.5146038197</v>
      </c>
    </row>
    <row r="242" spans="1:5">
      <c r="A242" s="39">
        <f t="shared" si="23"/>
        <v>17.750000000000018</v>
      </c>
      <c r="B242" s="269">
        <f t="shared" si="24"/>
        <v>213.00000000000023</v>
      </c>
      <c r="C242" s="51">
        <f t="shared" si="25"/>
        <v>126.0103298968168</v>
      </c>
      <c r="D242" s="51">
        <f t="shared" si="22"/>
        <v>3832.8142010281776</v>
      </c>
      <c r="E242" s="51">
        <f t="shared" si="26"/>
        <v>2231044.3288048478</v>
      </c>
    </row>
    <row r="243" spans="1:5">
      <c r="A243" s="39">
        <f t="shared" si="23"/>
        <v>17.83333333333335</v>
      </c>
      <c r="B243" s="269">
        <f t="shared" si="24"/>
        <v>214.0000000000002</v>
      </c>
      <c r="C243" s="51">
        <f t="shared" si="25"/>
        <v>125.59418228962068</v>
      </c>
      <c r="D243" s="51">
        <f t="shared" si="22"/>
        <v>3820.1563779759622</v>
      </c>
      <c r="E243" s="51">
        <f t="shared" si="26"/>
        <v>2234864.4851828236</v>
      </c>
    </row>
    <row r="244" spans="1:5">
      <c r="A244" s="39">
        <f t="shared" si="23"/>
        <v>17.916666666666682</v>
      </c>
      <c r="B244" s="269">
        <f t="shared" si="24"/>
        <v>215.00000000000017</v>
      </c>
      <c r="C244" s="51">
        <f t="shared" si="25"/>
        <v>125.18133950531164</v>
      </c>
      <c r="D244" s="51">
        <f t="shared" si="22"/>
        <v>3807.5990766198961</v>
      </c>
      <c r="E244" s="51">
        <f t="shared" si="26"/>
        <v>2238672.0842594435</v>
      </c>
    </row>
    <row r="245" spans="1:5">
      <c r="A245" s="39">
        <f t="shared" si="23"/>
        <v>18.000000000000014</v>
      </c>
      <c r="B245" s="269">
        <f t="shared" si="24"/>
        <v>216.00000000000017</v>
      </c>
      <c r="C245" s="51">
        <f t="shared" si="25"/>
        <v>124.771760109772</v>
      </c>
      <c r="D245" s="51">
        <f t="shared" si="22"/>
        <v>3795.1410366722321</v>
      </c>
      <c r="E245" s="51">
        <f t="shared" si="26"/>
        <v>2242467.2252961155</v>
      </c>
    </row>
    <row r="246" spans="1:5">
      <c r="A246" s="39">
        <f t="shared" si="23"/>
        <v>18.083333333333346</v>
      </c>
      <c r="B246" s="269">
        <f t="shared" si="24"/>
        <v>217.00000000000017</v>
      </c>
      <c r="C246" s="51">
        <f t="shared" si="25"/>
        <v>124.3654033770388</v>
      </c>
      <c r="D246" s="51">
        <f t="shared" si="22"/>
        <v>3782.7810193849305</v>
      </c>
      <c r="E246" s="51">
        <f t="shared" si="26"/>
        <v>2246250.0063155005</v>
      </c>
    </row>
    <row r="247" spans="1:5">
      <c r="A247" s="39">
        <f t="shared" si="23"/>
        <v>18.166666666666679</v>
      </c>
      <c r="B247" s="269">
        <f t="shared" si="24"/>
        <v>218.00000000000014</v>
      </c>
      <c r="C247" s="51">
        <f t="shared" si="25"/>
        <v>123.96222927400437</v>
      </c>
      <c r="D247" s="51">
        <f t="shared" si="22"/>
        <v>3770.5178070842999</v>
      </c>
      <c r="E247" s="51">
        <f t="shared" si="26"/>
        <v>2250020.5241225846</v>
      </c>
    </row>
    <row r="248" spans="1:5">
      <c r="A248" s="39">
        <f t="shared" si="23"/>
        <v>18.250000000000011</v>
      </c>
      <c r="B248" s="269">
        <f t="shared" si="24"/>
        <v>219.00000000000011</v>
      </c>
      <c r="C248" s="51">
        <f t="shared" si="25"/>
        <v>123.56219844551826</v>
      </c>
      <c r="D248" s="51">
        <f t="shared" si="22"/>
        <v>3758.3502027178474</v>
      </c>
      <c r="E248" s="51">
        <f t="shared" si="26"/>
        <v>2253778.8743253024</v>
      </c>
    </row>
    <row r="249" spans="1:5">
      <c r="A249" s="39">
        <f t="shared" si="23"/>
        <v>18.333333333333343</v>
      </c>
      <c r="B249" s="269">
        <f t="shared" si="24"/>
        <v>220.00000000000011</v>
      </c>
      <c r="C249" s="51">
        <f t="shared" si="25"/>
        <v>123.16527219987356</v>
      </c>
      <c r="D249" s="51">
        <f t="shared" si="22"/>
        <v>3746.2770294128209</v>
      </c>
      <c r="E249" s="51">
        <f t="shared" si="26"/>
        <v>2257525.1513547152</v>
      </c>
    </row>
    <row r="250" spans="1:5">
      <c r="A250" s="39">
        <f t="shared" si="23"/>
        <v>18.416666666666675</v>
      </c>
      <c r="B250" s="269">
        <f t="shared" si="24"/>
        <v>221.00000000000011</v>
      </c>
      <c r="C250" s="51">
        <f t="shared" si="25"/>
        <v>122.77141249467026</v>
      </c>
      <c r="D250" s="51">
        <f t="shared" si="22"/>
        <v>3734.2971300462204</v>
      </c>
      <c r="E250" s="51">
        <f t="shared" si="26"/>
        <v>2261259.4484847616</v>
      </c>
    </row>
    <row r="251" spans="1:5">
      <c r="A251" s="39">
        <f t="shared" si="23"/>
        <v>18.500000000000007</v>
      </c>
      <c r="B251" s="269">
        <f t="shared" si="24"/>
        <v>222.00000000000009</v>
      </c>
      <c r="C251" s="51">
        <f t="shared" si="25"/>
        <v>122.38058192304048</v>
      </c>
      <c r="D251" s="51">
        <f t="shared" si="22"/>
        <v>3722.4093668258147</v>
      </c>
      <c r="E251" s="51">
        <f t="shared" si="26"/>
        <v>2264981.8578515872</v>
      </c>
    </row>
    <row r="252" spans="1:5">
      <c r="A252" s="39">
        <f t="shared" si="23"/>
        <v>18.583333333333339</v>
      </c>
      <c r="B252" s="269">
        <f t="shared" si="24"/>
        <v>223.00000000000006</v>
      </c>
      <c r="C252" s="51">
        <f t="shared" si="25"/>
        <v>121.99274370022775</v>
      </c>
      <c r="D252" s="51">
        <f t="shared" si="22"/>
        <v>3710.6126208819273</v>
      </c>
      <c r="E252" s="51">
        <f t="shared" si="26"/>
        <v>2268692.470472469</v>
      </c>
    </row>
    <row r="253" spans="1:5">
      <c r="A253" s="39">
        <f t="shared" si="23"/>
        <v>18.666666666666671</v>
      </c>
      <c r="B253" s="269">
        <f t="shared" si="24"/>
        <v>224.00000000000006</v>
      </c>
      <c r="C253" s="51">
        <f t="shared" si="25"/>
        <v>121.60786165050706</v>
      </c>
      <c r="D253" s="51">
        <f t="shared" si="22"/>
        <v>3698.9057918695898</v>
      </c>
      <c r="E253" s="51">
        <f t="shared" si="26"/>
        <v>2272391.3762643384</v>
      </c>
    </row>
    <row r="254" spans="1:5">
      <c r="A254" s="39">
        <f t="shared" si="23"/>
        <v>18.750000000000004</v>
      </c>
      <c r="B254" s="269">
        <f t="shared" si="24"/>
        <v>225.00000000000006</v>
      </c>
      <c r="C254" s="51">
        <f t="shared" si="25"/>
        <v>121.22590019443861</v>
      </c>
      <c r="D254" s="51">
        <f t="shared" si="22"/>
        <v>3687.287797580841</v>
      </c>
      <c r="E254" s="51">
        <f t="shared" si="26"/>
        <v>2276078.6640619193</v>
      </c>
    </row>
    <row r="255" spans="1:5">
      <c r="A255" s="39">
        <f t="shared" si="23"/>
        <v>18.833333333333336</v>
      </c>
      <c r="B255" s="269">
        <f t="shared" si="24"/>
        <v>226.00000000000003</v>
      </c>
      <c r="C255" s="51">
        <f t="shared" si="25"/>
        <v>120.84682433644164</v>
      </c>
      <c r="D255" s="51">
        <f t="shared" si="22"/>
        <v>3675.757573566767</v>
      </c>
      <c r="E255" s="51">
        <f t="shared" si="26"/>
        <v>2279754.4216354862</v>
      </c>
    </row>
    <row r="256" spans="1:5">
      <c r="A256" s="39">
        <f t="shared" si="23"/>
        <v>18.916666666666668</v>
      </c>
      <c r="B256" s="269">
        <f t="shared" si="24"/>
        <v>227</v>
      </c>
      <c r="C256" s="51">
        <f t="shared" si="25"/>
        <v>120.47059965268248</v>
      </c>
      <c r="D256" s="51">
        <f t="shared" si="22"/>
        <v>3664.314072769092</v>
      </c>
      <c r="E256" s="51">
        <f t="shared" si="26"/>
        <v>2283418.7357082553</v>
      </c>
    </row>
    <row r="257" spans="1:5">
      <c r="A257" s="39">
        <f t="shared" si="23"/>
        <v>19</v>
      </c>
      <c r="B257" s="269">
        <f t="shared" si="24"/>
        <v>228</v>
      </c>
      <c r="C257" s="51">
        <f t="shared" si="25"/>
        <v>120.09719227926477</v>
      </c>
      <c r="D257" s="51">
        <f t="shared" si="22"/>
        <v>3652.9562651609704</v>
      </c>
      <c r="E257" s="51">
        <f t="shared" si="26"/>
        <v>2287071.6919734161</v>
      </c>
    </row>
    <row r="258" spans="1:5">
      <c r="A258" s="39">
        <f t="shared" si="23"/>
        <v>19.083333333333332</v>
      </c>
      <c r="B258" s="269">
        <f t="shared" si="24"/>
        <v>229</v>
      </c>
      <c r="C258" s="51">
        <f t="shared" si="25"/>
        <v>119.72656890071485</v>
      </c>
      <c r="D258" s="51">
        <f t="shared" si="22"/>
        <v>3641.6831373967434</v>
      </c>
      <c r="E258" s="51">
        <f t="shared" si="26"/>
        <v>2290713.375110813</v>
      </c>
    </row>
    <row r="259" spans="1:5">
      <c r="A259" s="39">
        <f t="shared" si="23"/>
        <v>19.166666666666664</v>
      </c>
      <c r="B259" s="269">
        <f t="shared" si="24"/>
        <v>229.99999999999997</v>
      </c>
      <c r="C259" s="51">
        <f t="shared" si="25"/>
        <v>119.35869673875278</v>
      </c>
      <c r="D259" s="51">
        <f t="shared" si="22"/>
        <v>3630.4936924703975</v>
      </c>
      <c r="E259" s="51">
        <f t="shared" si="26"/>
        <v>2294343.8688032832</v>
      </c>
    </row>
    <row r="260" spans="1:5">
      <c r="A260" s="39">
        <f t="shared" si="23"/>
        <v>19.249999999999996</v>
      </c>
      <c r="B260" s="269">
        <f t="shared" si="24"/>
        <v>230.99999999999994</v>
      </c>
      <c r="C260" s="51">
        <f t="shared" si="25"/>
        <v>118.99354354134076</v>
      </c>
      <c r="D260" s="51">
        <f t="shared" si="22"/>
        <v>3619.3869493824482</v>
      </c>
      <c r="E260" s="51">
        <f t="shared" si="26"/>
        <v>2297963.2557526655</v>
      </c>
    </row>
    <row r="261" spans="1:5">
      <c r="A261" s="39">
        <f t="shared" si="23"/>
        <v>19.333333333333329</v>
      </c>
      <c r="B261" s="269">
        <f t="shared" si="24"/>
        <v>231.99999999999994</v>
      </c>
      <c r="C261" s="51">
        <f t="shared" si="25"/>
        <v>118.63107757200123</v>
      </c>
      <c r="D261" s="51">
        <f t="shared" si="22"/>
        <v>3608.3619428150378</v>
      </c>
      <c r="E261" s="51">
        <f t="shared" si="26"/>
        <v>2301571.6176954806</v>
      </c>
    </row>
    <row r="262" spans="1:5">
      <c r="A262" s="39">
        <f t="shared" si="23"/>
        <v>19.416666666666661</v>
      </c>
      <c r="B262" s="269">
        <f t="shared" si="24"/>
        <v>232.99999999999994</v>
      </c>
      <c r="C262" s="51">
        <f t="shared" si="25"/>
        <v>118.27126759939691</v>
      </c>
      <c r="D262" s="51">
        <f t="shared" si="22"/>
        <v>3597.4177228149892</v>
      </c>
      <c r="E262" s="51">
        <f t="shared" si="26"/>
        <v>2305169.0354182958</v>
      </c>
    </row>
    <row r="263" spans="1:5">
      <c r="A263" s="39">
        <f t="shared" si="23"/>
        <v>19.499999999999993</v>
      </c>
      <c r="B263" s="269">
        <f t="shared" si="24"/>
        <v>233.99999999999991</v>
      </c>
      <c r="C263" s="51">
        <f t="shared" si="25"/>
        <v>117.91408288716482</v>
      </c>
      <c r="D263" s="51">
        <f t="shared" si="22"/>
        <v>3586.5533544845966</v>
      </c>
      <c r="E263" s="51">
        <f t="shared" si="26"/>
        <v>2308755.5887727803</v>
      </c>
    </row>
    <row r="264" spans="1:5">
      <c r="A264" s="39">
        <f t="shared" si="23"/>
        <v>19.583333333333325</v>
      </c>
      <c r="B264" s="269">
        <f t="shared" si="24"/>
        <v>234.99999999999989</v>
      </c>
      <c r="C264" s="51">
        <f t="shared" si="25"/>
        <v>117.55949318399739</v>
      </c>
      <c r="D264" s="51">
        <f t="shared" si="22"/>
        <v>3575.7679176799206</v>
      </c>
      <c r="E264" s="51">
        <f t="shared" si="26"/>
        <v>2312331.3566904604</v>
      </c>
    </row>
    <row r="265" spans="1:5">
      <c r="A265" s="39">
        <f t="shared" si="23"/>
        <v>19.666666666666657</v>
      </c>
      <c r="B265" s="269">
        <f t="shared" si="24"/>
        <v>235.99999999999989</v>
      </c>
      <c r="C265" s="51">
        <f t="shared" si="25"/>
        <v>117.20746871396356</v>
      </c>
      <c r="D265" s="51">
        <f t="shared" si="22"/>
        <v>3565.060506716392</v>
      </c>
      <c r="E265" s="51">
        <f t="shared" si="26"/>
        <v>2315896.4171971767</v>
      </c>
    </row>
    <row r="266" spans="1:5">
      <c r="A266" s="39">
        <f t="shared" si="23"/>
        <v>19.749999999999989</v>
      </c>
      <c r="B266" s="269">
        <f t="shared" si="24"/>
        <v>236.99999999999989</v>
      </c>
      <c r="C266" s="51">
        <f t="shared" si="25"/>
        <v>116.85798016706319</v>
      </c>
      <c r="D266" s="51">
        <f t="shared" si="22"/>
        <v>3554.4302300815057</v>
      </c>
      <c r="E266" s="51">
        <f t="shared" si="26"/>
        <v>2319450.8474272583</v>
      </c>
    </row>
    <row r="267" spans="1:5">
      <c r="A267" s="39">
        <f t="shared" si="23"/>
        <v>19.833333333333321</v>
      </c>
      <c r="B267" s="269">
        <f t="shared" si="24"/>
        <v>237.99999999999986</v>
      </c>
      <c r="C267" s="51">
        <f t="shared" si="25"/>
        <v>116.5109986900079</v>
      </c>
      <c r="D267" s="51">
        <f t="shared" si="22"/>
        <v>3543.8762101544071</v>
      </c>
      <c r="E267" s="51">
        <f t="shared" si="26"/>
        <v>2322994.7236374128</v>
      </c>
    </row>
    <row r="268" spans="1:5">
      <c r="A268" s="39">
        <f t="shared" si="23"/>
        <v>19.916666666666654</v>
      </c>
      <c r="B268" s="269">
        <f t="shared" si="24"/>
        <v>238.99999999999983</v>
      </c>
      <c r="C268" s="51">
        <f t="shared" si="25"/>
        <v>116.16649587722206</v>
      </c>
      <c r="D268" s="51">
        <f t="shared" si="22"/>
        <v>3533.3975829321712</v>
      </c>
      <c r="E268" s="51">
        <f t="shared" si="26"/>
        <v>2326528.1212203451</v>
      </c>
    </row>
    <row r="269" spans="1:5">
      <c r="A269" s="39">
        <f t="shared" si="23"/>
        <v>19.999999999999986</v>
      </c>
      <c r="B269" s="269">
        <f t="shared" si="24"/>
        <v>239.99999999999983</v>
      </c>
      <c r="C269" s="51">
        <f t="shared" si="25"/>
        <v>115.82444376205842</v>
      </c>
      <c r="D269" s="51">
        <f t="shared" si="22"/>
        <v>3522.9934977626103</v>
      </c>
      <c r="E269" s="51">
        <f t="shared" si="26"/>
        <v>2330051.114718108</v>
      </c>
    </row>
    <row r="270" spans="1:5">
      <c r="A270" s="39"/>
      <c r="B270" s="53"/>
      <c r="C270" s="39"/>
      <c r="D270" s="39"/>
      <c r="E270" s="39"/>
    </row>
    <row r="271" spans="1:5">
      <c r="A271" s="39"/>
      <c r="B271" s="53"/>
      <c r="C271" s="39"/>
      <c r="D271" s="39"/>
      <c r="E271" s="39"/>
    </row>
    <row r="272" spans="1:5">
      <c r="A272" s="39"/>
      <c r="B272" s="53"/>
      <c r="C272" s="39"/>
      <c r="D272" s="39"/>
      <c r="E272" s="39"/>
    </row>
    <row r="273" spans="1:5">
      <c r="A273" s="39"/>
      <c r="B273" s="53"/>
      <c r="C273" s="39"/>
      <c r="D273" s="39"/>
      <c r="E273" s="39"/>
    </row>
    <row r="274" spans="1:5">
      <c r="A274" s="39"/>
      <c r="B274" s="53"/>
      <c r="C274" s="39"/>
      <c r="D274" s="39"/>
      <c r="E274" s="39"/>
    </row>
    <row r="275" spans="1:5">
      <c r="A275" s="39"/>
      <c r="B275" s="53"/>
      <c r="C275" s="39"/>
      <c r="D275" s="39"/>
      <c r="E275" s="39"/>
    </row>
    <row r="276" spans="1:5">
      <c r="A276" s="39"/>
      <c r="B276" s="53"/>
      <c r="C276" s="39"/>
      <c r="D276" s="39"/>
      <c r="E276" s="39"/>
    </row>
    <row r="277" spans="1:5">
      <c r="A277" s="39"/>
      <c r="B277" s="53"/>
      <c r="C277" s="39"/>
      <c r="D277" s="39"/>
      <c r="E277" s="39"/>
    </row>
    <row r="278" spans="1:5">
      <c r="A278" s="39"/>
      <c r="B278" s="53"/>
      <c r="C278" s="39"/>
      <c r="D278" s="39"/>
      <c r="E278" s="39"/>
    </row>
    <row r="279" spans="1:5">
      <c r="A279" s="39"/>
      <c r="B279" s="53"/>
      <c r="C279" s="39"/>
      <c r="D279" s="39"/>
      <c r="E279" s="39"/>
    </row>
    <row r="280" spans="1:5">
      <c r="A280" s="39"/>
      <c r="B280" s="53"/>
      <c r="C280" s="39"/>
      <c r="D280" s="39"/>
      <c r="E280" s="39"/>
    </row>
    <row r="281" spans="1:5">
      <c r="A281" s="39"/>
      <c r="B281" s="53"/>
      <c r="C281" s="39"/>
      <c r="D281" s="39"/>
      <c r="E281" s="39"/>
    </row>
    <row r="282" spans="1:5">
      <c r="A282" s="39"/>
      <c r="B282" s="53"/>
      <c r="C282" s="39"/>
      <c r="D282" s="39"/>
      <c r="E282" s="39"/>
    </row>
    <row r="283" spans="1:5">
      <c r="A283" s="39"/>
      <c r="B283" s="53"/>
      <c r="C283" s="39"/>
      <c r="D283" s="39"/>
      <c r="E283" s="39"/>
    </row>
    <row r="284" spans="1:5">
      <c r="A284" s="39"/>
      <c r="B284" s="53"/>
      <c r="C284" s="39"/>
      <c r="D284" s="39"/>
      <c r="E284" s="39"/>
    </row>
    <row r="285" spans="1:5">
      <c r="A285" s="39"/>
      <c r="B285" s="53"/>
      <c r="C285" s="39"/>
      <c r="D285" s="39"/>
      <c r="E285" s="39"/>
    </row>
    <row r="286" spans="1:5">
      <c r="A286" s="39"/>
      <c r="B286" s="53"/>
      <c r="C286" s="39"/>
      <c r="D286" s="39"/>
      <c r="E286" s="39"/>
    </row>
    <row r="287" spans="1:5">
      <c r="A287" s="39"/>
      <c r="B287" s="53"/>
      <c r="C287" s="39"/>
      <c r="D287" s="39"/>
      <c r="E287" s="39"/>
    </row>
    <row r="288" spans="1:5">
      <c r="A288" s="39"/>
      <c r="B288" s="53"/>
      <c r="C288" s="39"/>
      <c r="D288" s="39"/>
      <c r="E288" s="39"/>
    </row>
    <row r="289" spans="1:5">
      <c r="A289" s="39"/>
      <c r="B289" s="53"/>
      <c r="C289" s="39"/>
      <c r="D289" s="39"/>
      <c r="E289" s="39"/>
    </row>
    <row r="290" spans="1:5">
      <c r="A290" s="39"/>
      <c r="B290" s="53"/>
      <c r="C290" s="39"/>
      <c r="D290" s="39"/>
      <c r="E290" s="39"/>
    </row>
    <row r="291" spans="1:5">
      <c r="A291" s="39"/>
      <c r="B291" s="53"/>
      <c r="C291" s="39"/>
      <c r="D291" s="39"/>
      <c r="E291" s="39"/>
    </row>
    <row r="292" spans="1:5">
      <c r="A292" s="39"/>
      <c r="B292" s="53"/>
      <c r="C292" s="39"/>
      <c r="D292" s="39"/>
      <c r="E292" s="39"/>
    </row>
    <row r="293" spans="1:5">
      <c r="A293" s="39"/>
      <c r="B293" s="53"/>
      <c r="C293" s="39"/>
      <c r="D293" s="39"/>
      <c r="E293" s="39"/>
    </row>
    <row r="294" spans="1:5">
      <c r="A294" s="39"/>
      <c r="B294" s="53"/>
      <c r="C294" s="39"/>
      <c r="D294" s="39"/>
      <c r="E294" s="39"/>
    </row>
    <row r="295" spans="1:5">
      <c r="A295" s="39"/>
      <c r="B295" s="53"/>
      <c r="C295" s="39"/>
      <c r="D295" s="39"/>
      <c r="E295" s="39"/>
    </row>
    <row r="296" spans="1:5">
      <c r="A296" s="39"/>
      <c r="B296" s="53"/>
      <c r="C296" s="39"/>
      <c r="D296" s="39"/>
      <c r="E296" s="39"/>
    </row>
    <row r="297" spans="1:5">
      <c r="A297" s="39"/>
      <c r="B297" s="53"/>
      <c r="C297" s="39"/>
      <c r="D297" s="39"/>
      <c r="E297" s="39"/>
    </row>
    <row r="298" spans="1:5">
      <c r="A298" s="39"/>
      <c r="B298" s="53"/>
      <c r="C298" s="39"/>
      <c r="D298" s="39"/>
      <c r="E298" s="39"/>
    </row>
    <row r="299" spans="1:5">
      <c r="A299" s="39"/>
      <c r="B299" s="53"/>
      <c r="C299" s="39"/>
      <c r="D299" s="39"/>
      <c r="E299" s="39"/>
    </row>
    <row r="300" spans="1:5">
      <c r="A300" s="39"/>
      <c r="B300" s="53"/>
      <c r="C300" s="39"/>
      <c r="D300" s="39"/>
      <c r="E300" s="39"/>
    </row>
    <row r="301" spans="1:5">
      <c r="A301" s="39"/>
      <c r="B301" s="53"/>
      <c r="C301" s="39"/>
      <c r="D301" s="39"/>
      <c r="E301" s="39"/>
    </row>
    <row r="302" spans="1:5">
      <c r="A302" s="39"/>
      <c r="B302" s="53"/>
      <c r="C302" s="39"/>
      <c r="D302" s="39"/>
      <c r="E302" s="39"/>
    </row>
    <row r="303" spans="1:5">
      <c r="A303" s="39"/>
      <c r="B303" s="53"/>
      <c r="C303" s="39"/>
      <c r="D303" s="39"/>
      <c r="E303" s="39"/>
    </row>
    <row r="304" spans="1:5">
      <c r="A304" s="39"/>
      <c r="B304" s="53"/>
      <c r="C304" s="39"/>
      <c r="D304" s="39"/>
      <c r="E304" s="39"/>
    </row>
    <row r="305" spans="1:5">
      <c r="A305" s="39"/>
      <c r="B305" s="53"/>
      <c r="C305" s="39"/>
      <c r="D305" s="39"/>
      <c r="E305" s="39"/>
    </row>
    <row r="306" spans="1:5">
      <c r="A306" s="39"/>
      <c r="B306" s="53"/>
      <c r="C306" s="39"/>
      <c r="D306" s="39"/>
      <c r="E306" s="39"/>
    </row>
    <row r="307" spans="1:5">
      <c r="A307" s="39"/>
      <c r="B307" s="53"/>
      <c r="C307" s="39"/>
      <c r="D307" s="39"/>
      <c r="E307" s="39"/>
    </row>
    <row r="308" spans="1:5">
      <c r="A308" s="39"/>
      <c r="B308" s="53"/>
      <c r="C308" s="39"/>
      <c r="D308" s="39"/>
      <c r="E308" s="39"/>
    </row>
    <row r="309" spans="1:5">
      <c r="A309" s="39"/>
      <c r="B309" s="53"/>
      <c r="C309" s="39"/>
      <c r="D309" s="39"/>
      <c r="E309" s="39"/>
    </row>
    <row r="310" spans="1:5">
      <c r="A310" s="39"/>
      <c r="B310" s="53"/>
      <c r="C310" s="39"/>
      <c r="D310" s="39"/>
      <c r="E310" s="39"/>
    </row>
    <row r="311" spans="1:5">
      <c r="A311" s="39"/>
      <c r="B311" s="53"/>
      <c r="C311" s="39"/>
      <c r="D311" s="39"/>
      <c r="E311" s="39"/>
    </row>
    <row r="312" spans="1:5">
      <c r="A312" s="39"/>
      <c r="B312" s="53"/>
      <c r="C312" s="39"/>
      <c r="D312" s="39"/>
      <c r="E312" s="39"/>
    </row>
    <row r="313" spans="1:5">
      <c r="A313" s="39"/>
      <c r="B313" s="53"/>
      <c r="C313" s="39"/>
      <c r="D313" s="39"/>
      <c r="E313" s="39"/>
    </row>
    <row r="314" spans="1:5">
      <c r="A314" s="39"/>
      <c r="B314" s="53"/>
      <c r="C314" s="39"/>
      <c r="D314" s="39"/>
      <c r="E314" s="39"/>
    </row>
    <row r="315" spans="1:5">
      <c r="A315" s="39"/>
      <c r="B315" s="53"/>
      <c r="C315" s="39"/>
      <c r="D315" s="39"/>
      <c r="E315" s="39"/>
    </row>
    <row r="316" spans="1:5">
      <c r="A316" s="39"/>
      <c r="B316" s="53"/>
      <c r="C316" s="39"/>
      <c r="D316" s="39"/>
      <c r="E316" s="39"/>
    </row>
    <row r="317" spans="1:5">
      <c r="A317" s="39"/>
      <c r="B317" s="53"/>
      <c r="C317" s="39"/>
      <c r="D317" s="39"/>
      <c r="E317" s="39"/>
    </row>
    <row r="318" spans="1:5">
      <c r="A318" s="39"/>
      <c r="B318" s="53"/>
      <c r="C318" s="39"/>
      <c r="D318" s="39"/>
      <c r="E318" s="39"/>
    </row>
    <row r="319" spans="1:5">
      <c r="A319" s="39"/>
      <c r="B319" s="53"/>
      <c r="C319" s="39"/>
      <c r="D319" s="39"/>
      <c r="E319" s="39"/>
    </row>
    <row r="320" spans="1:5">
      <c r="A320" s="39"/>
      <c r="B320" s="53"/>
      <c r="C320" s="39"/>
      <c r="D320" s="39"/>
      <c r="E320" s="39"/>
    </row>
    <row r="321" spans="1:5">
      <c r="A321" s="39"/>
      <c r="B321" s="53"/>
      <c r="C321" s="39"/>
      <c r="D321" s="39"/>
      <c r="E321" s="39"/>
    </row>
    <row r="322" spans="1:5">
      <c r="A322" s="39"/>
      <c r="B322" s="53"/>
      <c r="C322" s="39"/>
      <c r="D322" s="39"/>
      <c r="E322" s="39"/>
    </row>
    <row r="323" spans="1:5">
      <c r="A323" s="39"/>
      <c r="B323" s="53"/>
      <c r="C323" s="39"/>
      <c r="D323" s="39"/>
      <c r="E323" s="39"/>
    </row>
    <row r="324" spans="1:5">
      <c r="A324" s="39"/>
      <c r="B324" s="53"/>
      <c r="C324" s="39"/>
      <c r="D324" s="39"/>
      <c r="E324" s="39"/>
    </row>
    <row r="325" spans="1:5">
      <c r="A325" s="39"/>
      <c r="B325" s="53"/>
      <c r="C325" s="39"/>
      <c r="D325" s="39"/>
      <c r="E325" s="39"/>
    </row>
    <row r="326" spans="1:5">
      <c r="A326" s="39"/>
      <c r="B326" s="53"/>
      <c r="C326" s="39"/>
      <c r="D326" s="39"/>
      <c r="E326" s="39"/>
    </row>
    <row r="327" spans="1:5">
      <c r="A327" s="39"/>
      <c r="B327" s="53"/>
      <c r="C327" s="39"/>
      <c r="D327" s="39"/>
      <c r="E327" s="39"/>
    </row>
    <row r="328" spans="1:5">
      <c r="A328" s="39"/>
      <c r="B328" s="53"/>
      <c r="C328" s="39"/>
      <c r="D328" s="39"/>
      <c r="E328" s="39"/>
    </row>
    <row r="329" spans="1:5">
      <c r="A329" s="39"/>
      <c r="B329" s="53"/>
      <c r="C329" s="39"/>
      <c r="D329" s="39"/>
      <c r="E329" s="39"/>
    </row>
    <row r="330" spans="1:5">
      <c r="A330" s="39"/>
      <c r="B330" s="53"/>
      <c r="C330" s="39"/>
      <c r="D330" s="39"/>
      <c r="E330" s="39"/>
    </row>
    <row r="331" spans="1:5">
      <c r="A331" s="39"/>
      <c r="B331" s="53"/>
      <c r="C331" s="39"/>
      <c r="D331" s="39"/>
      <c r="E331" s="39"/>
    </row>
    <row r="332" spans="1:5">
      <c r="A332" s="39"/>
      <c r="B332" s="53"/>
      <c r="C332" s="39"/>
      <c r="D332" s="39"/>
      <c r="E332" s="39"/>
    </row>
    <row r="333" spans="1:5">
      <c r="A333" s="39"/>
      <c r="B333" s="53"/>
      <c r="C333" s="39"/>
      <c r="D333" s="39"/>
      <c r="E333" s="39"/>
    </row>
    <row r="334" spans="1:5">
      <c r="A334" s="39"/>
      <c r="B334" s="53"/>
      <c r="C334" s="39"/>
      <c r="D334" s="39"/>
      <c r="E334" s="39"/>
    </row>
    <row r="335" spans="1:5">
      <c r="A335" s="39"/>
      <c r="B335" s="53"/>
      <c r="C335" s="39"/>
      <c r="D335" s="39"/>
      <c r="E335" s="39"/>
    </row>
    <row r="336" spans="1:5">
      <c r="A336" s="39"/>
      <c r="B336" s="53"/>
      <c r="C336" s="39"/>
      <c r="D336" s="39"/>
      <c r="E336" s="39"/>
    </row>
    <row r="337" spans="1:5">
      <c r="A337" s="39"/>
      <c r="B337" s="53"/>
      <c r="C337" s="39"/>
      <c r="D337" s="39"/>
      <c r="E337" s="39"/>
    </row>
    <row r="338" spans="1:5">
      <c r="A338" s="39"/>
      <c r="B338" s="53"/>
      <c r="C338" s="39"/>
      <c r="D338" s="39"/>
      <c r="E338" s="39"/>
    </row>
    <row r="339" spans="1:5">
      <c r="A339" s="39"/>
      <c r="B339" s="53"/>
      <c r="C339" s="39"/>
      <c r="D339" s="39"/>
      <c r="E339" s="39"/>
    </row>
    <row r="340" spans="1:5">
      <c r="A340" s="39"/>
      <c r="B340" s="53"/>
      <c r="C340" s="39"/>
      <c r="D340" s="39"/>
      <c r="E340" s="39"/>
    </row>
    <row r="341" spans="1:5">
      <c r="A341" s="39"/>
      <c r="B341" s="53"/>
      <c r="C341" s="39"/>
      <c r="D341" s="39"/>
      <c r="E341" s="39"/>
    </row>
    <row r="342" spans="1:5">
      <c r="A342" s="39"/>
      <c r="B342" s="53"/>
      <c r="C342" s="39"/>
      <c r="D342" s="39"/>
      <c r="E342" s="39"/>
    </row>
    <row r="343" spans="1:5">
      <c r="A343" s="39"/>
      <c r="B343" s="53"/>
      <c r="C343" s="39"/>
      <c r="D343" s="39"/>
      <c r="E343" s="39"/>
    </row>
    <row r="344" spans="1:5">
      <c r="A344" s="39"/>
      <c r="B344" s="53"/>
      <c r="C344" s="39"/>
      <c r="D344" s="39"/>
      <c r="E344" s="39"/>
    </row>
    <row r="345" spans="1:5">
      <c r="A345" s="39"/>
      <c r="B345" s="53"/>
      <c r="C345" s="39"/>
      <c r="D345" s="39"/>
      <c r="E345" s="39"/>
    </row>
    <row r="346" spans="1:5">
      <c r="A346" s="39"/>
      <c r="B346" s="53"/>
      <c r="C346" s="39"/>
      <c r="D346" s="39"/>
      <c r="E346" s="39"/>
    </row>
    <row r="347" spans="1:5">
      <c r="A347" s="39"/>
      <c r="B347" s="53"/>
      <c r="C347" s="39"/>
      <c r="D347" s="39"/>
      <c r="E347" s="39"/>
    </row>
    <row r="348" spans="1:5">
      <c r="A348" s="39"/>
      <c r="B348" s="53"/>
      <c r="C348" s="39"/>
      <c r="D348" s="39"/>
      <c r="E348" s="39"/>
    </row>
    <row r="349" spans="1:5">
      <c r="A349" s="39"/>
      <c r="B349" s="53"/>
      <c r="C349" s="39"/>
      <c r="D349" s="39"/>
      <c r="E349" s="39"/>
    </row>
    <row r="350" spans="1:5">
      <c r="A350" s="39"/>
      <c r="B350" s="53"/>
      <c r="C350" s="39"/>
      <c r="D350" s="39"/>
      <c r="E350" s="39"/>
    </row>
    <row r="351" spans="1:5">
      <c r="A351" s="39"/>
      <c r="B351" s="53"/>
      <c r="C351" s="39"/>
      <c r="D351" s="39"/>
      <c r="E351" s="39"/>
    </row>
    <row r="352" spans="1:5">
      <c r="A352" s="39"/>
      <c r="B352" s="53"/>
      <c r="C352" s="39"/>
      <c r="D352" s="39"/>
      <c r="E352" s="39"/>
    </row>
    <row r="353" spans="1:5">
      <c r="A353" s="39"/>
      <c r="B353" s="53"/>
      <c r="C353" s="39"/>
      <c r="D353" s="39"/>
      <c r="E353" s="39"/>
    </row>
    <row r="354" spans="1:5">
      <c r="A354" s="39"/>
      <c r="B354" s="53"/>
      <c r="C354" s="39"/>
      <c r="D354" s="39"/>
      <c r="E354" s="39"/>
    </row>
    <row r="355" spans="1:5">
      <c r="A355" s="39"/>
      <c r="B355" s="53"/>
      <c r="C355" s="39"/>
      <c r="D355" s="39"/>
      <c r="E355" s="39"/>
    </row>
    <row r="356" spans="1:5">
      <c r="A356" s="39"/>
      <c r="B356" s="53"/>
      <c r="C356" s="39"/>
      <c r="D356" s="39"/>
      <c r="E356" s="39"/>
    </row>
    <row r="357" spans="1:5">
      <c r="A357" s="39"/>
      <c r="B357" s="53"/>
      <c r="C357" s="39"/>
      <c r="D357" s="39"/>
      <c r="E357" s="39"/>
    </row>
    <row r="358" spans="1:5">
      <c r="A358" s="39"/>
      <c r="B358" s="53"/>
      <c r="C358" s="39"/>
      <c r="D358" s="39"/>
      <c r="E358" s="39"/>
    </row>
    <row r="359" spans="1:5">
      <c r="A359" s="39"/>
      <c r="B359" s="53"/>
      <c r="C359" s="39"/>
      <c r="D359" s="39"/>
      <c r="E359" s="39"/>
    </row>
    <row r="360" spans="1:5">
      <c r="A360" s="39"/>
      <c r="B360" s="53"/>
      <c r="C360" s="39"/>
      <c r="D360" s="39"/>
      <c r="E360" s="39"/>
    </row>
    <row r="361" spans="1:5">
      <c r="A361" s="39"/>
      <c r="B361" s="53"/>
      <c r="C361" s="39"/>
      <c r="D361" s="39"/>
      <c r="E361" s="39"/>
    </row>
    <row r="362" spans="1:5">
      <c r="A362" s="39"/>
      <c r="B362" s="53"/>
      <c r="C362" s="39"/>
      <c r="D362" s="39"/>
      <c r="E362" s="39"/>
    </row>
    <row r="363" spans="1:5">
      <c r="A363" s="39"/>
      <c r="B363" s="53"/>
      <c r="C363" s="39"/>
      <c r="D363" s="39"/>
      <c r="E363" s="39"/>
    </row>
    <row r="364" spans="1:5">
      <c r="A364" s="39"/>
      <c r="B364" s="53"/>
      <c r="C364" s="39"/>
      <c r="D364" s="39"/>
      <c r="E364" s="39"/>
    </row>
    <row r="365" spans="1:5">
      <c r="A365" s="39"/>
      <c r="B365" s="53"/>
      <c r="C365" s="39"/>
      <c r="D365" s="39"/>
      <c r="E365" s="39"/>
    </row>
    <row r="366" spans="1:5">
      <c r="A366" s="39"/>
      <c r="B366" s="53"/>
      <c r="C366" s="39"/>
      <c r="D366" s="39"/>
      <c r="E366" s="39"/>
    </row>
    <row r="367" spans="1:5">
      <c r="A367" s="39"/>
      <c r="B367" s="53"/>
      <c r="C367" s="39"/>
      <c r="D367" s="39"/>
      <c r="E367" s="39"/>
    </row>
    <row r="368" spans="1:5">
      <c r="A368" s="39"/>
      <c r="B368" s="53"/>
      <c r="C368" s="39"/>
      <c r="D368" s="39"/>
      <c r="E368" s="39"/>
    </row>
    <row r="369" spans="1:5">
      <c r="A369" s="39"/>
      <c r="B369" s="53"/>
      <c r="C369" s="39"/>
      <c r="D369" s="39"/>
      <c r="E369" s="39"/>
    </row>
    <row r="370" spans="1:5">
      <c r="A370" s="39"/>
      <c r="B370" s="53"/>
      <c r="C370" s="39"/>
      <c r="D370" s="39"/>
      <c r="E370" s="39"/>
    </row>
    <row r="371" spans="1:5">
      <c r="A371" s="39"/>
      <c r="B371" s="53"/>
      <c r="C371" s="39"/>
      <c r="D371" s="39"/>
      <c r="E371" s="39"/>
    </row>
    <row r="372" spans="1:5">
      <c r="A372" s="39"/>
      <c r="B372" s="53"/>
      <c r="C372" s="39"/>
      <c r="D372" s="39"/>
      <c r="E372" s="39"/>
    </row>
    <row r="373" spans="1:5">
      <c r="A373" s="39"/>
      <c r="B373" s="53"/>
      <c r="C373" s="39"/>
      <c r="D373" s="39"/>
      <c r="E373" s="39"/>
    </row>
    <row r="374" spans="1:5">
      <c r="A374" s="39"/>
      <c r="B374" s="53"/>
      <c r="C374" s="39"/>
      <c r="D374" s="39"/>
      <c r="E374" s="39"/>
    </row>
    <row r="375" spans="1:5">
      <c r="A375" s="39"/>
      <c r="B375" s="53"/>
      <c r="C375" s="39"/>
      <c r="D375" s="39"/>
      <c r="E375" s="39"/>
    </row>
    <row r="376" spans="1:5">
      <c r="A376" s="39"/>
      <c r="B376" s="53"/>
      <c r="C376" s="39"/>
      <c r="D376" s="39"/>
      <c r="E376" s="39"/>
    </row>
    <row r="377" spans="1:5">
      <c r="A377" s="39"/>
      <c r="B377" s="53"/>
      <c r="C377" s="39"/>
      <c r="D377" s="39"/>
      <c r="E377" s="39"/>
    </row>
    <row r="378" spans="1:5">
      <c r="A378" s="39"/>
      <c r="B378" s="53"/>
      <c r="C378" s="39"/>
      <c r="D378" s="39"/>
      <c r="E378" s="39"/>
    </row>
    <row r="379" spans="1:5">
      <c r="A379" s="39"/>
      <c r="B379" s="53"/>
      <c r="C379" s="39"/>
      <c r="D379" s="39"/>
      <c r="E379" s="39"/>
    </row>
    <row r="380" spans="1:5">
      <c r="A380" s="39"/>
      <c r="B380" s="53"/>
      <c r="C380" s="39"/>
      <c r="D380" s="39"/>
      <c r="E380" s="39"/>
    </row>
    <row r="381" spans="1:5">
      <c r="A381" s="39"/>
      <c r="B381" s="53"/>
      <c r="C381" s="39"/>
      <c r="D381" s="39"/>
      <c r="E381" s="39"/>
    </row>
    <row r="382" spans="1:5">
      <c r="A382" s="39"/>
      <c r="B382" s="53"/>
      <c r="C382" s="39"/>
      <c r="D382" s="39"/>
      <c r="E382" s="39"/>
    </row>
    <row r="383" spans="1:5">
      <c r="A383" s="39"/>
      <c r="B383" s="53"/>
      <c r="C383" s="39"/>
      <c r="D383" s="39"/>
      <c r="E383" s="39"/>
    </row>
    <row r="384" spans="1:5">
      <c r="A384" s="39"/>
      <c r="B384" s="53"/>
      <c r="C384" s="39"/>
      <c r="D384" s="39"/>
      <c r="E384" s="39"/>
    </row>
    <row r="385" spans="1:5">
      <c r="A385" s="39"/>
      <c r="B385" s="53"/>
      <c r="C385" s="39"/>
      <c r="D385" s="39"/>
      <c r="E385" s="39"/>
    </row>
    <row r="386" spans="1:5">
      <c r="A386" s="39"/>
      <c r="B386" s="53"/>
      <c r="C386" s="39"/>
      <c r="D386" s="39"/>
      <c r="E386" s="39"/>
    </row>
    <row r="387" spans="1:5">
      <c r="A387" s="39"/>
      <c r="B387" s="53"/>
      <c r="C387" s="39"/>
      <c r="D387" s="39"/>
      <c r="E387" s="39"/>
    </row>
    <row r="388" spans="1:5">
      <c r="A388" s="39"/>
      <c r="B388" s="53"/>
      <c r="C388" s="39"/>
      <c r="D388" s="39"/>
      <c r="E388" s="39"/>
    </row>
    <row r="389" spans="1:5">
      <c r="A389" s="39"/>
      <c r="B389" s="53"/>
      <c r="C389" s="39"/>
      <c r="D389" s="39"/>
      <c r="E389" s="39"/>
    </row>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dimension ref="A1:J7"/>
  <sheetViews>
    <sheetView zoomScale="112" workbookViewId="0">
      <selection activeCell="A7" sqref="A7"/>
    </sheetView>
  </sheetViews>
  <sheetFormatPr defaultColWidth="11" defaultRowHeight="15.9"/>
  <cols>
    <col min="2" max="2" width="8.2109375" customWidth="1"/>
    <col min="3" max="3" width="18.140625" bestFit="1" customWidth="1"/>
    <col min="4" max="5" width="19.2109375" bestFit="1" customWidth="1"/>
  </cols>
  <sheetData>
    <row r="1" spans="1:10">
      <c r="B1" s="238" t="s">
        <v>932</v>
      </c>
      <c r="C1" s="181" t="s">
        <v>804</v>
      </c>
      <c r="D1" s="184" t="s">
        <v>944</v>
      </c>
      <c r="E1" s="184" t="s">
        <v>933</v>
      </c>
      <c r="G1" s="163" t="s">
        <v>934</v>
      </c>
      <c r="H1" s="163" t="s">
        <v>941</v>
      </c>
      <c r="I1" s="163" t="s">
        <v>943</v>
      </c>
      <c r="J1" s="163" t="s">
        <v>942</v>
      </c>
    </row>
    <row r="2" spans="1:10">
      <c r="B2" s="1"/>
      <c r="C2" s="1"/>
      <c r="D2" s="1"/>
      <c r="E2" s="1"/>
      <c r="G2" s="1"/>
    </row>
    <row r="3" spans="1:10">
      <c r="B3" s="238" t="s">
        <v>721</v>
      </c>
      <c r="C3" s="98">
        <f>'[1]Oil Production'!D186</f>
        <v>254906.96250656055</v>
      </c>
      <c r="D3" s="237">
        <f>'Liquids Type Curve'!E202</f>
        <v>113047.50347419146</v>
      </c>
      <c r="E3" s="237">
        <f>'Gas Type Curve'!E209/6</f>
        <v>349533.53949117224</v>
      </c>
      <c r="G3" s="243">
        <f>SUM(C3:E3)</f>
        <v>717488.00547192432</v>
      </c>
      <c r="H3" s="12">
        <f>C3/$G$3</f>
        <v>0.35527696708866474</v>
      </c>
      <c r="I3" s="12">
        <f t="shared" ref="I3:J3" si="0">D3/$G$3</f>
        <v>0.15756013008166597</v>
      </c>
      <c r="J3" s="12">
        <f t="shared" si="0"/>
        <v>0.48716290282966923</v>
      </c>
    </row>
    <row r="4" spans="1:10">
      <c r="B4" s="163"/>
      <c r="C4" s="98"/>
      <c r="D4" s="98"/>
      <c r="E4" s="237"/>
      <c r="G4" s="243"/>
      <c r="H4" s="164"/>
      <c r="I4" s="164"/>
      <c r="J4" s="164"/>
    </row>
    <row r="5" spans="1:10">
      <c r="B5" s="163" t="s">
        <v>722</v>
      </c>
      <c r="C5" s="98">
        <f>'[1]Oil Production'!D126</f>
        <v>199509.53008309266</v>
      </c>
      <c r="D5" s="237">
        <f>'Liquids Type Curve'!E142</f>
        <v>101296.32542785221</v>
      </c>
      <c r="E5" s="237">
        <f>'Gas Type Curve'!E149/6</f>
        <v>300151.21604933002</v>
      </c>
      <c r="G5" s="243">
        <f>SUM(C5:E5)</f>
        <v>600957.07156027481</v>
      </c>
      <c r="H5" s="12">
        <f>C5/$G$5</f>
        <v>0.33198632568729536</v>
      </c>
      <c r="I5" s="12">
        <f t="shared" ref="I5:J5" si="1">D5/$G$5</f>
        <v>0.1685583383932148</v>
      </c>
      <c r="J5" s="12">
        <f t="shared" si="1"/>
        <v>0.49945533591948993</v>
      </c>
    </row>
    <row r="6" spans="1:10">
      <c r="B6" s="35"/>
      <c r="C6" s="3"/>
      <c r="D6" s="3"/>
      <c r="E6" s="242"/>
      <c r="G6" s="243"/>
      <c r="H6" s="164"/>
      <c r="I6" s="164"/>
      <c r="J6" s="164"/>
    </row>
    <row r="7" spans="1:10">
      <c r="A7" s="209" t="s">
        <v>935</v>
      </c>
      <c r="B7" s="35" t="s">
        <v>970</v>
      </c>
      <c r="C7" s="98">
        <f>'[1]Oil Production'!D102</f>
        <v>174186.76326374654</v>
      </c>
      <c r="D7" s="237">
        <f>'Liquids Type Curve'!E118</f>
        <v>94974.158609567443</v>
      </c>
      <c r="E7" s="237">
        <f>'Gas Type Curve'!E125/6</f>
        <v>275403.05369440099</v>
      </c>
      <c r="G7" s="243">
        <f>SUM(C7:E7)</f>
        <v>544563.97556771501</v>
      </c>
      <c r="H7" s="12">
        <f>C7/$G$7</f>
        <v>0.31986464598976561</v>
      </c>
      <c r="I7" s="12">
        <f t="shared" ref="I7:J7" si="2">D7/$G$7</f>
        <v>0.17440404226253794</v>
      </c>
      <c r="J7" s="12">
        <f t="shared" si="2"/>
        <v>0.50573131174769637</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6"/>
  <dimension ref="A1:C20"/>
  <sheetViews>
    <sheetView workbookViewId="0">
      <selection activeCell="F15" sqref="F15"/>
    </sheetView>
  </sheetViews>
  <sheetFormatPr defaultColWidth="11" defaultRowHeight="15.9"/>
  <cols>
    <col min="1" max="1" width="6.35546875" bestFit="1" customWidth="1"/>
    <col min="2" max="2" width="11.35546875" bestFit="1" customWidth="1"/>
    <col min="3" max="3" width="8.85546875" bestFit="1" customWidth="1"/>
  </cols>
  <sheetData>
    <row r="1" spans="1:3">
      <c r="A1" s="163" t="s">
        <v>940</v>
      </c>
      <c r="B1" s="163" t="s">
        <v>938</v>
      </c>
      <c r="C1" s="163" t="s">
        <v>939</v>
      </c>
    </row>
    <row r="2" spans="1:3">
      <c r="A2" s="51">
        <f>B2+B4+B6</f>
        <v>442.35477115027027</v>
      </c>
      <c r="B2" s="51">
        <f>'[1]Oil Production'!D7/30</f>
        <v>247.16952055173795</v>
      </c>
      <c r="C2" s="12">
        <f>(B2+B4)/A2</f>
        <v>0.68531830069413491</v>
      </c>
    </row>
    <row r="3" spans="1:3">
      <c r="B3" s="163" t="s">
        <v>937</v>
      </c>
    </row>
    <row r="4" spans="1:3">
      <c r="B4" s="51">
        <f>'Liquids Type Curve'!E18/30</f>
        <v>55.984299516908187</v>
      </c>
    </row>
    <row r="5" spans="1:3">
      <c r="B5" s="163" t="s">
        <v>936</v>
      </c>
    </row>
    <row r="6" spans="1:3">
      <c r="B6" s="51">
        <f>('Gas Type Curve'!E18/6)/30</f>
        <v>139.20095108162408</v>
      </c>
    </row>
    <row r="8" spans="1:3">
      <c r="A8" s="56" t="s">
        <v>729</v>
      </c>
      <c r="B8" s="163" t="s">
        <v>938</v>
      </c>
      <c r="C8" s="163" t="s">
        <v>939</v>
      </c>
    </row>
    <row r="9" spans="1:3">
      <c r="A9" s="51">
        <f>B9+B11+B13</f>
        <v>645.87314804022549</v>
      </c>
      <c r="B9" s="51">
        <f>'[1]Oil Production'!D9/90</f>
        <v>196.27789845702225</v>
      </c>
      <c r="C9" s="12">
        <f>(B9+B11)/A9</f>
        <v>0.5218467752912973</v>
      </c>
    </row>
    <row r="10" spans="1:3">
      <c r="B10" s="163" t="s">
        <v>937</v>
      </c>
    </row>
    <row r="11" spans="1:3">
      <c r="B11" s="51">
        <f>'Liquids Type Curve'!E23/90</f>
        <v>140.76892109500807</v>
      </c>
    </row>
    <row r="12" spans="1:3">
      <c r="B12" s="163" t="s">
        <v>936</v>
      </c>
    </row>
    <row r="13" spans="1:3">
      <c r="B13" s="51">
        <f>('Gas Type Curve'!E24/6)/90</f>
        <v>308.8263284881952</v>
      </c>
    </row>
    <row r="15" spans="1:3">
      <c r="A15" s="163"/>
      <c r="B15" s="163"/>
      <c r="C15" s="163"/>
    </row>
    <row r="16" spans="1:3">
      <c r="A16" s="51"/>
      <c r="B16" s="51"/>
      <c r="C16" s="12"/>
    </row>
    <row r="17" spans="2:2">
      <c r="B17" s="163"/>
    </row>
    <row r="18" spans="2:2">
      <c r="B18" s="51"/>
    </row>
    <row r="19" spans="2:2">
      <c r="B19" s="163"/>
    </row>
    <row r="20" spans="2:2">
      <c r="B20" s="51"/>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7"/>
  <dimension ref="A1:H247"/>
  <sheetViews>
    <sheetView zoomScaleNormal="100" workbookViewId="0">
      <selection activeCell="C8" sqref="C8"/>
    </sheetView>
  </sheetViews>
  <sheetFormatPr defaultRowHeight="15.9"/>
  <cols>
    <col min="3" max="3" width="12.35546875" bestFit="1" customWidth="1"/>
    <col min="5" max="6" width="12.35546875" bestFit="1" customWidth="1"/>
    <col min="7" max="7" width="13.140625" bestFit="1" customWidth="1"/>
    <col min="8" max="8" width="11.5" bestFit="1" customWidth="1"/>
  </cols>
  <sheetData>
    <row r="1" spans="1:8">
      <c r="A1" s="248" t="s">
        <v>780</v>
      </c>
      <c r="B1" s="131" t="s">
        <v>779</v>
      </c>
      <c r="C1" s="262" t="s">
        <v>790</v>
      </c>
      <c r="F1" s="248" t="s">
        <v>790</v>
      </c>
    </row>
    <row r="2" spans="1:8">
      <c r="A2" s="248"/>
      <c r="B2" s="35"/>
      <c r="C2" s="262" t="s">
        <v>764</v>
      </c>
      <c r="F2" s="248" t="s">
        <v>764</v>
      </c>
      <c r="G2" s="248" t="s">
        <v>922</v>
      </c>
      <c r="H2" s="248" t="s">
        <v>781</v>
      </c>
    </row>
    <row r="3" spans="1:8">
      <c r="A3" s="249"/>
      <c r="E3">
        <v>0</v>
      </c>
      <c r="F3" s="261">
        <f>SUM(C8:C19)</f>
        <v>2544728.4083336955</v>
      </c>
      <c r="G3" s="72">
        <f>NAV!BF45</f>
        <v>-3750000</v>
      </c>
    </row>
    <row r="4" spans="1:8">
      <c r="A4" s="249"/>
      <c r="E4">
        <v>1</v>
      </c>
      <c r="F4" s="261">
        <f>SUM(C20:C31)</f>
        <v>956510.57027529343</v>
      </c>
    </row>
    <row r="5" spans="1:8">
      <c r="A5" s="249"/>
      <c r="E5">
        <v>2</v>
      </c>
      <c r="F5" s="261">
        <f>SUM(C32:C43)</f>
        <v>586664.45597248664</v>
      </c>
    </row>
    <row r="6" spans="1:8">
      <c r="A6" s="249"/>
      <c r="E6">
        <v>3</v>
      </c>
      <c r="F6" s="261">
        <f>SUM(C44:C55)</f>
        <v>447524.54864710208</v>
      </c>
    </row>
    <row r="7" spans="1:8">
      <c r="A7" s="249"/>
      <c r="B7" s="47"/>
      <c r="E7">
        <v>4</v>
      </c>
      <c r="F7" s="261">
        <f>SUM(C56:C67)</f>
        <v>349292.69990062399</v>
      </c>
    </row>
    <row r="8" spans="1:8">
      <c r="A8" s="210">
        <v>1</v>
      </c>
      <c r="B8" s="210">
        <v>0</v>
      </c>
      <c r="C8" s="133">
        <v>344095.57752486097</v>
      </c>
      <c r="E8">
        <v>5</v>
      </c>
      <c r="F8" s="261">
        <f>SUM(C68:C79)</f>
        <v>279061.10211528995</v>
      </c>
    </row>
    <row r="9" spans="1:8">
      <c r="A9" s="210">
        <v>2</v>
      </c>
      <c r="B9" s="210">
        <v>0</v>
      </c>
      <c r="C9" s="133">
        <v>274118.87118895142</v>
      </c>
      <c r="E9">
        <v>6</v>
      </c>
      <c r="F9" s="261">
        <f>SUM(C80:C91)</f>
        <v>229352.72167710442</v>
      </c>
    </row>
    <row r="10" spans="1:8">
      <c r="A10" s="210">
        <v>3</v>
      </c>
      <c r="B10" s="210">
        <v>0</v>
      </c>
      <c r="C10" s="133">
        <v>243394.11022537862</v>
      </c>
      <c r="E10">
        <v>7</v>
      </c>
      <c r="F10" s="261">
        <f>SUM(C92:C103)</f>
        <v>194382.20482752688</v>
      </c>
    </row>
    <row r="11" spans="1:8">
      <c r="A11" s="210">
        <v>4</v>
      </c>
      <c r="B11" s="210">
        <v>0</v>
      </c>
      <c r="C11" s="133">
        <v>226038.24802599018</v>
      </c>
      <c r="E11">
        <v>8</v>
      </c>
      <c r="F11" s="261">
        <f>SUM(C103:C114)</f>
        <v>168406.82251866921</v>
      </c>
    </row>
    <row r="12" spans="1:8">
      <c r="A12" s="210">
        <v>5</v>
      </c>
      <c r="B12" s="210">
        <v>0</v>
      </c>
      <c r="C12" s="133">
        <v>213846.99368203746</v>
      </c>
      <c r="E12">
        <v>9</v>
      </c>
      <c r="H12" s="260" t="e">
        <f>NAV!BG153/(1+0.1)^NAV!AL153</f>
        <v>#REF!</v>
      </c>
    </row>
    <row r="13" spans="1:8">
      <c r="A13" s="210">
        <v>6</v>
      </c>
      <c r="B13" s="210">
        <v>0</v>
      </c>
      <c r="C13" s="133">
        <v>205972.09723962675</v>
      </c>
      <c r="F13" s="72"/>
    </row>
    <row r="14" spans="1:8">
      <c r="A14" s="210">
        <v>7</v>
      </c>
      <c r="B14" s="210">
        <v>0</v>
      </c>
      <c r="C14" s="133">
        <v>197393.87585127098</v>
      </c>
    </row>
    <row r="15" spans="1:8">
      <c r="A15" s="210">
        <v>8</v>
      </c>
      <c r="B15" s="210">
        <v>0</v>
      </c>
      <c r="C15" s="133">
        <v>191723.27435721696</v>
      </c>
    </row>
    <row r="16" spans="1:8">
      <c r="A16" s="210">
        <v>9</v>
      </c>
      <c r="B16" s="210">
        <v>0</v>
      </c>
      <c r="C16" s="133">
        <v>184999.82880315126</v>
      </c>
    </row>
    <row r="17" spans="1:3">
      <c r="A17" s="210">
        <v>10</v>
      </c>
      <c r="B17" s="210">
        <v>0</v>
      </c>
      <c r="C17" s="133">
        <v>181369.93568931171</v>
      </c>
    </row>
    <row r="18" spans="1:3">
      <c r="A18" s="210">
        <v>11</v>
      </c>
      <c r="B18" s="210">
        <v>0</v>
      </c>
      <c r="C18" s="133">
        <v>181231.44443240532</v>
      </c>
    </row>
    <row r="19" spans="1:3">
      <c r="A19" s="146">
        <v>12</v>
      </c>
      <c r="B19" s="146">
        <v>1</v>
      </c>
      <c r="C19" s="133">
        <v>100544.15131349362</v>
      </c>
    </row>
    <row r="20" spans="1:3">
      <c r="A20" s="146">
        <v>13</v>
      </c>
      <c r="B20" s="146">
        <v>1</v>
      </c>
      <c r="C20" s="133">
        <v>96452.677522809536</v>
      </c>
    </row>
    <row r="21" spans="1:3">
      <c r="A21" s="146">
        <v>13.999999999999998</v>
      </c>
      <c r="B21" s="146">
        <v>1</v>
      </c>
      <c r="C21" s="133">
        <v>92046.26390224346</v>
      </c>
    </row>
    <row r="22" spans="1:3">
      <c r="A22" s="146">
        <v>14.999999999999996</v>
      </c>
      <c r="B22" s="146">
        <v>1</v>
      </c>
      <c r="C22" s="133">
        <v>88952.60879431892</v>
      </c>
    </row>
    <row r="23" spans="1:3">
      <c r="A23" s="146">
        <v>15.999999999999996</v>
      </c>
      <c r="B23" s="146">
        <v>1</v>
      </c>
      <c r="C23" s="133">
        <v>86326.207143122301</v>
      </c>
    </row>
    <row r="24" spans="1:3">
      <c r="A24" s="146">
        <v>16.999999999999996</v>
      </c>
      <c r="B24" s="146">
        <v>1</v>
      </c>
      <c r="C24" s="133">
        <v>83849.219026053761</v>
      </c>
    </row>
    <row r="25" spans="1:3">
      <c r="A25" s="146">
        <v>17.999999999999993</v>
      </c>
      <c r="B25" s="146">
        <v>1</v>
      </c>
      <c r="C25" s="133">
        <v>81491.216302475339</v>
      </c>
    </row>
    <row r="26" spans="1:3">
      <c r="A26" s="146">
        <v>18.999999999999993</v>
      </c>
      <c r="B26" s="146">
        <v>1</v>
      </c>
      <c r="C26" s="133">
        <v>79288.438721399332</v>
      </c>
    </row>
    <row r="27" spans="1:3">
      <c r="A27" s="146">
        <v>19.999999999999993</v>
      </c>
      <c r="B27" s="146">
        <v>1</v>
      </c>
      <c r="C27" s="133">
        <v>77341.458854428769</v>
      </c>
    </row>
    <row r="28" spans="1:3">
      <c r="A28" s="146">
        <v>20.999999999999993</v>
      </c>
      <c r="B28" s="146">
        <v>1</v>
      </c>
      <c r="C28" s="133">
        <v>75586.739057332336</v>
      </c>
    </row>
    <row r="29" spans="1:3">
      <c r="A29" s="146">
        <v>21.999999999999993</v>
      </c>
      <c r="B29" s="146">
        <v>1</v>
      </c>
      <c r="C29" s="133">
        <v>74230.037487826005</v>
      </c>
    </row>
    <row r="30" spans="1:3">
      <c r="A30" s="146">
        <v>22.999999999999989</v>
      </c>
      <c r="B30" s="146">
        <v>1</v>
      </c>
      <c r="C30" s="133">
        <v>64408.050124281879</v>
      </c>
    </row>
    <row r="31" spans="1:3">
      <c r="A31" s="146">
        <v>23.999999999999989</v>
      </c>
      <c r="B31" s="146">
        <v>1.9999999999999991</v>
      </c>
      <c r="C31" s="133">
        <v>56537.653339001794</v>
      </c>
    </row>
    <row r="32" spans="1:3">
      <c r="A32" s="146">
        <v>24.999999999999993</v>
      </c>
      <c r="B32" s="146">
        <v>1.9999999999999991</v>
      </c>
      <c r="C32" s="133">
        <v>54988.862997636046</v>
      </c>
    </row>
    <row r="33" spans="1:3">
      <c r="A33" s="146">
        <v>25.999999999999993</v>
      </c>
      <c r="B33" s="146">
        <v>1.9999999999999991</v>
      </c>
      <c r="C33" s="133">
        <v>53300.439985769</v>
      </c>
    </row>
    <row r="34" spans="1:3">
      <c r="A34" s="146">
        <v>26.999999999999993</v>
      </c>
      <c r="B34" s="146">
        <v>1.9999999999999991</v>
      </c>
      <c r="C34" s="133">
        <v>51701.222426782202</v>
      </c>
    </row>
    <row r="35" spans="1:3">
      <c r="A35" s="146">
        <v>27.999999999999996</v>
      </c>
      <c r="B35" s="146">
        <v>1.9999999999999991</v>
      </c>
      <c r="C35" s="133">
        <v>50782.400030366662</v>
      </c>
    </row>
    <row r="36" spans="1:3">
      <c r="A36" s="146">
        <v>29</v>
      </c>
      <c r="B36" s="146">
        <v>1.9999999999999991</v>
      </c>
      <c r="C36" s="133">
        <v>49884.98901665103</v>
      </c>
    </row>
    <row r="37" spans="1:3">
      <c r="A37" s="146">
        <v>30</v>
      </c>
      <c r="B37" s="146">
        <v>1.9999999999999991</v>
      </c>
      <c r="C37" s="133">
        <v>48978.718081405685</v>
      </c>
    </row>
    <row r="38" spans="1:3">
      <c r="A38" s="146">
        <v>31</v>
      </c>
      <c r="B38" s="146">
        <v>1.9999999999999991</v>
      </c>
      <c r="C38" s="133">
        <v>48087.661169642532</v>
      </c>
    </row>
    <row r="39" spans="1:3">
      <c r="A39" s="146">
        <v>32</v>
      </c>
      <c r="B39" s="146">
        <v>1.9999999999999991</v>
      </c>
      <c r="C39" s="133">
        <v>47296.866947587245</v>
      </c>
    </row>
    <row r="40" spans="1:3">
      <c r="A40" s="146">
        <v>33.000000000000007</v>
      </c>
      <c r="B40" s="146">
        <v>1.9999999999999991</v>
      </c>
      <c r="C40" s="133">
        <v>46588.212682552505</v>
      </c>
    </row>
    <row r="41" spans="1:3">
      <c r="A41" s="146">
        <v>34.000000000000007</v>
      </c>
      <c r="B41" s="146">
        <v>1.9999999999999991</v>
      </c>
      <c r="C41" s="133">
        <v>46137.747290265484</v>
      </c>
    </row>
    <row r="42" spans="1:3">
      <c r="A42" s="146">
        <v>35.000000000000007</v>
      </c>
      <c r="B42" s="146">
        <v>1.9999999999999991</v>
      </c>
      <c r="C42" s="133">
        <v>47189.796948358162</v>
      </c>
    </row>
    <row r="43" spans="1:3">
      <c r="A43" s="146">
        <v>36.000000000000014</v>
      </c>
      <c r="B43" s="146">
        <v>3.0000000000000009</v>
      </c>
      <c r="C43" s="133">
        <v>41727.538395470059</v>
      </c>
    </row>
    <row r="44" spans="1:3">
      <c r="A44" s="146">
        <v>37.000000000000014</v>
      </c>
      <c r="B44" s="146">
        <v>3.0000000000000009</v>
      </c>
      <c r="C44" s="133">
        <v>40869.810226501329</v>
      </c>
    </row>
    <row r="45" spans="1:3">
      <c r="A45" s="146">
        <v>38.000000000000014</v>
      </c>
      <c r="B45" s="146">
        <v>3.0000000000000009</v>
      </c>
      <c r="C45" s="133">
        <v>39867.987720847617</v>
      </c>
    </row>
    <row r="46" spans="1:3">
      <c r="A46" s="146">
        <v>39.000000000000014</v>
      </c>
      <c r="B46" s="146">
        <v>3.0000000000000009</v>
      </c>
      <c r="C46" s="133">
        <v>39212.471284934742</v>
      </c>
    </row>
    <row r="47" spans="1:3">
      <c r="A47" s="146">
        <v>40.000000000000014</v>
      </c>
      <c r="B47" s="146">
        <v>3.0000000000000009</v>
      </c>
      <c r="C47" s="133">
        <v>38663.463106372059</v>
      </c>
    </row>
    <row r="48" spans="1:3">
      <c r="A48" s="146">
        <v>41.000000000000021</v>
      </c>
      <c r="B48" s="146">
        <v>3.0000000000000009</v>
      </c>
      <c r="C48" s="133">
        <v>38122.825031396962</v>
      </c>
    </row>
    <row r="49" spans="1:3">
      <c r="A49" s="146">
        <v>42.000000000000021</v>
      </c>
      <c r="B49" s="146">
        <v>3.0000000000000009</v>
      </c>
      <c r="C49" s="133">
        <v>37572.559135510543</v>
      </c>
    </row>
    <row r="50" spans="1:3">
      <c r="A50" s="146">
        <v>43.000000000000021</v>
      </c>
      <c r="B50" s="146">
        <v>3.0000000000000009</v>
      </c>
      <c r="C50" s="133">
        <v>37028.960210963174</v>
      </c>
    </row>
    <row r="51" spans="1:3">
      <c r="A51" s="146">
        <v>44.000000000000028</v>
      </c>
      <c r="B51" s="146">
        <v>3.0000000000000009</v>
      </c>
      <c r="C51" s="133">
        <v>36537.850841126608</v>
      </c>
    </row>
    <row r="52" spans="1:3">
      <c r="A52" s="146">
        <v>45.000000000000028</v>
      </c>
      <c r="B52" s="146">
        <v>3.0000000000000009</v>
      </c>
      <c r="C52" s="133">
        <v>36117.607382202455</v>
      </c>
    </row>
    <row r="53" spans="1:3">
      <c r="A53" s="146">
        <v>46.000000000000028</v>
      </c>
      <c r="B53" s="146">
        <v>3.0000000000000009</v>
      </c>
      <c r="C53" s="133">
        <v>35824.225688388091</v>
      </c>
    </row>
    <row r="54" spans="1:3">
      <c r="A54" s="146">
        <v>47.000000000000028</v>
      </c>
      <c r="B54" s="146">
        <v>3.0000000000000009</v>
      </c>
      <c r="C54" s="133">
        <v>35871.998434420755</v>
      </c>
    </row>
    <row r="55" spans="1:3">
      <c r="A55" s="146">
        <v>48.000000000000028</v>
      </c>
      <c r="B55" s="146">
        <v>4.0000000000000027</v>
      </c>
      <c r="C55" s="133">
        <v>31834.789584437724</v>
      </c>
    </row>
    <row r="56" spans="1:3">
      <c r="A56" s="146">
        <v>49.000000000000028</v>
      </c>
      <c r="B56" s="146">
        <v>4.0000000000000027</v>
      </c>
      <c r="C56" s="133">
        <v>31314.843743596324</v>
      </c>
    </row>
    <row r="57" spans="1:3">
      <c r="A57" s="146">
        <v>50.000000000000028</v>
      </c>
      <c r="B57" s="146">
        <v>4.0000000000000027</v>
      </c>
      <c r="C57" s="133">
        <v>30691.290368594648</v>
      </c>
    </row>
    <row r="58" spans="1:3">
      <c r="A58" s="146">
        <v>51.000000000000021</v>
      </c>
      <c r="B58" s="146">
        <v>4.0000000000000027</v>
      </c>
      <c r="C58" s="133">
        <v>30313.037562342339</v>
      </c>
    </row>
    <row r="59" spans="1:3">
      <c r="A59" s="146">
        <v>52.000000000000014</v>
      </c>
      <c r="B59" s="146">
        <v>4.0000000000000027</v>
      </c>
      <c r="C59" s="133">
        <v>29986.004862115056</v>
      </c>
    </row>
    <row r="60" spans="1:3">
      <c r="A60" s="146">
        <v>53.000000000000014</v>
      </c>
      <c r="B60" s="146">
        <v>4.0000000000000027</v>
      </c>
      <c r="C60" s="133">
        <v>29669.709507788426</v>
      </c>
    </row>
    <row r="61" spans="1:3">
      <c r="A61" s="146">
        <v>54.000000000000014</v>
      </c>
      <c r="B61" s="146">
        <v>4.0000000000000027</v>
      </c>
      <c r="C61" s="133">
        <v>29341.783543709611</v>
      </c>
    </row>
    <row r="62" spans="1:3">
      <c r="A62" s="146">
        <v>55.000000000000007</v>
      </c>
      <c r="B62" s="146">
        <v>4.0000000000000027</v>
      </c>
      <c r="C62" s="133">
        <v>29018.301824801572</v>
      </c>
    </row>
    <row r="63" spans="1:3">
      <c r="A63" s="146">
        <v>56</v>
      </c>
      <c r="B63" s="146">
        <v>4.0000000000000027</v>
      </c>
      <c r="C63" s="133">
        <v>28727.590613495973</v>
      </c>
    </row>
    <row r="64" spans="1:3">
      <c r="A64" s="146">
        <v>57</v>
      </c>
      <c r="B64" s="146">
        <v>4.0000000000000027</v>
      </c>
      <c r="C64" s="133">
        <v>28482.510327179516</v>
      </c>
    </row>
    <row r="65" spans="1:3">
      <c r="A65" s="146">
        <v>58</v>
      </c>
      <c r="B65" s="146">
        <v>4.0000000000000027</v>
      </c>
      <c r="C65" s="133">
        <v>28330.799879381084</v>
      </c>
    </row>
    <row r="66" spans="1:3">
      <c r="A66" s="146">
        <v>58.999999999999993</v>
      </c>
      <c r="B66" s="146">
        <v>4.0000000000000027</v>
      </c>
      <c r="C66" s="133">
        <v>28270.10650393831</v>
      </c>
    </row>
    <row r="67" spans="1:3">
      <c r="A67" s="146">
        <v>59.999999999999986</v>
      </c>
      <c r="B67" s="146">
        <v>4.9999999999999991</v>
      </c>
      <c r="C67" s="133">
        <v>25146.721163681101</v>
      </c>
    </row>
    <row r="68" spans="1:3">
      <c r="A68" s="146">
        <v>60.999999999999986</v>
      </c>
      <c r="B68" s="146">
        <v>4.9999999999999991</v>
      </c>
      <c r="C68" s="133">
        <v>24784.609022475313</v>
      </c>
    </row>
    <row r="69" spans="1:3">
      <c r="A69" s="146">
        <v>61.999999999999986</v>
      </c>
      <c r="B69" s="146">
        <v>4.9999999999999991</v>
      </c>
      <c r="C69" s="133">
        <v>24334.629003032231</v>
      </c>
    </row>
    <row r="70" spans="1:3">
      <c r="A70" s="146">
        <v>62.999999999999979</v>
      </c>
      <c r="B70" s="146">
        <v>4.9999999999999991</v>
      </c>
      <c r="C70" s="133">
        <v>24068.929296983602</v>
      </c>
    </row>
    <row r="71" spans="1:3">
      <c r="A71" s="146">
        <v>63.999999999999972</v>
      </c>
      <c r="B71" s="146">
        <v>4.9999999999999991</v>
      </c>
      <c r="C71" s="133">
        <v>23861.765959619846</v>
      </c>
    </row>
    <row r="72" spans="1:3">
      <c r="A72" s="146">
        <v>64.999999999999972</v>
      </c>
      <c r="B72" s="146">
        <v>4.9999999999999991</v>
      </c>
      <c r="C72" s="133">
        <v>23655.190032848943</v>
      </c>
    </row>
    <row r="73" spans="1:3">
      <c r="A73" s="146">
        <v>65.999999999999972</v>
      </c>
      <c r="B73" s="146">
        <v>4.9999999999999991</v>
      </c>
      <c r="C73" s="133">
        <v>23433.351403971454</v>
      </c>
    </row>
    <row r="74" spans="1:3">
      <c r="A74" s="146">
        <v>66.999999999999972</v>
      </c>
      <c r="B74" s="146">
        <v>4.9999999999999991</v>
      </c>
      <c r="C74" s="133">
        <v>23209.525857639455</v>
      </c>
    </row>
    <row r="75" spans="1:3">
      <c r="A75" s="146">
        <v>67.999999999999957</v>
      </c>
      <c r="B75" s="146">
        <v>4.9999999999999991</v>
      </c>
      <c r="C75" s="133">
        <v>23010.803312744443</v>
      </c>
    </row>
    <row r="76" spans="1:3">
      <c r="A76" s="146">
        <v>68.999999999999957</v>
      </c>
      <c r="B76" s="146">
        <v>4.9999999999999991</v>
      </c>
      <c r="C76" s="133">
        <v>22854.566546118996</v>
      </c>
    </row>
    <row r="77" spans="1:3">
      <c r="A77" s="146">
        <v>69.999999999999957</v>
      </c>
      <c r="B77" s="146">
        <v>4.9999999999999991</v>
      </c>
      <c r="C77" s="133">
        <v>22776.816214285278</v>
      </c>
    </row>
    <row r="78" spans="1:3">
      <c r="A78" s="146">
        <v>70.999999999999943</v>
      </c>
      <c r="B78" s="146">
        <v>4.9999999999999991</v>
      </c>
      <c r="C78" s="133">
        <v>22775.384819953062</v>
      </c>
    </row>
    <row r="79" spans="1:3">
      <c r="A79" s="146">
        <v>71.999999999999943</v>
      </c>
      <c r="B79" s="146">
        <v>5.9999999999999956</v>
      </c>
      <c r="C79" s="133">
        <v>20295.530645617313</v>
      </c>
    </row>
    <row r="80" spans="1:3">
      <c r="A80" s="146">
        <v>72.999999999999943</v>
      </c>
      <c r="B80" s="146">
        <v>5.9999999999999956</v>
      </c>
      <c r="C80" s="133">
        <v>20075.456471119396</v>
      </c>
    </row>
    <row r="81" spans="1:3">
      <c r="A81" s="146">
        <v>73.999999999999943</v>
      </c>
      <c r="B81" s="146">
        <v>5.9999999999999956</v>
      </c>
      <c r="C81" s="133">
        <v>19764.358482703276</v>
      </c>
    </row>
    <row r="82" spans="1:3">
      <c r="A82" s="146">
        <v>74.999999999999943</v>
      </c>
      <c r="B82" s="146">
        <v>5.9999999999999956</v>
      </c>
      <c r="C82" s="133">
        <v>19582.030924378516</v>
      </c>
    </row>
    <row r="83" spans="1:3">
      <c r="A83" s="146">
        <v>75.999999999999929</v>
      </c>
      <c r="B83" s="146">
        <v>5.9999999999999956</v>
      </c>
      <c r="C83" s="133">
        <v>19434.680620286763</v>
      </c>
    </row>
    <row r="84" spans="1:3">
      <c r="A84" s="146">
        <v>76.999999999999929</v>
      </c>
      <c r="B84" s="146">
        <v>5.9999999999999956</v>
      </c>
      <c r="C84" s="133">
        <v>19332.536018229599</v>
      </c>
    </row>
    <row r="85" spans="1:3">
      <c r="A85" s="146">
        <v>77.999999999999929</v>
      </c>
      <c r="B85" s="146">
        <v>5.9999999999999956</v>
      </c>
      <c r="C85" s="133">
        <v>19228.91888565215</v>
      </c>
    </row>
    <row r="86" spans="1:3">
      <c r="A86" s="146">
        <v>78.999999999999915</v>
      </c>
      <c r="B86" s="146">
        <v>5.9999999999999956</v>
      </c>
      <c r="C86" s="133">
        <v>19112.661790580863</v>
      </c>
    </row>
    <row r="87" spans="1:3">
      <c r="A87" s="146">
        <v>79.999999999999915</v>
      </c>
      <c r="B87" s="146">
        <v>5.9999999999999956</v>
      </c>
      <c r="C87" s="133">
        <v>19016.051917435027</v>
      </c>
    </row>
    <row r="88" spans="1:3">
      <c r="A88" s="146">
        <v>80.999999999999915</v>
      </c>
      <c r="B88" s="146">
        <v>5.9999999999999956</v>
      </c>
      <c r="C88" s="133">
        <v>18960.052699219574</v>
      </c>
    </row>
    <row r="89" spans="1:3">
      <c r="A89" s="146">
        <v>81.999999999999915</v>
      </c>
      <c r="B89" s="146">
        <v>5.9999999999999956</v>
      </c>
      <c r="C89" s="133">
        <v>18940.328080357893</v>
      </c>
    </row>
    <row r="90" spans="1:3">
      <c r="A90" s="146">
        <v>82.999999999999915</v>
      </c>
      <c r="B90" s="146">
        <v>5.9999999999999956</v>
      </c>
      <c r="C90" s="133">
        <v>18951.814905713905</v>
      </c>
    </row>
    <row r="91" spans="1:3">
      <c r="A91" s="146">
        <v>83.999999999999901</v>
      </c>
      <c r="B91" s="146">
        <v>6.999999999999992</v>
      </c>
      <c r="C91" s="133">
        <v>16953.830881427464</v>
      </c>
    </row>
    <row r="92" spans="1:3">
      <c r="A92" s="146">
        <v>84.999999999999901</v>
      </c>
      <c r="B92" s="146">
        <v>6.999999999999992</v>
      </c>
      <c r="C92" s="133">
        <v>16818.575337210528</v>
      </c>
    </row>
    <row r="93" spans="1:3">
      <c r="A93" s="146">
        <v>85.999999999999901</v>
      </c>
      <c r="B93" s="146">
        <v>6.999999999999992</v>
      </c>
      <c r="C93" s="133">
        <v>16617.221243491073</v>
      </c>
    </row>
    <row r="94" spans="1:3">
      <c r="A94" s="146">
        <v>86.999999999999886</v>
      </c>
      <c r="B94" s="146">
        <v>6.999999999999992</v>
      </c>
      <c r="C94" s="133">
        <v>16518.80047215223</v>
      </c>
    </row>
    <row r="95" spans="1:3">
      <c r="A95" s="146">
        <v>87.999999999999886</v>
      </c>
      <c r="B95" s="146">
        <v>6.999999999999992</v>
      </c>
      <c r="C95" s="133">
        <v>16441.682113922488</v>
      </c>
    </row>
    <row r="96" spans="1:3">
      <c r="A96" s="146">
        <v>88.999999999999886</v>
      </c>
      <c r="B96" s="146">
        <v>6.999999999999992</v>
      </c>
      <c r="C96" s="133">
        <v>16383.648648983872</v>
      </c>
    </row>
    <row r="97" spans="1:3">
      <c r="A97" s="146">
        <v>89.999999999999886</v>
      </c>
      <c r="B97" s="146">
        <v>6.999999999999992</v>
      </c>
      <c r="C97" s="133">
        <v>16309.438231819548</v>
      </c>
    </row>
    <row r="98" spans="1:3">
      <c r="A98" s="146">
        <v>90.999999999999886</v>
      </c>
      <c r="B98" s="146">
        <v>6.999999999999992</v>
      </c>
      <c r="C98" s="133">
        <v>16230.716025657284</v>
      </c>
    </row>
    <row r="99" spans="1:3">
      <c r="A99" s="146">
        <v>91.999999999999872</v>
      </c>
      <c r="B99" s="146">
        <v>6.999999999999992</v>
      </c>
      <c r="C99" s="133">
        <v>16167.811306037471</v>
      </c>
    </row>
    <row r="100" spans="1:3">
      <c r="A100" s="146">
        <v>92.999999999999872</v>
      </c>
      <c r="B100" s="146">
        <v>6.999999999999992</v>
      </c>
      <c r="C100" s="133">
        <v>16134.259945696012</v>
      </c>
    </row>
    <row r="101" spans="1:3">
      <c r="A101" s="146">
        <v>93.999999999999872</v>
      </c>
      <c r="B101" s="146">
        <v>6.999999999999992</v>
      </c>
      <c r="C101" s="133">
        <v>16126.061637574525</v>
      </c>
    </row>
    <row r="102" spans="1:3">
      <c r="A102" s="146">
        <v>94.999999999999858</v>
      </c>
      <c r="B102" s="146">
        <v>6.999999999999992</v>
      </c>
      <c r="C102" s="133">
        <v>16167.07757226755</v>
      </c>
    </row>
    <row r="103" spans="1:3">
      <c r="A103" s="146">
        <v>95.999999999999858</v>
      </c>
      <c r="B103" s="146">
        <v>7.9999999999999885</v>
      </c>
      <c r="C103" s="133">
        <v>14466.912292714291</v>
      </c>
    </row>
    <row r="104" spans="1:3">
      <c r="A104" s="146">
        <v>96.999999999999858</v>
      </c>
      <c r="B104" s="146">
        <v>7.9999999999999885</v>
      </c>
      <c r="C104" s="133">
        <v>14362.528529267325</v>
      </c>
    </row>
    <row r="105" spans="1:3">
      <c r="A105" s="146">
        <v>97.999999999999858</v>
      </c>
      <c r="B105" s="146">
        <v>7.9999999999999885</v>
      </c>
      <c r="C105" s="133">
        <v>14192.312821571086</v>
      </c>
    </row>
    <row r="106" spans="1:3">
      <c r="A106" s="146">
        <v>98.999999999999872</v>
      </c>
      <c r="B106" s="146">
        <v>7.9999999999999885</v>
      </c>
      <c r="C106" s="133">
        <v>14115.026079409206</v>
      </c>
    </row>
    <row r="107" spans="1:3">
      <c r="A107" s="146">
        <v>99.999999999999886</v>
      </c>
      <c r="B107" s="146">
        <v>7.9999999999999885</v>
      </c>
      <c r="C107" s="133">
        <v>14057.335588664095</v>
      </c>
    </row>
    <row r="108" spans="1:3">
      <c r="A108" s="146">
        <v>100.99999999999989</v>
      </c>
      <c r="B108" s="146">
        <v>7.9999999999999885</v>
      </c>
      <c r="C108" s="133">
        <v>14013.306468828596</v>
      </c>
    </row>
    <row r="109" spans="1:3">
      <c r="A109" s="146">
        <v>101.99999999999989</v>
      </c>
      <c r="B109" s="146">
        <v>7.9999999999999885</v>
      </c>
      <c r="C109" s="133">
        <v>13957.330613441824</v>
      </c>
    </row>
    <row r="110" spans="1:3">
      <c r="A110" s="146">
        <v>102.9999999999999</v>
      </c>
      <c r="B110" s="146">
        <v>7.9999999999999885</v>
      </c>
      <c r="C110" s="133">
        <v>13894.549917725346</v>
      </c>
    </row>
    <row r="111" spans="1:3">
      <c r="A111" s="146">
        <v>103.99999999999991</v>
      </c>
      <c r="B111" s="146">
        <v>7.9999999999999885</v>
      </c>
      <c r="C111" s="133">
        <v>13846.796967885053</v>
      </c>
    </row>
    <row r="112" spans="1:3">
      <c r="A112" s="146">
        <v>104.99999999999991</v>
      </c>
      <c r="B112" s="146">
        <v>7.9999999999999885</v>
      </c>
      <c r="C112" s="133">
        <v>13822.33287011693</v>
      </c>
    </row>
    <row r="113" spans="1:3">
      <c r="A113" s="146">
        <v>105.99999999999991</v>
      </c>
      <c r="B113" s="146">
        <v>7.9999999999999885</v>
      </c>
      <c r="C113" s="133">
        <v>13827.4970522365</v>
      </c>
    </row>
    <row r="114" spans="1:3" ht="16.3" thickBot="1">
      <c r="A114" s="166">
        <v>106.99999999999993</v>
      </c>
      <c r="B114" s="166">
        <v>7.9999999999999885</v>
      </c>
      <c r="C114" s="167">
        <v>13850.893316808961</v>
      </c>
    </row>
    <row r="115" spans="1:3">
      <c r="A115" s="146">
        <v>107.99999999999994</v>
      </c>
      <c r="B115" s="146">
        <v>8.9999999999999947</v>
      </c>
      <c r="C115" s="133">
        <v>12401.748171272828</v>
      </c>
    </row>
    <row r="116" spans="1:3">
      <c r="A116" s="146"/>
      <c r="B116" s="146"/>
      <c r="C116" s="133">
        <v>13291.038447332763</v>
      </c>
    </row>
    <row r="117" spans="1:3">
      <c r="A117" s="146"/>
      <c r="B117" s="146"/>
      <c r="C117" s="133">
        <v>13140.92142393432</v>
      </c>
    </row>
    <row r="118" spans="1:3">
      <c r="A118" s="146"/>
      <c r="B118" s="146"/>
      <c r="C118" s="133">
        <v>13082.99076733017</v>
      </c>
    </row>
    <row r="119" spans="1:3">
      <c r="A119" s="146"/>
      <c r="B119" s="146"/>
      <c r="C119" s="133">
        <v>13044.900279252981</v>
      </c>
    </row>
    <row r="120" spans="1:3">
      <c r="A120" s="146"/>
      <c r="B120" s="146"/>
      <c r="C120" s="133">
        <v>13011.188746621598</v>
      </c>
    </row>
    <row r="121" spans="1:3">
      <c r="A121" s="146"/>
      <c r="B121" s="146"/>
      <c r="C121" s="133">
        <v>12978.024947956254</v>
      </c>
    </row>
    <row r="122" spans="1:3">
      <c r="A122" s="146"/>
      <c r="B122" s="146"/>
      <c r="C122" s="133">
        <v>12935.339508698771</v>
      </c>
    </row>
    <row r="123" spans="1:3">
      <c r="A123" s="146"/>
      <c r="B123" s="146"/>
      <c r="C123" s="133">
        <v>12905.519577275465</v>
      </c>
    </row>
    <row r="124" spans="1:3">
      <c r="A124" s="146"/>
      <c r="B124" s="146"/>
      <c r="C124" s="133">
        <v>12883.545832150636</v>
      </c>
    </row>
    <row r="125" spans="1:3">
      <c r="A125" s="146"/>
      <c r="B125" s="146"/>
      <c r="C125" s="133">
        <v>12893.052656225971</v>
      </c>
    </row>
    <row r="126" spans="1:3">
      <c r="A126" s="146"/>
      <c r="B126" s="146"/>
      <c r="C126" s="133">
        <v>12891.66079490863</v>
      </c>
    </row>
    <row r="127" spans="1:3">
      <c r="A127" s="146"/>
      <c r="B127" s="146"/>
      <c r="C127" s="133">
        <v>11557.87819062842</v>
      </c>
    </row>
    <row r="128" spans="1:3">
      <c r="A128" s="146"/>
      <c r="B128" s="146"/>
      <c r="C128" s="133">
        <v>11622.200578102935</v>
      </c>
    </row>
    <row r="129" spans="1:3">
      <c r="A129" s="146"/>
      <c r="B129" s="146"/>
      <c r="C129" s="133">
        <v>11487.150352054427</v>
      </c>
    </row>
    <row r="130" spans="1:3">
      <c r="A130" s="146"/>
      <c r="B130" s="146"/>
      <c r="C130" s="133">
        <v>11441.919134658123</v>
      </c>
    </row>
    <row r="131" spans="1:3">
      <c r="A131" s="146"/>
      <c r="B131" s="146"/>
      <c r="C131" s="133">
        <v>11414.0018336148</v>
      </c>
    </row>
    <row r="132" spans="1:3">
      <c r="A132" s="146"/>
      <c r="B132" s="146"/>
      <c r="C132" s="133">
        <v>11389.69249917231</v>
      </c>
    </row>
    <row r="133" spans="1:3">
      <c r="A133" s="146"/>
      <c r="B133" s="146"/>
      <c r="C133" s="133">
        <v>11365.753847258347</v>
      </c>
    </row>
    <row r="134" spans="1:3">
      <c r="A134" s="146"/>
      <c r="B134" s="146"/>
      <c r="C134" s="133">
        <v>11334.285106035113</v>
      </c>
    </row>
    <row r="135" spans="1:3">
      <c r="A135" s="146"/>
      <c r="B135" s="146"/>
      <c r="C135" s="133">
        <v>11312.992287636695</v>
      </c>
    </row>
    <row r="136" spans="1:3">
      <c r="A136" s="146"/>
      <c r="B136" s="146"/>
      <c r="C136" s="133">
        <v>11300.144937896004</v>
      </c>
    </row>
    <row r="137" spans="1:3">
      <c r="A137" s="146"/>
      <c r="B137" s="146"/>
      <c r="C137" s="133">
        <v>11312.373948722239</v>
      </c>
    </row>
    <row r="138" spans="1:3">
      <c r="A138" s="146"/>
      <c r="B138" s="146"/>
      <c r="C138" s="133">
        <v>11317.76608174938</v>
      </c>
    </row>
    <row r="139" spans="1:3">
      <c r="A139" s="146"/>
      <c r="B139" s="146"/>
      <c r="C139" s="133">
        <v>10151.878271114312</v>
      </c>
    </row>
    <row r="140" spans="1:3">
      <c r="A140" s="146"/>
      <c r="B140" s="146"/>
      <c r="C140" s="133">
        <v>10214.522272829638</v>
      </c>
    </row>
    <row r="141" spans="1:3">
      <c r="A141" s="146"/>
      <c r="B141" s="146"/>
      <c r="C141" s="133">
        <v>10099.513274787007</v>
      </c>
    </row>
    <row r="142" spans="1:3">
      <c r="A142" s="146"/>
      <c r="B142" s="146"/>
      <c r="C142" s="133">
        <v>10064.130711670607</v>
      </c>
    </row>
    <row r="143" spans="1:3">
      <c r="A143" s="146"/>
      <c r="B143" s="146"/>
      <c r="C143" s="133">
        <v>10044.776655540902</v>
      </c>
    </row>
    <row r="144" spans="1:3">
      <c r="A144" s="146"/>
      <c r="B144" s="146"/>
      <c r="C144" s="133">
        <v>10027.053923777128</v>
      </c>
    </row>
    <row r="145" spans="1:3">
      <c r="A145" s="146"/>
      <c r="B145" s="146"/>
      <c r="C145" s="133">
        <v>10009.582738169418</v>
      </c>
    </row>
    <row r="146" spans="1:3">
      <c r="A146" s="146"/>
      <c r="B146" s="146"/>
      <c r="C146" s="133">
        <v>9985.62570030606</v>
      </c>
    </row>
    <row r="147" spans="1:3">
      <c r="A147" s="146"/>
      <c r="B147" s="146"/>
      <c r="C147" s="133">
        <v>9970.2838132091038</v>
      </c>
    </row>
    <row r="148" spans="1:3">
      <c r="A148" s="146"/>
      <c r="B148" s="146"/>
      <c r="C148" s="133">
        <v>9962.0930358166897</v>
      </c>
    </row>
    <row r="149" spans="1:3">
      <c r="A149" s="146"/>
      <c r="B149" s="146"/>
      <c r="C149" s="133">
        <v>9976.0650720126814</v>
      </c>
    </row>
    <row r="150" spans="1:3">
      <c r="A150" s="146"/>
      <c r="B150" s="146"/>
      <c r="C150" s="133">
        <v>9983.3638542936933</v>
      </c>
    </row>
    <row r="151" spans="1:3">
      <c r="A151" s="146"/>
      <c r="B151" s="146"/>
      <c r="C151" s="133">
        <v>8958.6115634771322</v>
      </c>
    </row>
    <row r="152" spans="1:3">
      <c r="A152" s="146"/>
      <c r="B152" s="146"/>
      <c r="C152" s="133">
        <v>9018.2034384270155</v>
      </c>
    </row>
    <row r="153" spans="1:3">
      <c r="A153" s="146"/>
      <c r="B153" s="146"/>
      <c r="C153" s="133">
        <v>8921.3731524709656</v>
      </c>
    </row>
    <row r="154" spans="1:3">
      <c r="A154" s="146"/>
      <c r="B154" s="146"/>
      <c r="C154" s="133">
        <v>8893.299148432794</v>
      </c>
    </row>
    <row r="155" spans="1:3">
      <c r="A155" s="146"/>
      <c r="B155" s="146"/>
      <c r="C155" s="133">
        <v>8878.892872985738</v>
      </c>
    </row>
    <row r="156" spans="1:3">
      <c r="A156" s="146"/>
      <c r="B156" s="146"/>
      <c r="C156" s="133">
        <v>8865.8377741579843</v>
      </c>
    </row>
    <row r="157" spans="1:3">
      <c r="A157" s="146"/>
      <c r="B157" s="146"/>
      <c r="C157" s="133">
        <v>8852.9537208040692</v>
      </c>
    </row>
    <row r="158" spans="1:3">
      <c r="A158" s="146"/>
      <c r="B158" s="146"/>
      <c r="C158" s="133">
        <v>8834.4647091097868</v>
      </c>
    </row>
    <row r="159" spans="1:3">
      <c r="A159" s="146"/>
      <c r="B159" s="146"/>
      <c r="C159" s="133">
        <v>8823.3183163448721</v>
      </c>
    </row>
    <row r="160" spans="1:3">
      <c r="A160" s="146"/>
      <c r="B160" s="146"/>
      <c r="C160" s="133">
        <v>8818.267761267789</v>
      </c>
    </row>
    <row r="161" spans="1:3">
      <c r="A161" s="146"/>
      <c r="B161" s="146"/>
      <c r="C161" s="133">
        <v>8832.2079755389786</v>
      </c>
    </row>
    <row r="162" spans="1:3">
      <c r="A162" s="146"/>
      <c r="B162" s="146"/>
      <c r="C162" s="133">
        <v>8759.699739546204</v>
      </c>
    </row>
    <row r="163" spans="1:3">
      <c r="A163" s="146"/>
      <c r="B163" s="146"/>
      <c r="C163" s="133">
        <v>7869.7938659240617</v>
      </c>
    </row>
    <row r="164" spans="1:3">
      <c r="A164" s="146"/>
      <c r="B164" s="146"/>
      <c r="C164" s="133">
        <v>7939.1658248374197</v>
      </c>
    </row>
    <row r="165" spans="1:3">
      <c r="A165" s="146"/>
      <c r="B165" s="146"/>
      <c r="C165" s="133">
        <v>7920.8062937145833</v>
      </c>
    </row>
    <row r="166" spans="1:3">
      <c r="A166" s="146"/>
      <c r="B166" s="146"/>
      <c r="C166" s="133">
        <v>7902.6443718067558</v>
      </c>
    </row>
    <row r="167" spans="1:3">
      <c r="A167" s="146"/>
      <c r="B167" s="146"/>
      <c r="C167" s="133">
        <v>7884.6764248852051</v>
      </c>
    </row>
    <row r="168" spans="1:3">
      <c r="A168" s="146"/>
      <c r="B168" s="146"/>
      <c r="C168" s="133">
        <v>7866.8988995299396</v>
      </c>
    </row>
    <row r="169" spans="1:3">
      <c r="A169" s="146"/>
      <c r="B169" s="146"/>
      <c r="C169" s="133">
        <v>7849.3083211998519</v>
      </c>
    </row>
    <row r="170" spans="1:3">
      <c r="A170" s="146"/>
      <c r="B170" s="146"/>
      <c r="C170" s="133">
        <v>7831.9012923501668</v>
      </c>
    </row>
    <row r="171" spans="1:3">
      <c r="A171" s="146"/>
      <c r="B171" s="146"/>
      <c r="C171" s="133">
        <v>7814.6744905961141</v>
      </c>
    </row>
    <row r="172" spans="1:3">
      <c r="A172" s="146"/>
      <c r="B172" s="146"/>
      <c r="C172" s="133">
        <v>7797.6246669217144</v>
      </c>
    </row>
    <row r="173" spans="1:3">
      <c r="A173" s="146"/>
      <c r="B173" s="146"/>
      <c r="C173" s="133">
        <v>7780.7486439324712</v>
      </c>
    </row>
    <row r="174" spans="1:3">
      <c r="A174" s="146"/>
      <c r="B174" s="146"/>
      <c r="C174" s="133">
        <v>7788.1564494129234</v>
      </c>
    </row>
    <row r="175" spans="1:3">
      <c r="A175" s="146"/>
      <c r="B175" s="146"/>
      <c r="C175" s="133">
        <v>7076.9422480889007</v>
      </c>
    </row>
    <row r="176" spans="1:3">
      <c r="A176" s="146"/>
      <c r="B176" s="146"/>
      <c r="C176" s="133">
        <v>7062.073398165624</v>
      </c>
    </row>
    <row r="177" spans="1:3">
      <c r="A177" s="146"/>
      <c r="B177" s="146"/>
      <c r="C177" s="133">
        <v>7047.3510164296422</v>
      </c>
    </row>
    <row r="178" spans="1:3">
      <c r="A178" s="146"/>
      <c r="B178" s="146"/>
      <c r="C178" s="133">
        <v>7032.7725309395064</v>
      </c>
    </row>
    <row r="179" spans="1:3">
      <c r="A179" s="146"/>
      <c r="B179" s="146"/>
      <c r="C179" s="133">
        <v>7018.3354257650026</v>
      </c>
    </row>
    <row r="180" spans="1:3">
      <c r="A180" s="146"/>
      <c r="B180" s="146"/>
      <c r="C180" s="133">
        <v>7004.0372396633238</v>
      </c>
    </row>
    <row r="181" spans="1:3">
      <c r="A181" s="146"/>
      <c r="B181" s="146"/>
      <c r="C181" s="133">
        <v>6989.8755647875914</v>
      </c>
    </row>
    <row r="182" spans="1:3">
      <c r="A182" s="146"/>
      <c r="B182" s="146"/>
      <c r="C182" s="133">
        <v>6975.8480454268911</v>
      </c>
    </row>
    <row r="183" spans="1:3">
      <c r="A183" s="146"/>
      <c r="B183" s="146"/>
      <c r="C183" s="133">
        <v>6961.9523767771243</v>
      </c>
    </row>
    <row r="184" spans="1:3">
      <c r="A184" s="146"/>
      <c r="B184" s="146"/>
      <c r="C184" s="133">
        <v>6948.1863037417843</v>
      </c>
    </row>
    <row r="185" spans="1:3">
      <c r="A185" s="146"/>
      <c r="B185" s="146"/>
      <c r="C185" s="133">
        <v>6934.547619762111</v>
      </c>
    </row>
    <row r="186" spans="1:3">
      <c r="A186" s="146"/>
      <c r="B186" s="146"/>
      <c r="C186" s="133">
        <v>7032.8569452244528</v>
      </c>
    </row>
    <row r="187" spans="1:3">
      <c r="A187" s="146"/>
      <c r="B187" s="146"/>
      <c r="C187" s="133">
        <v>6322.1102183666508</v>
      </c>
    </row>
    <row r="188" spans="1:3">
      <c r="A188" s="146"/>
      <c r="B188" s="145"/>
      <c r="C188" s="133">
        <v>29578.944319480644</v>
      </c>
    </row>
    <row r="189" spans="1:3">
      <c r="A189" s="146"/>
      <c r="B189" s="145"/>
      <c r="C189" s="133">
        <v>29518.5725592587</v>
      </c>
    </row>
    <row r="190" spans="1:3">
      <c r="A190" s="146"/>
      <c r="B190" s="145"/>
      <c r="C190" s="133">
        <v>29458.737266435972</v>
      </c>
    </row>
    <row r="191" spans="1:3">
      <c r="A191" s="146"/>
      <c r="B191" s="145"/>
      <c r="C191" s="133">
        <v>29399.429762946085</v>
      </c>
    </row>
    <row r="192" spans="1:3">
      <c r="A192" s="146"/>
      <c r="B192" s="145"/>
      <c r="C192" s="133">
        <v>29340.641552809226</v>
      </c>
    </row>
    <row r="193" spans="1:3">
      <c r="A193" s="146"/>
      <c r="B193" s="145"/>
      <c r="C193" s="133">
        <v>29282.36431783505</v>
      </c>
    </row>
    <row r="194" spans="1:3">
      <c r="A194" s="146"/>
      <c r="B194" s="145"/>
      <c r="C194" s="133">
        <v>29224.589913433978</v>
      </c>
    </row>
    <row r="195" spans="1:3">
      <c r="A195" s="146"/>
      <c r="B195" s="145"/>
      <c r="C195" s="133">
        <v>29167.310364534285</v>
      </c>
    </row>
    <row r="196" spans="1:3">
      <c r="A196" s="146"/>
      <c r="B196" s="145"/>
      <c r="C196" s="133">
        <v>29110.517861601693</v>
      </c>
    </row>
    <row r="197" spans="1:3">
      <c r="A197" s="146"/>
      <c r="B197" s="145"/>
      <c r="C197" s="133">
        <v>29054.204756759056</v>
      </c>
    </row>
    <row r="198" spans="1:3">
      <c r="A198" s="146"/>
      <c r="B198" s="145"/>
      <c r="C198" s="133">
        <v>29452.310474027901</v>
      </c>
    </row>
    <row r="199" spans="1:3">
      <c r="A199" s="146"/>
      <c r="B199" s="145"/>
      <c r="C199" s="133">
        <v>5667.6212325588576</v>
      </c>
    </row>
    <row r="200" spans="1:3">
      <c r="A200" s="146"/>
      <c r="B200" s="145"/>
      <c r="C200" s="133">
        <v>29340.234580353394</v>
      </c>
    </row>
    <row r="201" spans="1:3">
      <c r="A201" s="146"/>
      <c r="B201" s="145"/>
      <c r="C201" s="133">
        <v>29284.884859786733</v>
      </c>
    </row>
    <row r="202" spans="1:3">
      <c r="A202" s="146"/>
      <c r="B202" s="145"/>
      <c r="C202" s="133">
        <v>29229.98461979931</v>
      </c>
    </row>
    <row r="203" spans="1:3">
      <c r="A203" s="146"/>
      <c r="B203" s="145"/>
      <c r="C203" s="133">
        <v>29175.527035448504</v>
      </c>
    </row>
    <row r="204" spans="1:3">
      <c r="A204" s="146"/>
      <c r="B204" s="145"/>
      <c r="C204" s="133">
        <v>29121.50542004998</v>
      </c>
    </row>
    <row r="205" spans="1:3">
      <c r="A205" s="146"/>
      <c r="B205" s="145"/>
      <c r="C205" s="133">
        <v>29067.913221982813</v>
      </c>
    </row>
    <row r="206" spans="1:3">
      <c r="A206" s="146"/>
      <c r="B206" s="145"/>
      <c r="C206" s="133">
        <v>29014.74402157381</v>
      </c>
    </row>
    <row r="207" spans="1:3">
      <c r="A207" s="146"/>
      <c r="B207" s="145"/>
      <c r="C207" s="133">
        <v>28961.991528059174</v>
      </c>
    </row>
    <row r="208" spans="1:3">
      <c r="A208" s="146"/>
      <c r="B208" s="145"/>
      <c r="C208" s="133">
        <v>28909.649576621377</v>
      </c>
    </row>
    <row r="209" spans="1:3">
      <c r="A209" s="146"/>
      <c r="B209" s="145"/>
      <c r="C209" s="133">
        <v>29229.960164774395</v>
      </c>
    </row>
    <row r="210" spans="1:3">
      <c r="A210" s="146"/>
      <c r="B210" s="145"/>
      <c r="C210" s="133">
        <v>29252.885165305586</v>
      </c>
    </row>
    <row r="211" spans="1:3">
      <c r="A211" s="146"/>
      <c r="B211" s="145"/>
      <c r="C211" s="133">
        <v>5089.6102017808062</v>
      </c>
    </row>
    <row r="212" spans="1:3">
      <c r="A212" s="146"/>
      <c r="B212" s="145"/>
      <c r="C212" s="133">
        <v>29149.329716230914</v>
      </c>
    </row>
    <row r="213" spans="1:3">
      <c r="A213" s="146"/>
      <c r="B213" s="145"/>
      <c r="C213" s="133">
        <v>29098.135066002433</v>
      </c>
    </row>
    <row r="214" spans="1:3">
      <c r="A214" s="146"/>
      <c r="B214" s="145"/>
      <c r="C214" s="133">
        <v>29047.321726181301</v>
      </c>
    </row>
    <row r="215" spans="1:3">
      <c r="A215" s="146"/>
      <c r="B215" s="145"/>
      <c r="C215" s="133">
        <v>28996.884278152043</v>
      </c>
    </row>
    <row r="216" spans="1:3">
      <c r="A216" s="146"/>
      <c r="B216" s="145"/>
      <c r="C216" s="133">
        <v>28946.817408937321</v>
      </c>
    </row>
    <row r="217" spans="1:3">
      <c r="A217" s="146"/>
      <c r="B217" s="145"/>
      <c r="C217" s="133">
        <v>28897.11590881096</v>
      </c>
    </row>
    <row r="218" spans="1:3">
      <c r="A218" s="146"/>
      <c r="B218" s="145"/>
      <c r="C218" s="133">
        <v>28847.774668969105</v>
      </c>
    </row>
    <row r="219" spans="1:3">
      <c r="A219" s="146"/>
      <c r="B219" s="145"/>
      <c r="C219" s="133">
        <v>28798.788679258229</v>
      </c>
    </row>
    <row r="220" spans="1:3">
      <c r="A220" s="146"/>
      <c r="B220" s="145"/>
      <c r="C220" s="133">
        <v>28750.153025958429</v>
      </c>
    </row>
    <row r="221" spans="1:3">
      <c r="A221" s="146"/>
      <c r="B221" s="145"/>
      <c r="C221" s="133">
        <v>29142.740458634657</v>
      </c>
    </row>
    <row r="222" spans="1:3">
      <c r="A222" s="146"/>
      <c r="B222" s="145"/>
      <c r="C222" s="133">
        <v>29094.01550313046</v>
      </c>
    </row>
    <row r="223" spans="1:3">
      <c r="A223" s="146"/>
      <c r="B223" s="145"/>
      <c r="C223" s="133">
        <v>4577.0684886771633</v>
      </c>
    </row>
    <row r="224" spans="1:3">
      <c r="A224" s="146"/>
      <c r="B224" s="145"/>
      <c r="C224" s="133">
        <v>28997.583828785886</v>
      </c>
    </row>
    <row r="225" spans="1:3">
      <c r="A225" s="146"/>
      <c r="B225" s="145"/>
      <c r="C225" s="133">
        <v>28949.86799685983</v>
      </c>
    </row>
    <row r="226" spans="1:3">
      <c r="A226" s="146"/>
      <c r="B226" s="145"/>
      <c r="C226" s="133">
        <v>28902.479569273324</v>
      </c>
    </row>
    <row r="227" spans="1:3">
      <c r="A227" s="146"/>
      <c r="B227" s="145"/>
      <c r="C227" s="133">
        <v>28855.414200986517</v>
      </c>
    </row>
    <row r="228" spans="1:3">
      <c r="A228" s="146"/>
      <c r="B228" s="145"/>
      <c r="C228" s="133">
        <v>28808.667628209743</v>
      </c>
    </row>
    <row r="229" spans="1:3">
      <c r="A229" s="146"/>
      <c r="B229" s="145"/>
      <c r="C229" s="133">
        <v>28762.23566661137</v>
      </c>
    </row>
    <row r="230" spans="1:3">
      <c r="A230" s="146"/>
      <c r="B230" s="145"/>
      <c r="C230" s="133">
        <v>28716.114209568506</v>
      </c>
    </row>
    <row r="231" spans="1:3">
      <c r="A231" s="146"/>
      <c r="B231" s="145"/>
      <c r="C231" s="133">
        <v>28670.299226459883</v>
      </c>
    </row>
    <row r="232" spans="1:3">
      <c r="A232" s="146"/>
      <c r="B232" s="145"/>
      <c r="C232" s="133">
        <v>29060.270351196123</v>
      </c>
    </row>
    <row r="233" spans="1:3">
      <c r="A233" s="146"/>
      <c r="B233" s="145"/>
      <c r="C233" s="133">
        <v>29014.32744604152</v>
      </c>
    </row>
    <row r="234" spans="1:3">
      <c r="A234" s="146"/>
      <c r="B234" s="145"/>
      <c r="C234" s="133">
        <v>28968.683650526655</v>
      </c>
    </row>
    <row r="235" spans="1:3">
      <c r="A235" s="146"/>
      <c r="B235" s="145"/>
      <c r="C235" s="133">
        <v>4121.0606986791481</v>
      </c>
    </row>
    <row r="236" spans="1:3">
      <c r="A236" s="146"/>
      <c r="B236" s="145"/>
      <c r="C236" s="133">
        <v>28878.278312165163</v>
      </c>
    </row>
    <row r="237" spans="1:3">
      <c r="A237" s="146"/>
      <c r="B237" s="145"/>
      <c r="C237" s="133">
        <v>28833.50940140125</v>
      </c>
    </row>
    <row r="238" spans="1:3">
      <c r="A238" s="146"/>
      <c r="B238" s="145"/>
      <c r="C238" s="133">
        <v>28789.02486150102</v>
      </c>
    </row>
    <row r="239" spans="1:3">
      <c r="A239" s="146"/>
      <c r="B239" s="145"/>
      <c r="C239" s="133">
        <v>28744.82117215671</v>
      </c>
    </row>
    <row r="240" spans="1:3">
      <c r="A240" s="146"/>
      <c r="B240" s="145"/>
      <c r="C240" s="133">
        <v>28700.894875994025</v>
      </c>
    </row>
    <row r="241" spans="1:3">
      <c r="A241" s="146"/>
      <c r="B241" s="145"/>
      <c r="C241" s="133">
        <v>28657.242577219877</v>
      </c>
    </row>
    <row r="242" spans="1:3">
      <c r="A242" s="146"/>
      <c r="B242" s="145"/>
      <c r="C242" s="133">
        <v>28613.860940302031</v>
      </c>
    </row>
    <row r="243" spans="1:3">
      <c r="A243" s="146"/>
      <c r="B243" s="145"/>
      <c r="C243" s="133">
        <v>28570.746688679719</v>
      </c>
    </row>
    <row r="244" spans="1:3">
      <c r="A244" s="146"/>
      <c r="B244" s="145"/>
      <c r="C244" s="133">
        <v>28957.682357187376</v>
      </c>
    </row>
    <row r="245" spans="1:3">
      <c r="A245" s="146"/>
      <c r="B245" s="145"/>
      <c r="C245" s="133">
        <v>28914.409748323575</v>
      </c>
    </row>
    <row r="246" spans="1:3">
      <c r="A246" s="146"/>
      <c r="B246" s="145"/>
      <c r="C246" s="133">
        <v>28871.3988556679</v>
      </c>
    </row>
    <row r="247" spans="1:3">
      <c r="A247" s="146"/>
      <c r="B247" s="145"/>
      <c r="C247" s="133">
        <v>3714.2290440448846</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BK290"/>
  <sheetViews>
    <sheetView topLeftCell="B68" zoomScale="57" zoomScaleNormal="57" workbookViewId="0">
      <selection activeCell="B130" sqref="B130"/>
    </sheetView>
  </sheetViews>
  <sheetFormatPr defaultColWidth="11" defaultRowHeight="15.9"/>
  <cols>
    <col min="1" max="1" width="0" hidden="1" customWidth="1"/>
    <col min="2" max="2" width="18.140625" customWidth="1"/>
    <col min="3" max="3" width="6.640625" customWidth="1"/>
    <col min="4" max="4" width="10.7109375" bestFit="1" customWidth="1"/>
    <col min="5" max="5" width="30.35546875" bestFit="1" customWidth="1"/>
    <col min="6" max="6" width="33.140625" bestFit="1" customWidth="1"/>
    <col min="7" max="7" width="37.35546875" bestFit="1" customWidth="1"/>
    <col min="8" max="8" width="17" style="1" bestFit="1" customWidth="1"/>
    <col min="9" max="9" width="12.35546875" hidden="1" customWidth="1"/>
    <col min="10" max="10" width="12.35546875" customWidth="1"/>
    <col min="11" max="11" width="22.640625" customWidth="1"/>
    <col min="12" max="12" width="10.7109375" bestFit="1" customWidth="1"/>
    <col min="13" max="13" width="30.35546875" bestFit="1" customWidth="1"/>
    <col min="14" max="14" width="31.7109375" bestFit="1" customWidth="1"/>
    <col min="15" max="15" width="37.35546875" bestFit="1" customWidth="1"/>
    <col min="16" max="16" width="11" style="3"/>
    <col min="17" max="17" width="12.35546875" hidden="1" customWidth="1"/>
    <col min="18" max="18" width="12.35546875" customWidth="1"/>
    <col min="19" max="19" width="21.35546875" bestFit="1" customWidth="1"/>
    <col min="20" max="20" width="10.7109375" customWidth="1"/>
    <col min="21" max="21" width="31" bestFit="1" customWidth="1"/>
    <col min="22" max="22" width="32.35546875" bestFit="1" customWidth="1"/>
    <col min="23" max="23" width="36.7109375" bestFit="1" customWidth="1"/>
    <col min="24" max="24" width="11" style="3"/>
    <col min="28" max="28" width="14.2109375" bestFit="1" customWidth="1"/>
    <col min="29" max="29" width="18.7109375" bestFit="1" customWidth="1"/>
    <col min="30" max="30" width="26.5" bestFit="1" customWidth="1"/>
    <col min="31" max="31" width="19.5" bestFit="1" customWidth="1"/>
    <col min="32" max="32" width="30.140625" customWidth="1"/>
    <col min="33" max="33" width="14.7109375" customWidth="1"/>
    <col min="34" max="34" width="25.140625" customWidth="1"/>
    <col min="35" max="35" width="29.85546875" customWidth="1"/>
    <col min="36" max="36" width="16.7109375" customWidth="1"/>
    <col min="37" max="37" width="9.140625" style="1" bestFit="1" customWidth="1"/>
    <col min="38" max="38" width="16.85546875" bestFit="1" customWidth="1"/>
    <col min="39" max="39" width="15.2109375" bestFit="1" customWidth="1"/>
    <col min="40" max="40" width="18.2109375" bestFit="1" customWidth="1"/>
    <col min="41" max="41" width="17.5" style="3" bestFit="1" customWidth="1"/>
    <col min="42" max="42" width="22" customWidth="1"/>
    <col min="43" max="43" width="20.35546875" bestFit="1" customWidth="1"/>
    <col min="44" max="44" width="17.2109375" bestFit="1" customWidth="1"/>
    <col min="45" max="45" width="18.5" customWidth="1"/>
    <col min="46" max="46" width="21" bestFit="1" customWidth="1"/>
    <col min="47" max="47" width="19.640625" bestFit="1" customWidth="1"/>
    <col min="48" max="48" width="21.85546875" bestFit="1" customWidth="1"/>
    <col min="49" max="49" width="24.85546875" bestFit="1" customWidth="1"/>
    <col min="50" max="50" width="22.5" style="3" bestFit="1" customWidth="1"/>
    <col min="51" max="51" width="23.35546875" customWidth="1"/>
    <col min="52" max="52" width="18.5" customWidth="1"/>
    <col min="53" max="53" width="12.35546875" bestFit="1" customWidth="1"/>
    <col min="54" max="54" width="17.5" bestFit="1" customWidth="1"/>
    <col min="55" max="55" width="11.5" bestFit="1" customWidth="1"/>
    <col min="56" max="56" width="14" bestFit="1" customWidth="1"/>
    <col min="57" max="57" width="13.5" customWidth="1"/>
    <col min="58" max="58" width="19.2109375" bestFit="1" customWidth="1"/>
    <col min="59" max="59" width="14.140625" bestFit="1" customWidth="1"/>
    <col min="60" max="60" width="18.140625" bestFit="1" customWidth="1"/>
    <col min="61" max="61" width="21" bestFit="1" customWidth="1"/>
    <col min="62" max="63" width="21.5" bestFit="1" customWidth="1"/>
  </cols>
  <sheetData>
    <row r="1" spans="1:59" ht="54" customHeight="1" thickBot="1">
      <c r="A1" s="288" t="s">
        <v>0</v>
      </c>
      <c r="B1" s="289"/>
      <c r="C1" s="289"/>
      <c r="D1" s="289"/>
      <c r="E1" s="289"/>
      <c r="F1" s="289"/>
      <c r="G1" s="289"/>
      <c r="H1" s="289"/>
      <c r="I1" s="289"/>
      <c r="J1" s="289"/>
      <c r="K1" s="289"/>
      <c r="L1" s="289"/>
      <c r="M1" s="290"/>
      <c r="AO1"/>
      <c r="AX1" s="259"/>
    </row>
    <row r="2" spans="1:59" ht="26.15">
      <c r="B2" s="266" t="s">
        <v>734</v>
      </c>
      <c r="C2" s="56"/>
      <c r="K2" s="267" t="s">
        <v>735</v>
      </c>
      <c r="S2" s="267" t="s">
        <v>736</v>
      </c>
      <c r="AB2" s="163" t="s">
        <v>776</v>
      </c>
      <c r="AC2" s="35" t="s">
        <v>750</v>
      </c>
      <c r="AD2" s="163" t="s">
        <v>789</v>
      </c>
      <c r="AF2" s="71"/>
      <c r="AO2"/>
      <c r="AX2" s="259"/>
    </row>
    <row r="3" spans="1:59">
      <c r="S3" s="35"/>
      <c r="AB3" s="214">
        <v>6</v>
      </c>
      <c r="AC3" s="215">
        <v>0.1</v>
      </c>
      <c r="AD3" s="215">
        <f>'Production Costs '!N14</f>
        <v>0.30071850615784002</v>
      </c>
      <c r="AF3" s="98"/>
      <c r="AO3"/>
      <c r="AX3" s="259"/>
    </row>
    <row r="4" spans="1:59">
      <c r="AO4"/>
      <c r="AX4" s="259"/>
    </row>
    <row r="5" spans="1:59">
      <c r="AO5"/>
      <c r="AX5" s="259"/>
    </row>
    <row r="6" spans="1:59">
      <c r="AO6"/>
      <c r="AX6" s="259"/>
    </row>
    <row r="7" spans="1:59" ht="16.3" thickBot="1">
      <c r="AO7"/>
      <c r="AX7" s="259"/>
    </row>
    <row r="8" spans="1:59" ht="15.75" customHeight="1">
      <c r="AK8" s="291" t="s">
        <v>968</v>
      </c>
      <c r="AL8" s="292"/>
      <c r="AM8" s="292"/>
      <c r="AN8" s="292"/>
      <c r="AO8" s="292"/>
      <c r="AP8" s="292"/>
      <c r="AQ8" s="293"/>
      <c r="AT8" s="291" t="s">
        <v>911</v>
      </c>
      <c r="AU8" s="292"/>
      <c r="AV8" s="292"/>
      <c r="AW8" s="292"/>
      <c r="AX8" s="292"/>
      <c r="AY8" s="293"/>
      <c r="AZ8" s="147"/>
      <c r="BB8" s="291" t="s">
        <v>969</v>
      </c>
      <c r="BC8" s="292"/>
      <c r="BD8" s="292"/>
      <c r="BE8" s="292"/>
      <c r="BF8" s="292"/>
      <c r="BG8" s="293"/>
    </row>
    <row r="9" spans="1:59" ht="15.75" customHeight="1">
      <c r="AK9" s="294"/>
      <c r="AL9" s="295"/>
      <c r="AM9" s="295"/>
      <c r="AN9" s="295"/>
      <c r="AO9" s="295"/>
      <c r="AP9" s="295"/>
      <c r="AQ9" s="296"/>
      <c r="AT9" s="294"/>
      <c r="AU9" s="295"/>
      <c r="AV9" s="295"/>
      <c r="AW9" s="295"/>
      <c r="AX9" s="295"/>
      <c r="AY9" s="296"/>
      <c r="AZ9" s="147"/>
      <c r="BB9" s="294"/>
      <c r="BC9" s="295"/>
      <c r="BD9" s="295"/>
      <c r="BE9" s="295"/>
      <c r="BF9" s="295"/>
      <c r="BG9" s="296"/>
    </row>
    <row r="10" spans="1:59" ht="15.75" customHeight="1">
      <c r="AK10" s="294"/>
      <c r="AL10" s="295"/>
      <c r="AM10" s="295"/>
      <c r="AN10" s="295"/>
      <c r="AO10" s="295"/>
      <c r="AP10" s="295"/>
      <c r="AQ10" s="296"/>
      <c r="AT10" s="294"/>
      <c r="AU10" s="295"/>
      <c r="AV10" s="295"/>
      <c r="AW10" s="295"/>
      <c r="AX10" s="295"/>
      <c r="AY10" s="296"/>
      <c r="AZ10" s="147"/>
      <c r="BB10" s="294"/>
      <c r="BC10" s="295"/>
      <c r="BD10" s="295"/>
      <c r="BE10" s="295"/>
      <c r="BF10" s="295"/>
      <c r="BG10" s="296"/>
    </row>
    <row r="11" spans="1:59" ht="15.75" customHeight="1">
      <c r="AK11" s="294"/>
      <c r="AL11" s="295"/>
      <c r="AM11" s="295"/>
      <c r="AN11" s="295"/>
      <c r="AO11" s="295"/>
      <c r="AP11" s="295"/>
      <c r="AQ11" s="296"/>
      <c r="AT11" s="294"/>
      <c r="AU11" s="295"/>
      <c r="AV11" s="295"/>
      <c r="AW11" s="295"/>
      <c r="AX11" s="295"/>
      <c r="AY11" s="296"/>
      <c r="AZ11" s="147"/>
      <c r="BB11" s="294"/>
      <c r="BC11" s="295"/>
      <c r="BD11" s="295"/>
      <c r="BE11" s="295"/>
      <c r="BF11" s="295"/>
      <c r="BG11" s="296"/>
    </row>
    <row r="12" spans="1:59" ht="15.75" customHeight="1">
      <c r="AK12" s="294"/>
      <c r="AL12" s="295"/>
      <c r="AM12" s="295"/>
      <c r="AN12" s="295"/>
      <c r="AO12" s="295"/>
      <c r="AP12" s="295"/>
      <c r="AQ12" s="296"/>
      <c r="AT12" s="294"/>
      <c r="AU12" s="295"/>
      <c r="AV12" s="295"/>
      <c r="AW12" s="295"/>
      <c r="AX12" s="295"/>
      <c r="AY12" s="296"/>
      <c r="AZ12" s="147"/>
      <c r="BB12" s="294"/>
      <c r="BC12" s="295"/>
      <c r="BD12" s="295"/>
      <c r="BE12" s="295"/>
      <c r="BF12" s="295"/>
      <c r="BG12" s="296"/>
    </row>
    <row r="13" spans="1:59" ht="15.75" customHeight="1">
      <c r="AK13" s="294"/>
      <c r="AL13" s="295"/>
      <c r="AM13" s="295"/>
      <c r="AN13" s="295"/>
      <c r="AO13" s="295"/>
      <c r="AP13" s="295"/>
      <c r="AQ13" s="296"/>
      <c r="AT13" s="294"/>
      <c r="AU13" s="295"/>
      <c r="AV13" s="295"/>
      <c r="AW13" s="295"/>
      <c r="AX13" s="295"/>
      <c r="AY13" s="296"/>
      <c r="AZ13" s="147"/>
      <c r="BB13" s="294"/>
      <c r="BC13" s="295"/>
      <c r="BD13" s="295"/>
      <c r="BE13" s="295"/>
      <c r="BF13" s="295"/>
      <c r="BG13" s="296"/>
    </row>
    <row r="14" spans="1:59" ht="15.75" customHeight="1">
      <c r="AK14" s="294"/>
      <c r="AL14" s="295"/>
      <c r="AM14" s="295"/>
      <c r="AN14" s="295"/>
      <c r="AO14" s="295"/>
      <c r="AP14" s="295"/>
      <c r="AQ14" s="296"/>
      <c r="AT14" s="294"/>
      <c r="AU14" s="295"/>
      <c r="AV14" s="295"/>
      <c r="AW14" s="295"/>
      <c r="AX14" s="295"/>
      <c r="AY14" s="296"/>
      <c r="AZ14" s="219"/>
      <c r="BB14" s="294"/>
      <c r="BC14" s="295"/>
      <c r="BD14" s="295"/>
      <c r="BE14" s="295"/>
      <c r="BF14" s="295"/>
      <c r="BG14" s="296"/>
    </row>
    <row r="15" spans="1:59" ht="15.75" customHeight="1">
      <c r="AK15" s="294"/>
      <c r="AL15" s="295"/>
      <c r="AM15" s="295"/>
      <c r="AN15" s="295"/>
      <c r="AO15" s="295"/>
      <c r="AP15" s="295"/>
      <c r="AQ15" s="296"/>
      <c r="AT15" s="294"/>
      <c r="AU15" s="295"/>
      <c r="AV15" s="295"/>
      <c r="AW15" s="295"/>
      <c r="AX15" s="295"/>
      <c r="AY15" s="296"/>
      <c r="AZ15" s="147"/>
      <c r="BB15" s="294"/>
      <c r="BC15" s="295"/>
      <c r="BD15" s="295"/>
      <c r="BE15" s="295"/>
      <c r="BF15" s="295"/>
      <c r="BG15" s="296"/>
    </row>
    <row r="16" spans="1:59" ht="15.75" customHeight="1">
      <c r="AK16" s="294"/>
      <c r="AL16" s="295"/>
      <c r="AM16" s="295"/>
      <c r="AN16" s="295"/>
      <c r="AO16" s="295"/>
      <c r="AP16" s="295"/>
      <c r="AQ16" s="296"/>
      <c r="AT16" s="294"/>
      <c r="AU16" s="295"/>
      <c r="AV16" s="295"/>
      <c r="AW16" s="295"/>
      <c r="AX16" s="295"/>
      <c r="AY16" s="296"/>
      <c r="AZ16" s="147"/>
      <c r="BB16" s="294"/>
      <c r="BC16" s="295"/>
      <c r="BD16" s="295"/>
      <c r="BE16" s="295"/>
      <c r="BF16" s="295"/>
      <c r="BG16" s="296"/>
    </row>
    <row r="17" spans="2:60" ht="15.75" customHeight="1">
      <c r="AK17" s="294"/>
      <c r="AL17" s="295"/>
      <c r="AM17" s="295"/>
      <c r="AN17" s="295"/>
      <c r="AO17" s="295"/>
      <c r="AP17" s="295"/>
      <c r="AQ17" s="296"/>
      <c r="AR17" s="147"/>
      <c r="AS17" s="147"/>
      <c r="AT17" s="294"/>
      <c r="AU17" s="295"/>
      <c r="AV17" s="295"/>
      <c r="AW17" s="295"/>
      <c r="AX17" s="295"/>
      <c r="AY17" s="296"/>
      <c r="AZ17" s="147"/>
      <c r="BA17" s="147"/>
      <c r="BB17" s="294"/>
      <c r="BC17" s="295"/>
      <c r="BD17" s="295"/>
      <c r="BE17" s="295"/>
      <c r="BF17" s="295"/>
      <c r="BG17" s="296"/>
      <c r="BH17" s="147"/>
    </row>
    <row r="18" spans="2:60" ht="15.75" customHeight="1" thickBot="1">
      <c r="AK18" s="297"/>
      <c r="AL18" s="298"/>
      <c r="AM18" s="298"/>
      <c r="AN18" s="298"/>
      <c r="AO18" s="298"/>
      <c r="AP18" s="298"/>
      <c r="AQ18" s="299"/>
      <c r="AR18" s="147"/>
      <c r="AS18" s="147"/>
      <c r="AT18" s="297"/>
      <c r="AU18" s="298"/>
      <c r="AV18" s="298"/>
      <c r="AW18" s="298"/>
      <c r="AX18" s="298"/>
      <c r="AY18" s="299"/>
      <c r="AZ18" s="147"/>
      <c r="BA18" s="147"/>
      <c r="BB18" s="297"/>
      <c r="BC18" s="298"/>
      <c r="BD18" s="298"/>
      <c r="BE18" s="298"/>
      <c r="BF18" s="298"/>
      <c r="BG18" s="299"/>
      <c r="BH18" s="147"/>
    </row>
    <row r="19" spans="2:60" ht="15.75" customHeight="1">
      <c r="AO19" s="147"/>
      <c r="AP19" s="147"/>
      <c r="AQ19" s="147"/>
      <c r="AR19" s="147"/>
      <c r="AS19" s="147"/>
      <c r="AY19" s="147"/>
      <c r="AZ19" s="147"/>
      <c r="BA19" s="147"/>
      <c r="BB19" s="147"/>
      <c r="BC19" s="147"/>
      <c r="BD19" s="147"/>
      <c r="BE19" s="147"/>
      <c r="BF19" s="147"/>
      <c r="BG19" s="147"/>
      <c r="BH19" s="147"/>
    </row>
    <row r="20" spans="2:60" ht="15.75" customHeight="1">
      <c r="AG20" s="72"/>
      <c r="AL20" s="186" t="s">
        <v>921</v>
      </c>
      <c r="AM20" s="186"/>
      <c r="AN20" s="186" t="s">
        <v>922</v>
      </c>
      <c r="AP20" s="186" t="s">
        <v>690</v>
      </c>
      <c r="AQ20" s="147"/>
      <c r="AR20" s="147"/>
      <c r="AS20" s="147"/>
      <c r="AU20" s="220" t="str">
        <f>BH39</f>
        <v>Unrisked NAV</v>
      </c>
      <c r="AV20" s="220" t="str">
        <f>BI39</f>
        <v>10% Risked NAV</v>
      </c>
      <c r="AW20" s="220" t="str">
        <f>BJ39</f>
        <v>20% Risked NAV</v>
      </c>
      <c r="AX20" s="63" t="str">
        <f>BK39</f>
        <v>30% Risked NAV</v>
      </c>
      <c r="AZ20" s="147"/>
      <c r="BA20" s="220"/>
      <c r="BC20" s="218"/>
      <c r="BD20" s="220" t="s">
        <v>920</v>
      </c>
      <c r="BE20" s="147"/>
      <c r="BF20" s="147"/>
      <c r="BG20" s="147"/>
      <c r="BH20" s="147"/>
    </row>
    <row r="21" spans="2:60" ht="15.75" customHeight="1">
      <c r="AL21" s="221" t="e">
        <f>SUM(BE46:BE152)*0.8</f>
        <v>#REF!</v>
      </c>
      <c r="AM21" s="221"/>
      <c r="AN21" s="223">
        <f>BF45</f>
        <v>-3750000</v>
      </c>
      <c r="AP21" s="224" t="e">
        <f>(AL21+AL23)/ABS(AN21)</f>
        <v>#REF!</v>
      </c>
      <c r="AQ21" s="147"/>
      <c r="AR21" s="147"/>
      <c r="AS21" s="147"/>
      <c r="AU21" s="187" t="e">
        <f>BH45</f>
        <v>#REF!</v>
      </c>
      <c r="AV21" s="187" t="e">
        <f>BI45</f>
        <v>#REF!</v>
      </c>
      <c r="AW21" s="187" t="e">
        <f>BJ45</f>
        <v>#REF!</v>
      </c>
      <c r="AX21" s="258" t="e">
        <f>BK45</f>
        <v>#REF!</v>
      </c>
      <c r="AZ21" s="147"/>
      <c r="BA21" s="147"/>
      <c r="BB21" s="147"/>
      <c r="BC21" s="147"/>
      <c r="BD21" s="147"/>
      <c r="BE21" s="147"/>
      <c r="BF21" s="147"/>
      <c r="BG21" s="147"/>
      <c r="BH21" s="147"/>
    </row>
    <row r="22" spans="2:60" ht="15.75" customHeight="1">
      <c r="AL22" s="186" t="s">
        <v>923</v>
      </c>
      <c r="AM22" s="186"/>
      <c r="AN22" s="147"/>
      <c r="AO22" s="147"/>
      <c r="AP22" s="147"/>
      <c r="AQ22" s="147"/>
      <c r="AR22" s="147"/>
      <c r="AS22" s="147"/>
      <c r="AT22" s="147"/>
      <c r="AU22" s="147"/>
      <c r="AV22" s="147"/>
      <c r="AW22" s="147"/>
      <c r="AX22" s="256"/>
      <c r="AY22" s="147"/>
      <c r="AZ22" s="147"/>
      <c r="BA22" s="147"/>
      <c r="BB22" s="147"/>
      <c r="BC22" s="147"/>
      <c r="BD22" s="147"/>
      <c r="BE22" s="147"/>
      <c r="BF22" s="147"/>
      <c r="BG22" s="147"/>
      <c r="BH22" s="147"/>
    </row>
    <row r="23" spans="2:60" ht="15.75" customHeight="1">
      <c r="AL23" s="221" t="e">
        <f>BG153/(1+AC3)^AL153</f>
        <v>#REF!</v>
      </c>
      <c r="AM23" s="221"/>
      <c r="AN23" s="147"/>
      <c r="AO23" s="147"/>
      <c r="AP23" s="222" t="s">
        <v>924</v>
      </c>
      <c r="AQ23" s="147"/>
      <c r="AR23" s="147"/>
      <c r="AS23" s="147"/>
      <c r="AT23" s="147"/>
      <c r="AU23" s="147"/>
      <c r="AV23" s="147"/>
      <c r="AW23" s="147"/>
      <c r="AX23" s="256"/>
      <c r="AY23" s="147"/>
      <c r="AZ23" s="147"/>
      <c r="BA23" s="147"/>
      <c r="BB23" s="147"/>
      <c r="BC23" s="147"/>
      <c r="BD23" s="147"/>
      <c r="BE23" s="147"/>
      <c r="BF23" s="147"/>
      <c r="BG23" s="147"/>
      <c r="BH23" s="147"/>
    </row>
    <row r="24" spans="2:60" ht="15.75" customHeight="1">
      <c r="AK24" s="147"/>
      <c r="AL24" s="147"/>
      <c r="AM24" s="147"/>
      <c r="AN24" s="147"/>
      <c r="AO24" s="147"/>
      <c r="AP24" s="147"/>
      <c r="AQ24" s="147"/>
      <c r="AR24" s="147"/>
      <c r="AS24" s="147"/>
      <c r="AT24" s="147"/>
      <c r="AU24" s="147"/>
      <c r="AV24" s="147"/>
      <c r="AW24" s="147"/>
      <c r="AX24" s="256"/>
      <c r="AY24" s="147"/>
      <c r="AZ24" s="147"/>
      <c r="BA24" s="147"/>
      <c r="BB24" s="147"/>
      <c r="BC24" s="147"/>
      <c r="BD24" s="147"/>
      <c r="BE24" s="147"/>
      <c r="BF24" s="147"/>
      <c r="BG24" s="147"/>
      <c r="BH24" s="147"/>
    </row>
    <row r="25" spans="2:60" ht="15.75" customHeight="1">
      <c r="AK25" s="147"/>
      <c r="AL25" s="147"/>
      <c r="AM25" s="147"/>
      <c r="AN25" s="147"/>
      <c r="AO25" s="147"/>
      <c r="AP25" s="147"/>
      <c r="AQ25" s="147"/>
      <c r="AR25" s="147"/>
      <c r="AS25" s="147"/>
      <c r="AT25" s="147"/>
      <c r="AU25" s="147"/>
      <c r="AV25" s="147"/>
      <c r="AW25" s="147"/>
      <c r="AX25" s="256"/>
      <c r="AY25" s="147"/>
      <c r="AZ25" s="147"/>
      <c r="BA25" s="147"/>
      <c r="BB25" s="147"/>
      <c r="BC25" s="147"/>
      <c r="BD25" s="147"/>
      <c r="BE25" s="147"/>
      <c r="BF25" s="147"/>
      <c r="BG25" s="147"/>
      <c r="BH25" s="147"/>
    </row>
    <row r="26" spans="2:60" ht="15.75" customHeight="1">
      <c r="AK26" s="147"/>
      <c r="AL26" s="147"/>
      <c r="AM26" s="147"/>
      <c r="AN26" s="147"/>
      <c r="AO26" s="147"/>
      <c r="AP26" s="147"/>
      <c r="AQ26" s="147"/>
      <c r="AR26" s="147"/>
      <c r="AS26" s="147"/>
      <c r="AT26" s="147"/>
      <c r="AU26" s="147"/>
      <c r="AV26" s="147"/>
      <c r="AW26" s="147"/>
      <c r="AX26" s="256"/>
      <c r="AY26" s="147"/>
      <c r="AZ26" s="147"/>
      <c r="BA26" s="147"/>
      <c r="BB26" s="147"/>
      <c r="BC26" s="147"/>
      <c r="BD26" s="147"/>
      <c r="BE26" s="147"/>
      <c r="BF26" s="147"/>
      <c r="BG26" s="147"/>
      <c r="BH26" s="147"/>
    </row>
    <row r="27" spans="2:60" ht="15.75" customHeight="1">
      <c r="H27" s="164"/>
      <c r="AK27" s="147"/>
      <c r="AL27" s="147"/>
      <c r="AM27" s="147"/>
      <c r="AN27" s="147"/>
      <c r="AO27" s="147"/>
      <c r="AP27" s="147"/>
      <c r="AQ27" s="147"/>
      <c r="AR27" s="147"/>
      <c r="AS27" s="147"/>
      <c r="AT27" s="147"/>
      <c r="AU27" s="147"/>
      <c r="AV27" s="147"/>
      <c r="AW27" s="147"/>
      <c r="AX27" s="256"/>
      <c r="AY27" s="147"/>
      <c r="AZ27" s="147"/>
      <c r="BA27" s="147"/>
      <c r="BB27" s="147"/>
      <c r="BC27" s="147"/>
      <c r="BD27" s="147"/>
      <c r="BE27" s="147"/>
      <c r="BF27" s="147"/>
      <c r="BG27" s="147"/>
      <c r="BH27" s="147"/>
    </row>
    <row r="28" spans="2:60" ht="15.75" customHeight="1">
      <c r="H28" s="164"/>
      <c r="AK28" s="147"/>
      <c r="AL28" s="147"/>
      <c r="AM28" s="147"/>
      <c r="AN28" s="147"/>
      <c r="AO28" s="147"/>
      <c r="AP28" s="147"/>
      <c r="AQ28" s="147"/>
      <c r="AR28" s="147"/>
      <c r="AS28" s="147"/>
      <c r="AT28" s="147"/>
      <c r="AU28" s="147"/>
      <c r="AV28" s="147"/>
      <c r="AW28" s="147"/>
      <c r="AX28" s="256"/>
      <c r="AY28" s="147"/>
      <c r="AZ28" s="147"/>
      <c r="BA28" s="147"/>
      <c r="BB28" s="147"/>
      <c r="BC28" s="147"/>
      <c r="BD28" s="147"/>
      <c r="BE28" s="147"/>
      <c r="BF28" s="147"/>
      <c r="BG28" s="147"/>
      <c r="BH28" s="147"/>
    </row>
    <row r="29" spans="2:60" ht="15.75" customHeight="1">
      <c r="H29" s="164"/>
      <c r="AK29" s="147"/>
      <c r="AL29" s="147"/>
      <c r="AM29" s="147"/>
      <c r="AN29" s="147"/>
      <c r="AO29" s="147"/>
      <c r="AP29" s="147"/>
      <c r="AQ29" s="147"/>
      <c r="AR29" s="147"/>
      <c r="AS29" s="147"/>
      <c r="AT29" s="147"/>
      <c r="AU29" s="147"/>
      <c r="AV29" s="147"/>
      <c r="AW29" s="147"/>
      <c r="AX29" s="256"/>
      <c r="AY29" s="147"/>
      <c r="AZ29" s="147"/>
      <c r="BA29" s="147"/>
      <c r="BB29" s="147"/>
      <c r="BC29" s="147"/>
      <c r="BD29" s="147"/>
      <c r="BE29" s="147"/>
      <c r="BF29" s="147"/>
      <c r="BG29" s="147"/>
      <c r="BH29" s="147"/>
    </row>
    <row r="30" spans="2:60" ht="15.75" customHeight="1">
      <c r="H30" s="164"/>
      <c r="AK30" s="147"/>
      <c r="AL30" s="147"/>
      <c r="AM30" s="147"/>
      <c r="AN30" s="147"/>
      <c r="AO30" s="147"/>
      <c r="AP30" s="147"/>
      <c r="AQ30" s="147"/>
      <c r="AR30" s="147"/>
      <c r="AS30" s="187"/>
      <c r="AT30" s="147"/>
      <c r="AU30" s="147"/>
      <c r="AV30" s="147"/>
      <c r="AW30" s="147"/>
      <c r="AX30" s="256"/>
      <c r="AY30" s="147"/>
      <c r="AZ30" s="147"/>
      <c r="BA30" s="147"/>
      <c r="BB30" s="147"/>
      <c r="BC30" s="147"/>
      <c r="BD30" s="147"/>
      <c r="BE30" s="147"/>
      <c r="BF30" s="147"/>
      <c r="BG30" s="147"/>
      <c r="BH30" s="147"/>
    </row>
    <row r="31" spans="2:60" ht="15.75" customHeight="1">
      <c r="B31" s="35" t="s">
        <v>737</v>
      </c>
      <c r="C31" s="35"/>
      <c r="D31" s="67">
        <f>(E58-E46)/E46</f>
        <v>-0.65622784831574998</v>
      </c>
      <c r="K31" s="35" t="s">
        <v>737</v>
      </c>
      <c r="L31" s="67">
        <f>(M58-M42)/M42</f>
        <v>-2.8278890628796606E-2</v>
      </c>
      <c r="S31" s="35" t="s">
        <v>737</v>
      </c>
      <c r="T31" s="75">
        <f>(U58-U37)/U37</f>
        <v>0.17526423133998636</v>
      </c>
      <c r="AK31" s="147"/>
      <c r="AL31" s="147"/>
      <c r="AM31" s="147"/>
      <c r="AN31" s="147"/>
      <c r="AO31" s="147"/>
      <c r="AP31" s="147"/>
      <c r="AQ31" s="147"/>
      <c r="AR31" s="147"/>
      <c r="AS31" s="147"/>
      <c r="AT31" s="147"/>
      <c r="AU31" s="147"/>
      <c r="AV31" s="147"/>
      <c r="AW31" s="147"/>
      <c r="AX31" s="256"/>
      <c r="AY31" s="147"/>
      <c r="AZ31" s="147"/>
      <c r="BA31" s="147"/>
      <c r="BB31" s="147"/>
      <c r="BC31" s="147"/>
      <c r="BD31" s="147"/>
      <c r="BE31" s="147"/>
      <c r="BF31" s="147"/>
      <c r="BG31" s="147"/>
      <c r="BH31" s="147"/>
    </row>
    <row r="32" spans="2:60" ht="15.75" customHeight="1">
      <c r="AK32" s="147"/>
      <c r="AL32" s="147"/>
      <c r="AM32" s="147"/>
      <c r="AN32" s="147"/>
      <c r="AO32" s="147"/>
      <c r="AP32" s="147"/>
      <c r="AQ32" s="147"/>
      <c r="AR32" s="147"/>
      <c r="AS32" s="147"/>
      <c r="AT32" s="147"/>
      <c r="AU32" s="147"/>
      <c r="AV32" s="147"/>
      <c r="AW32" s="147"/>
      <c r="AX32" s="256"/>
      <c r="AY32" s="156"/>
      <c r="AZ32" s="156"/>
      <c r="BA32" s="147"/>
      <c r="BB32" s="147"/>
      <c r="BC32" s="147"/>
      <c r="BD32" s="147"/>
      <c r="BE32" s="147"/>
      <c r="BF32" s="147"/>
      <c r="BG32" s="147"/>
      <c r="BH32" s="147"/>
    </row>
    <row r="33" spans="1:63" ht="15.75" customHeight="1">
      <c r="B33" s="52" t="e">
        <f>'[1]Oil Production'!#REF!</f>
        <v>#REF!</v>
      </c>
      <c r="C33" s="52"/>
      <c r="D33" s="52" t="str">
        <f>'[1]Oil Production'!A5</f>
        <v>Months</v>
      </c>
      <c r="E33" s="52" t="str">
        <f>'[1]Oil Production'!B5</f>
        <v>Daily production (Bbl/d)</v>
      </c>
      <c r="F33" s="52" t="str">
        <f>'[1]Oil Production'!C5</f>
        <v>Monthly production (Bbls)</v>
      </c>
      <c r="G33" s="52" t="str">
        <f>'[1]Oil Production'!D5</f>
        <v>Cumulative Production (Bbls)</v>
      </c>
      <c r="H33" s="52" t="s">
        <v>738</v>
      </c>
      <c r="I33" s="52"/>
      <c r="J33" s="52"/>
      <c r="K33" s="56" t="str">
        <f>'Liquids Type Curve'!A17</f>
        <v>Years</v>
      </c>
      <c r="L33" s="56" t="str">
        <f>'Liquids Type Curve'!B17</f>
        <v>Months</v>
      </c>
      <c r="M33" s="56" t="str">
        <f>'Liquids Type Curve'!C17</f>
        <v>Daily production (Bbl/d)</v>
      </c>
      <c r="N33" s="56" t="str">
        <f>'Liquids Type Curve'!D17</f>
        <v>Monthly production (Bbl)</v>
      </c>
      <c r="O33" s="56" t="str">
        <f>'Liquids Type Curve'!E17</f>
        <v>Cumulative Production (Bbls)</v>
      </c>
      <c r="P33" s="177" t="s">
        <v>738</v>
      </c>
      <c r="S33" s="69" t="str">
        <f>'Gas Type Curve'!A17</f>
        <v>Years</v>
      </c>
      <c r="T33" s="69" t="str">
        <f>'Gas Type Curve'!B17</f>
        <v>Months</v>
      </c>
      <c r="U33" s="69" t="str">
        <f>'Gas Type Curve'!C17</f>
        <v>Daily production (Mcf/d)</v>
      </c>
      <c r="V33" s="69" t="str">
        <f>'Gas Type Curve'!D17</f>
        <v>Monthly production (Mcf)</v>
      </c>
      <c r="W33" s="69" t="str">
        <f>'Gas Type Curve'!E17</f>
        <v>Cumulative Production (Mcf)</v>
      </c>
      <c r="X33" s="177" t="s">
        <v>738</v>
      </c>
      <c r="AC33" s="126"/>
      <c r="AD33" s="126"/>
      <c r="AE33" s="126"/>
      <c r="AF33" s="126"/>
      <c r="AG33" s="33"/>
      <c r="AH33" s="33"/>
      <c r="AI33" s="33"/>
      <c r="AJ33" s="33"/>
      <c r="AK33" s="147"/>
      <c r="AL33" s="147"/>
      <c r="AM33" s="147"/>
      <c r="AN33" s="147"/>
      <c r="AO33" s="147"/>
      <c r="AP33" s="147"/>
      <c r="AQ33" s="147"/>
      <c r="AR33" s="147"/>
      <c r="AS33" s="147"/>
      <c r="AT33" s="147"/>
      <c r="AU33" s="147"/>
      <c r="AV33" s="147"/>
      <c r="AW33" s="147"/>
      <c r="AX33" s="256"/>
      <c r="AY33" s="147"/>
      <c r="AZ33" s="147"/>
      <c r="BA33" s="147"/>
      <c r="BB33" s="147"/>
      <c r="BC33" s="147"/>
      <c r="BD33" s="147"/>
      <c r="BE33" s="147"/>
      <c r="BF33" s="147"/>
      <c r="BG33" s="147"/>
      <c r="BH33" s="147"/>
    </row>
    <row r="34" spans="1:63" ht="15.75" customHeight="1">
      <c r="P34" s="250"/>
      <c r="S34" s="113">
        <f>'Gas Type Curve'!A18</f>
        <v>-2.6444412022197335E-4</v>
      </c>
      <c r="T34" s="94">
        <f>'Gas Type Curve'!B18</f>
        <v>-3.1733294426636799E-3</v>
      </c>
      <c r="U34" s="94">
        <f>'Gas Type Curve'!C18</f>
        <v>823.76453242824095</v>
      </c>
      <c r="V34" s="94">
        <f>'Gas Type Curve'!D18</f>
        <v>25056.171194692331</v>
      </c>
      <c r="W34" s="94">
        <f>'Gas Type Curve'!E18</f>
        <v>25056.171194692331</v>
      </c>
      <c r="X34" s="250"/>
      <c r="AC34" s="126"/>
      <c r="AD34" s="126"/>
      <c r="AE34" s="126"/>
      <c r="AF34" s="126"/>
      <c r="AG34" s="33"/>
      <c r="AH34" s="33"/>
      <c r="AI34" s="33"/>
      <c r="AJ34" s="33"/>
      <c r="AK34" s="147"/>
      <c r="AL34" s="147"/>
      <c r="AM34" s="147"/>
      <c r="AN34" s="147"/>
      <c r="AO34" s="147"/>
      <c r="AP34" s="147"/>
      <c r="AQ34" s="147"/>
      <c r="AR34" s="147"/>
      <c r="AS34" s="147"/>
      <c r="AT34" s="147"/>
      <c r="AU34" s="147"/>
      <c r="AV34" s="147"/>
      <c r="AW34" s="147"/>
      <c r="AX34" s="256"/>
      <c r="AY34" s="147"/>
      <c r="AZ34" s="147"/>
      <c r="BA34" s="147"/>
      <c r="BB34" s="147"/>
      <c r="BC34" s="147"/>
      <c r="BD34" s="147"/>
      <c r="BE34" s="147"/>
      <c r="BF34" s="147"/>
      <c r="BG34" s="147"/>
      <c r="BH34" s="147"/>
    </row>
    <row r="35" spans="1:63" ht="15.75" customHeight="1">
      <c r="P35" s="250"/>
      <c r="Q35" s="115"/>
      <c r="R35" s="115"/>
      <c r="S35" s="113">
        <f>'Gas Type Curve'!A19</f>
        <v>2.3523368349381998E-2</v>
      </c>
      <c r="T35" s="94">
        <f>'Gas Type Curve'!B19</f>
        <v>0.28228042019258398</v>
      </c>
      <c r="U35" s="94">
        <f>'Gas Type Curve'!C19</f>
        <v>778.53162962849501</v>
      </c>
      <c r="V35" s="94">
        <f>'Gas Type Curve'!D19</f>
        <v>23680.337067866723</v>
      </c>
      <c r="W35" s="94">
        <f>'Gas Type Curve'!E19</f>
        <v>48736.508262559058</v>
      </c>
      <c r="X35" s="250"/>
      <c r="AJ35" s="129"/>
      <c r="AK35" s="147"/>
      <c r="AL35" s="147"/>
      <c r="AM35" s="147"/>
      <c r="AN35" s="147"/>
      <c r="AO35" s="147"/>
      <c r="AP35" s="147"/>
      <c r="AQ35" s="147"/>
      <c r="AR35" s="147"/>
      <c r="AS35" s="147"/>
      <c r="AT35" s="147"/>
      <c r="AU35" s="147"/>
      <c r="AV35" s="147"/>
      <c r="AW35" s="147"/>
      <c r="AX35" s="256"/>
      <c r="AY35" s="147"/>
      <c r="AZ35" s="147"/>
      <c r="BA35" s="147"/>
      <c r="BB35" s="147"/>
      <c r="BC35" s="147"/>
      <c r="BD35" s="147"/>
      <c r="BE35" s="147"/>
      <c r="BF35" s="147"/>
      <c r="BG35" s="147"/>
      <c r="BH35" s="147"/>
    </row>
    <row r="36" spans="1:63" ht="15.75" customHeight="1">
      <c r="P36" s="250"/>
      <c r="Q36" s="115"/>
      <c r="R36" s="115"/>
      <c r="S36" s="113">
        <f>'Gas Type Curve'!A20</f>
        <v>5.9086543137826748E-2</v>
      </c>
      <c r="T36" s="94">
        <f>'Gas Type Curve'!B20</f>
        <v>0.70903851765392101</v>
      </c>
      <c r="U36" s="94">
        <f>'Gas Type Curve'!C20</f>
        <v>754.16829204613407</v>
      </c>
      <c r="V36" s="94">
        <f>'Gas Type Curve'!D20</f>
        <v>22939.285549736578</v>
      </c>
      <c r="W36" s="94">
        <f>'Gas Type Curve'!E20</f>
        <v>71675.79381229564</v>
      </c>
      <c r="X36" s="250"/>
      <c r="AC36" s="132"/>
      <c r="AD36" s="132"/>
      <c r="AE36" s="3"/>
      <c r="AF36" s="3"/>
      <c r="AG36" s="132"/>
      <c r="AH36" s="132"/>
      <c r="AI36" s="132"/>
      <c r="AJ36" s="33"/>
      <c r="AK36" s="147"/>
      <c r="AL36" s="147"/>
      <c r="AM36" s="147"/>
      <c r="AN36" s="147"/>
      <c r="AO36" s="147"/>
      <c r="AP36" s="147"/>
      <c r="AQ36" s="147"/>
      <c r="AR36" s="147"/>
      <c r="AS36" s="147"/>
      <c r="AT36" s="147"/>
      <c r="AU36" s="147"/>
      <c r="AV36" s="147"/>
      <c r="AW36" s="147"/>
      <c r="AX36" s="256"/>
      <c r="AY36" s="147"/>
      <c r="AZ36" s="147"/>
      <c r="BA36" s="147"/>
      <c r="BB36" s="147"/>
      <c r="BC36" s="147"/>
      <c r="BD36" s="147"/>
      <c r="BE36" s="147"/>
      <c r="BF36" s="147"/>
      <c r="BG36" s="147"/>
      <c r="BH36" s="147"/>
    </row>
    <row r="37" spans="1:63">
      <c r="P37" s="250"/>
      <c r="Q37" s="123" t="s">
        <v>760</v>
      </c>
      <c r="R37" s="188"/>
      <c r="S37" s="113">
        <f>'Gas Type Curve'!A21</f>
        <v>9.4452144733001675E-2</v>
      </c>
      <c r="T37" s="94">
        <f>'Gas Type Curve'!B21</f>
        <v>1.1334257367960201</v>
      </c>
      <c r="U37" s="94">
        <f>'Gas Type Curve'!C21</f>
        <v>772.6134566062085</v>
      </c>
      <c r="V37" s="94">
        <f>'Gas Type Curve'!D21</f>
        <v>23500.325971772178</v>
      </c>
      <c r="W37" s="94">
        <f>'Gas Type Curve'!E21</f>
        <v>95176.119784067821</v>
      </c>
      <c r="X37" s="250"/>
      <c r="AC37" s="132"/>
      <c r="AD37" s="132"/>
      <c r="AE37" s="130"/>
      <c r="AF37" s="130"/>
      <c r="AG37" s="132"/>
      <c r="AH37" s="132"/>
      <c r="AI37" s="132"/>
      <c r="AJ37" s="33"/>
      <c r="AO37"/>
    </row>
    <row r="38" spans="1:63">
      <c r="P38" s="250"/>
      <c r="Q38" s="124" t="s">
        <v>761</v>
      </c>
      <c r="R38" s="117"/>
      <c r="S38" s="113">
        <f>'Gas Type Curve'!A22</f>
        <v>0.17699822488084749</v>
      </c>
      <c r="T38" s="94">
        <f>'Gas Type Curve'!B22</f>
        <v>2.1239786985701699</v>
      </c>
      <c r="U38" s="94">
        <f>'Gas Type Curve'!C22</f>
        <v>774.95123861594277</v>
      </c>
      <c r="V38" s="94">
        <f>'Gas Type Curve'!D22</f>
        <v>23571.433507901595</v>
      </c>
      <c r="W38" s="94">
        <f>'Gas Type Curve'!E22</f>
        <v>118747.55329196941</v>
      </c>
      <c r="X38" s="250"/>
      <c r="AC38" s="132"/>
      <c r="AD38" s="132"/>
      <c r="AE38" s="3"/>
      <c r="AF38" s="3"/>
      <c r="AG38" s="132"/>
      <c r="AH38" s="132"/>
      <c r="AI38" s="132"/>
      <c r="AJ38" s="33"/>
      <c r="AO38"/>
    </row>
    <row r="39" spans="1:63">
      <c r="P39" s="250"/>
      <c r="Q39" s="124"/>
      <c r="R39" s="117"/>
      <c r="S39" s="113">
        <f>'Gas Type Curve'!A23</f>
        <v>0.20651565995525667</v>
      </c>
      <c r="T39" s="94">
        <f>'Gas Type Curve'!B23</f>
        <v>2.47818791946308</v>
      </c>
      <c r="U39" s="94">
        <f>'Gas Type Curve'!C23</f>
        <v>785.34271190084746</v>
      </c>
      <c r="V39" s="94">
        <f>'Gas Type Curve'!D23</f>
        <v>23887.507486984112</v>
      </c>
      <c r="W39" s="94">
        <f>'Gas Type Curve'!E23</f>
        <v>142635.06077895351</v>
      </c>
      <c r="X39" s="250"/>
      <c r="AC39" s="126"/>
      <c r="AD39" s="126"/>
      <c r="AE39" s="130"/>
      <c r="AF39" s="130"/>
      <c r="AG39" s="132"/>
      <c r="AH39" s="132"/>
      <c r="AI39" s="132"/>
      <c r="AJ39" s="263"/>
      <c r="AK39" s="163" t="s">
        <v>780</v>
      </c>
      <c r="AL39" s="131" t="s">
        <v>779</v>
      </c>
      <c r="AM39" s="131" t="s">
        <v>956</v>
      </c>
      <c r="AN39" s="163" t="s">
        <v>912</v>
      </c>
      <c r="AO39" s="163" t="s">
        <v>784</v>
      </c>
      <c r="AP39" s="163" t="s">
        <v>783</v>
      </c>
      <c r="AQ39" s="163" t="s">
        <v>782</v>
      </c>
      <c r="AR39" s="163" t="s">
        <v>791</v>
      </c>
      <c r="AS39" s="163" t="s">
        <v>876</v>
      </c>
      <c r="AT39" s="163" t="s">
        <v>876</v>
      </c>
      <c r="AU39" s="163" t="s">
        <v>791</v>
      </c>
      <c r="AV39" s="163" t="s">
        <v>791</v>
      </c>
      <c r="AW39" s="181" t="s">
        <v>763</v>
      </c>
      <c r="AX39" s="181" t="s">
        <v>763</v>
      </c>
      <c r="AY39" s="181" t="s">
        <v>958</v>
      </c>
      <c r="AZ39" s="181" t="s">
        <v>796</v>
      </c>
      <c r="BA39" s="181" t="s">
        <v>914</v>
      </c>
      <c r="BB39" s="181" t="s">
        <v>763</v>
      </c>
      <c r="BC39" s="163" t="s">
        <v>916</v>
      </c>
      <c r="BD39" s="163" t="s">
        <v>793</v>
      </c>
      <c r="BE39" s="163" t="s">
        <v>790</v>
      </c>
      <c r="BF39" s="163" t="s">
        <v>798</v>
      </c>
      <c r="BG39" s="163" t="s">
        <v>781</v>
      </c>
      <c r="BH39" s="163" t="s">
        <v>899</v>
      </c>
      <c r="BI39" s="163" t="s">
        <v>879</v>
      </c>
      <c r="BJ39" s="163" t="s">
        <v>880</v>
      </c>
      <c r="BK39" s="163" t="s">
        <v>881</v>
      </c>
    </row>
    <row r="40" spans="1:63">
      <c r="P40" s="250"/>
      <c r="Q40" s="124" t="s">
        <v>762</v>
      </c>
      <c r="R40" s="117"/>
      <c r="S40" s="113">
        <f>'Gas Type Curve'!A24</f>
        <v>0.25954430502869336</v>
      </c>
      <c r="T40" s="94">
        <f>'Gas Type Curve'!B24</f>
        <v>3.1145316603443201</v>
      </c>
      <c r="U40" s="94">
        <f>'Gas Type Curve'!C24</f>
        <v>793.35309385222683</v>
      </c>
      <c r="V40" s="94">
        <f>'Gas Type Curve'!D24</f>
        <v>24131.156604671902</v>
      </c>
      <c r="W40" s="94">
        <f>'Gas Type Curve'!E24</f>
        <v>166766.21738362542</v>
      </c>
      <c r="X40" s="250"/>
      <c r="AC40" s="132"/>
      <c r="AD40" s="132"/>
      <c r="AE40" s="3"/>
      <c r="AF40" s="3"/>
      <c r="AG40" s="132"/>
      <c r="AH40" s="132"/>
      <c r="AI40" s="132"/>
      <c r="AJ40" s="33"/>
      <c r="AK40" s="163"/>
      <c r="AL40" s="35"/>
      <c r="AM40" s="248" t="s">
        <v>957</v>
      </c>
      <c r="AN40" s="163" t="s">
        <v>913</v>
      </c>
      <c r="AO40" s="163" t="s">
        <v>785</v>
      </c>
      <c r="AP40" s="163" t="s">
        <v>787</v>
      </c>
      <c r="AQ40" s="163" t="s">
        <v>787</v>
      </c>
      <c r="AR40" s="163" t="s">
        <v>792</v>
      </c>
      <c r="AS40" s="163" t="s">
        <v>877</v>
      </c>
      <c r="AT40" s="163" t="s">
        <v>878</v>
      </c>
      <c r="AU40" s="163" t="s">
        <v>875</v>
      </c>
      <c r="AV40" s="163" t="s">
        <v>874</v>
      </c>
      <c r="AW40" s="181" t="s">
        <v>764</v>
      </c>
      <c r="AX40" s="181" t="s">
        <v>788</v>
      </c>
      <c r="AY40" s="181" t="s">
        <v>959</v>
      </c>
      <c r="AZ40" s="181" t="s">
        <v>797</v>
      </c>
      <c r="BA40" s="181" t="s">
        <v>915</v>
      </c>
      <c r="BB40" s="181" t="s">
        <v>764</v>
      </c>
      <c r="BC40" s="163" t="s">
        <v>917</v>
      </c>
      <c r="BD40" s="163" t="s">
        <v>764</v>
      </c>
      <c r="BE40" s="163" t="s">
        <v>764</v>
      </c>
      <c r="BF40" s="163" t="s">
        <v>799</v>
      </c>
      <c r="BG40" s="35"/>
      <c r="BH40" s="163"/>
      <c r="BI40" s="35"/>
      <c r="BJ40" s="35"/>
      <c r="BK40" s="35"/>
    </row>
    <row r="41" spans="1:63">
      <c r="B41" s="64"/>
      <c r="C41" s="64"/>
      <c r="D41" s="64"/>
      <c r="E41" s="64"/>
      <c r="F41" s="64"/>
      <c r="G41" s="64"/>
      <c r="K41" s="109">
        <f>'Liquids Type Curve'!A18</f>
        <v>4.3478260869565251E-2</v>
      </c>
      <c r="L41" s="65">
        <f>'Liquids Type Curve'!B18</f>
        <v>0.52173913043478304</v>
      </c>
      <c r="M41" s="65">
        <f>'Liquids Type Curve'!C18</f>
        <v>55.2173913043478</v>
      </c>
      <c r="N41" s="65">
        <f>'Liquids Type Curve'!D18</f>
        <v>1679.5289855072456</v>
      </c>
      <c r="O41" s="65">
        <f>'Liquids Type Curve'!E18</f>
        <v>1679.5289855072456</v>
      </c>
      <c r="P41" s="250"/>
      <c r="Q41" s="125"/>
      <c r="R41" s="189"/>
      <c r="S41" s="113">
        <f>'Gas Type Curve'!A25</f>
        <v>0.30672478358136335</v>
      </c>
      <c r="T41" s="94">
        <f>'Gas Type Curve'!B25</f>
        <v>3.6806974029763602</v>
      </c>
      <c r="U41" s="94">
        <f>'Gas Type Curve'!C25</f>
        <v>824.61413235452267</v>
      </c>
      <c r="V41" s="94">
        <f>'Gas Type Curve'!D25</f>
        <v>25082.013192450064</v>
      </c>
      <c r="W41" s="94">
        <f>'Gas Type Curve'!E25</f>
        <v>191848.2305760755</v>
      </c>
      <c r="X41" s="250"/>
      <c r="AC41" s="126"/>
      <c r="AD41" s="126"/>
      <c r="AE41" s="3"/>
      <c r="AF41" s="3"/>
      <c r="AG41" s="132"/>
      <c r="AH41" s="132"/>
      <c r="AI41" s="132"/>
      <c r="AJ41" s="33"/>
      <c r="AW41" s="3"/>
      <c r="AY41" s="3"/>
      <c r="AZ41" s="3"/>
    </row>
    <row r="42" spans="1:63">
      <c r="I42" s="121" t="s">
        <v>760</v>
      </c>
      <c r="J42" s="117"/>
      <c r="K42" s="109">
        <f>'Liquids Type Curve'!A19</f>
        <v>7.7098078867542746E-2</v>
      </c>
      <c r="L42" s="65">
        <f>'Liquids Type Curve'!B19</f>
        <v>0.92517694641051296</v>
      </c>
      <c r="M42" s="65">
        <f>'Liquids Type Curve'!C19</f>
        <v>63.913043478260803</v>
      </c>
      <c r="N42" s="65">
        <f>'Liquids Type Curve'!D19</f>
        <v>1944.0217391304329</v>
      </c>
      <c r="O42" s="65">
        <f>'Liquids Type Curve'!E19</f>
        <v>3623.5507246376783</v>
      </c>
      <c r="P42" s="250"/>
      <c r="Q42" s="124" t="s">
        <v>765</v>
      </c>
      <c r="R42" s="117"/>
      <c r="S42" s="113">
        <f>'Gas Type Curve'!A26</f>
        <v>0.35394477677268665</v>
      </c>
      <c r="T42" s="94">
        <f>'Gas Type Curve'!B26</f>
        <v>4.2473373212722398</v>
      </c>
      <c r="U42" s="94">
        <f>'Gas Type Curve'!C26</f>
        <v>826.95191436425762</v>
      </c>
      <c r="V42" s="94">
        <f>'Gas Type Curve'!D26</f>
        <v>25153.120728579503</v>
      </c>
      <c r="W42" s="94">
        <f>'Gas Type Curve'!E26</f>
        <v>217001.35130465499</v>
      </c>
      <c r="X42" s="250"/>
      <c r="AC42" s="287" t="s">
        <v>794</v>
      </c>
      <c r="AD42" s="287"/>
      <c r="AE42" s="287"/>
      <c r="AF42" s="287"/>
      <c r="AG42" s="287"/>
      <c r="AH42" s="287"/>
      <c r="AI42" s="129"/>
      <c r="AJ42" s="33"/>
      <c r="AW42" s="3"/>
      <c r="AY42" s="3"/>
      <c r="AZ42" s="3"/>
    </row>
    <row r="43" spans="1:63">
      <c r="I43" s="121"/>
      <c r="J43" s="117"/>
      <c r="K43" s="109">
        <f>'Liquids Type Curve'!A20</f>
        <v>0.12285136501516584</v>
      </c>
      <c r="L43" s="65">
        <f>'Liquids Type Curve'!B20</f>
        <v>1.4742163801819901</v>
      </c>
      <c r="M43" s="65">
        <f>'Liquids Type Curve'!C20</f>
        <v>69.130434782608702</v>
      </c>
      <c r="N43" s="65">
        <f>'Liquids Type Curve'!D20</f>
        <v>2102.717391304348</v>
      </c>
      <c r="O43" s="65">
        <f>'Liquids Type Curve'!E20</f>
        <v>5726.2681159420263</v>
      </c>
      <c r="P43" s="250"/>
      <c r="Q43" s="124" t="s">
        <v>772</v>
      </c>
      <c r="R43" s="117"/>
      <c r="S43" s="113">
        <f>'Gas Type Curve'!A27</f>
        <v>0.40701293648477749</v>
      </c>
      <c r="T43" s="94">
        <f>'Gas Type Curve'!B27</f>
        <v>4.8841552378173301</v>
      </c>
      <c r="U43" s="94">
        <f>'Gas Type Curve'!C27</f>
        <v>834.80334188257018</v>
      </c>
      <c r="V43" s="94">
        <f>'Gas Type Curve'!D27</f>
        <v>25391.934982261511</v>
      </c>
      <c r="W43" s="94">
        <f>'Gas Type Curve'!E27</f>
        <v>242393.2862869165</v>
      </c>
      <c r="X43" s="250"/>
      <c r="AC43" s="132"/>
      <c r="AD43" s="132"/>
      <c r="AE43" s="3"/>
      <c r="AF43" s="3"/>
      <c r="AG43" s="132"/>
      <c r="AH43" s="132"/>
      <c r="AI43" s="132"/>
      <c r="AJ43" s="33"/>
      <c r="AW43" s="3"/>
      <c r="AY43" s="3"/>
      <c r="AZ43" s="3"/>
    </row>
    <row r="44" spans="1:63">
      <c r="I44" s="121" t="s">
        <v>761</v>
      </c>
      <c r="J44" s="117"/>
      <c r="K44" s="109">
        <f>'Liquids Type Curve'!A21</f>
        <v>0.16885743174924084</v>
      </c>
      <c r="L44" s="65">
        <f>'Liquids Type Curve'!B21</f>
        <v>2.0262891809908901</v>
      </c>
      <c r="M44" s="65">
        <f>'Liquids Type Curve'!C21</f>
        <v>72.608695652173907</v>
      </c>
      <c r="N44" s="65">
        <f>'Liquids Type Curve'!D21</f>
        <v>2208.514492753623</v>
      </c>
      <c r="O44" s="65">
        <f>'Liquids Type Curve'!E21</f>
        <v>7934.7826086956493</v>
      </c>
      <c r="P44" s="250"/>
      <c r="Q44" s="125"/>
      <c r="R44" s="189"/>
      <c r="S44" s="113">
        <f>'Gas Type Curve'!A28</f>
        <v>0.44245756735726083</v>
      </c>
      <c r="T44" s="94">
        <f>'Gas Type Curve'!B28</f>
        <v>5.3094908082871299</v>
      </c>
      <c r="U44" s="94">
        <f>'Gas Type Curve'!C28</f>
        <v>858.01068910970207</v>
      </c>
      <c r="V44" s="94">
        <f>'Gas Type Curve'!D28</f>
        <v>26097.825127086773</v>
      </c>
      <c r="W44" s="94">
        <f>'Gas Type Curve'!E28</f>
        <v>268491.11141400324</v>
      </c>
      <c r="X44" s="250"/>
      <c r="AC44" s="118" t="s">
        <v>773</v>
      </c>
      <c r="AD44" s="119" t="s">
        <v>806</v>
      </c>
      <c r="AE44" s="119" t="s">
        <v>774</v>
      </c>
      <c r="AF44" s="119" t="s">
        <v>805</v>
      </c>
      <c r="AG44" s="119" t="s">
        <v>775</v>
      </c>
      <c r="AH44" s="119" t="s">
        <v>804</v>
      </c>
      <c r="AI44" s="140" t="s">
        <v>795</v>
      </c>
      <c r="AJ44" s="126"/>
      <c r="AO44"/>
      <c r="AW44" s="3"/>
      <c r="AY44" s="3"/>
      <c r="AZ44" s="3"/>
    </row>
    <row r="45" spans="1:63">
      <c r="I45" s="121"/>
      <c r="J45" s="117"/>
      <c r="K45" s="109">
        <f>'Liquids Type Curve'!A22</f>
        <v>0.21486349848331585</v>
      </c>
      <c r="L45" s="65">
        <f>'Liquids Type Curve'!B22</f>
        <v>2.57836198179979</v>
      </c>
      <c r="M45" s="65">
        <f>'Liquids Type Curve'!C22</f>
        <v>76.086956521739197</v>
      </c>
      <c r="N45" s="65">
        <f>'Liquids Type Curve'!D22</f>
        <v>2314.3115942029008</v>
      </c>
      <c r="O45" s="65">
        <f>'Liquids Type Curve'!E22</f>
        <v>10249.09420289855</v>
      </c>
      <c r="P45" s="250"/>
      <c r="Q45" s="124" t="s">
        <v>766</v>
      </c>
      <c r="R45" s="117"/>
      <c r="S45" s="113">
        <f>'Gas Type Curve'!A29</f>
        <v>0.54246911779009743</v>
      </c>
      <c r="T45" s="94">
        <f>'Gas Type Curve'!B29</f>
        <v>6.5096294134811696</v>
      </c>
      <c r="U45" s="94">
        <f>'Gas Type Curve'!C29</f>
        <v>905.69701902845225</v>
      </c>
      <c r="V45" s="94">
        <f>'Gas Type Curve'!D29</f>
        <v>27548.284328782091</v>
      </c>
      <c r="W45" s="94">
        <f>'Gas Type Curve'!E29</f>
        <v>296039.39574278536</v>
      </c>
      <c r="X45" s="250"/>
      <c r="AC45" s="139"/>
      <c r="AD45" s="70"/>
      <c r="AE45" s="141"/>
      <c r="AF45" s="141"/>
      <c r="AG45" s="130"/>
      <c r="AH45" s="130"/>
      <c r="AI45" s="144"/>
      <c r="AJ45" s="126"/>
      <c r="AL45" s="47"/>
      <c r="AM45" s="47"/>
      <c r="AO45"/>
      <c r="AW45" s="100"/>
      <c r="AX45" s="100"/>
      <c r="AY45" s="3"/>
      <c r="AZ45" s="3"/>
      <c r="BF45" s="217">
        <f>-'Capital Cost Calculation'!B2</f>
        <v>-3750000</v>
      </c>
      <c r="BG45" s="211"/>
      <c r="BH45" s="216" t="e">
        <f>SUM(BE46:BE152)+BF45+(BG153/(1+$AC$3)^AL153)</f>
        <v>#REF!</v>
      </c>
      <c r="BI45" s="216" t="e">
        <f>BH45*0.9</f>
        <v>#REF!</v>
      </c>
      <c r="BJ45" s="216" t="e">
        <f>BH45*0.8</f>
        <v>#REF!</v>
      </c>
      <c r="BK45" s="216" t="e">
        <f>BH45*0.7</f>
        <v>#REF!</v>
      </c>
    </row>
    <row r="46" spans="1:63" s="3" customFormat="1">
      <c r="A46" s="120" t="s">
        <v>760</v>
      </c>
      <c r="B46" s="109" t="e">
        <f>'[1]Oil Production'!#REF!</f>
        <v>#REF!</v>
      </c>
      <c r="C46" s="65"/>
      <c r="D46" s="65">
        <f>'[1]Oil Production'!A7</f>
        <v>1</v>
      </c>
      <c r="E46" s="65">
        <f>'[1]Oil Production'!B7</f>
        <v>243.78363670856345</v>
      </c>
      <c r="F46" s="65">
        <f>'[1]Oil Production'!C7</f>
        <v>7415.0856165521382</v>
      </c>
      <c r="G46" s="65">
        <f>'[1]Oil Production'!D7</f>
        <v>7415.0856165521382</v>
      </c>
      <c r="H46" s="1"/>
      <c r="I46" s="121" t="s">
        <v>762</v>
      </c>
      <c r="J46" s="117"/>
      <c r="K46" s="109">
        <f>'Liquids Type Curve'!A23</f>
        <v>0.272497472194135</v>
      </c>
      <c r="L46" s="65">
        <f>'Liquids Type Curve'!B23</f>
        <v>3.2699696663296201</v>
      </c>
      <c r="M46" s="65">
        <f>'Liquids Type Curve'!C23</f>
        <v>79.565217391304401</v>
      </c>
      <c r="N46" s="65">
        <f>'Liquids Type Curve'!D23</f>
        <v>2420.1086956521758</v>
      </c>
      <c r="O46" s="65">
        <f>'Liquids Type Curve'!E23</f>
        <v>12669.202898550726</v>
      </c>
      <c r="P46" s="250"/>
      <c r="Q46" s="124" t="s">
        <v>767</v>
      </c>
      <c r="R46" s="117"/>
      <c r="S46" s="114">
        <f>'Gas Type Curve'!A30</f>
        <v>0.58380142982200078</v>
      </c>
      <c r="T46" s="99">
        <f>'Gas Type Curve'!B30</f>
        <v>7.0056171578640098</v>
      </c>
      <c r="U46" s="99">
        <f>'Gas Type Curve'!C30</f>
        <v>939.33914886428636</v>
      </c>
      <c r="V46" s="99">
        <f>'Gas Type Curve'!D30</f>
        <v>28571.565777955377</v>
      </c>
      <c r="W46" s="99">
        <f>'Gas Type Curve'!E30</f>
        <v>324610.96152074076</v>
      </c>
      <c r="X46" s="250"/>
      <c r="AA46" s="117"/>
      <c r="AB46" s="117" t="s">
        <v>760</v>
      </c>
      <c r="AC46" s="191">
        <f>V37*'Price Deck'!K5</f>
        <v>54860.286233203682</v>
      </c>
      <c r="AD46" s="192">
        <f>V37/$AB$3</f>
        <v>3916.7209952953631</v>
      </c>
      <c r="AE46" s="197">
        <f>N42*'Price Deck'!T5</f>
        <v>32665.397282608665</v>
      </c>
      <c r="AF46" s="198">
        <f>N42</f>
        <v>1944.0217391304329</v>
      </c>
      <c r="AG46" s="203">
        <f>F46*'Price Deck'!F5</f>
        <v>495136.45106517291</v>
      </c>
      <c r="AH46" s="204">
        <f t="shared" ref="AH46:AH56" si="0">F46</f>
        <v>7415.0856165521382</v>
      </c>
      <c r="AI46" s="142">
        <f>AD46+AF46+AH46</f>
        <v>13275.828350977934</v>
      </c>
      <c r="AJ46" s="130"/>
      <c r="AK46" s="210">
        <v>1</v>
      </c>
      <c r="AL46" s="210">
        <v>0</v>
      </c>
      <c r="AM46" s="257">
        <f>AI46</f>
        <v>13275.828350977934</v>
      </c>
      <c r="AN46" s="133">
        <f>AC46+AE46+AG46</f>
        <v>582662.13458098529</v>
      </c>
      <c r="AO46" s="133">
        <f t="shared" ref="AO46:AO56" si="1">AN46/(AD46+AF46+AH46)</f>
        <v>43.888947580289013</v>
      </c>
      <c r="AP46" s="133">
        <f>'Production Costs '!$N$22</f>
        <v>-6.5424999999999995</v>
      </c>
      <c r="AQ46" s="133">
        <f>'Production Costs '!$N$23</f>
        <v>-1.1487500000000002</v>
      </c>
      <c r="AR46" s="162">
        <f>-'Oil Royalties'!W11</f>
        <v>-3.3387102770594925</v>
      </c>
      <c r="AS46" s="162">
        <f>-'Butane Royalties'!AD11</f>
        <v>-1.2250000000000001</v>
      </c>
      <c r="AT46" s="162">
        <f>-'Propane Royalties'!AD11</f>
        <v>-1.425</v>
      </c>
      <c r="AU46" s="162">
        <f>-'Ethane Royalties'!AH11</f>
        <v>-0.18149999999999997</v>
      </c>
      <c r="AV46" s="162">
        <f>-'Natural Gas Royalties'!AB11</f>
        <v>-0.11672239418955309</v>
      </c>
      <c r="AW46" s="133">
        <f>AN46+(AI46*(AP46+AQ46))+(AR46*AH46)+(AV46*(AD46*$AB$3))+(AS46*'Butane Royalties'!K11)+(AT46*'Propane Royalties'!K11)+(AU46*'Ethane Royalties'!K11)</f>
        <v>451657.44992972346</v>
      </c>
      <c r="AX46" s="133">
        <f t="shared" ref="AX46:AX56" si="2">AW46/(AD46+AF46+AH46)</f>
        <v>34.021037180437268</v>
      </c>
      <c r="AY46" s="133">
        <f>ABS($BF$45*AD3/12)</f>
        <v>93974.533174325014</v>
      </c>
      <c r="AZ46" s="133">
        <f>ABS(BF45+AY46)</f>
        <v>3656025.4668256752</v>
      </c>
      <c r="BA46" s="133">
        <f>AW46-AY46</f>
        <v>357682.91675539844</v>
      </c>
      <c r="BB46" s="133">
        <f>AW46</f>
        <v>451657.44992972346</v>
      </c>
      <c r="BC46" s="133">
        <f>BA46*$AD$3</f>
        <v>107561.87240486247</v>
      </c>
      <c r="BD46" s="133">
        <f>BB46-BC46</f>
        <v>344095.57752486097</v>
      </c>
      <c r="BE46" s="133">
        <f>BD46</f>
        <v>344095.57752486097</v>
      </c>
      <c r="BF46" s="133"/>
    </row>
    <row r="47" spans="1:63">
      <c r="A47" s="120" t="s">
        <v>761</v>
      </c>
      <c r="B47" s="109" t="e">
        <f>'[1]Oil Production'!#REF!</f>
        <v>#REF!</v>
      </c>
      <c r="C47" s="65"/>
      <c r="D47" s="65">
        <f>'[1]Oil Production'!A8</f>
        <v>2</v>
      </c>
      <c r="E47" s="65">
        <f>'[1]Oil Production'!B8</f>
        <v>182.67840003098269</v>
      </c>
      <c r="F47" s="65">
        <f>'[1]Oil Production'!C8</f>
        <v>5556.4680009423901</v>
      </c>
      <c r="G47" s="65">
        <f>'[1]Oil Production'!D8</f>
        <v>12971.553617494528</v>
      </c>
      <c r="I47" s="121" t="s">
        <v>765</v>
      </c>
      <c r="J47" s="117"/>
      <c r="K47" s="109">
        <f>'Liquids Type Curve'!A24</f>
        <v>0.3415065722952475</v>
      </c>
      <c r="L47" s="65">
        <f>'Liquids Type Curve'!B24</f>
        <v>4.09807886754297</v>
      </c>
      <c r="M47" s="65">
        <f>'Liquids Type Curve'!C24</f>
        <v>84.7826086956522</v>
      </c>
      <c r="N47" s="65">
        <f>'Liquids Type Curve'!D24</f>
        <v>2578.8043478260879</v>
      </c>
      <c r="O47" s="65">
        <f>'Liquids Type Curve'!E24</f>
        <v>15248.007246376814</v>
      </c>
      <c r="P47" s="250"/>
      <c r="Q47" s="124"/>
      <c r="R47" s="117"/>
      <c r="S47" s="113">
        <f>'Gas Type Curve'!A31</f>
        <v>0.60751021301429753</v>
      </c>
      <c r="T47" s="94">
        <f>'Gas Type Curve'!B31</f>
        <v>7.2901225561715703</v>
      </c>
      <c r="U47" s="94">
        <f>'Gas Type Curve'!C31</f>
        <v>967.4676331915299</v>
      </c>
      <c r="V47" s="94">
        <f>'Gas Type Curve'!D31</f>
        <v>29427.140509575704</v>
      </c>
      <c r="W47" s="94">
        <f>'Gas Type Curve'!E31</f>
        <v>354038.10203031648</v>
      </c>
      <c r="X47" s="250"/>
      <c r="AA47" s="117"/>
      <c r="AB47" s="117" t="s">
        <v>761</v>
      </c>
      <c r="AC47" s="193">
        <f>V38*'Price Deck'!K6</f>
        <v>55941.802406203853</v>
      </c>
      <c r="AD47" s="194">
        <f>V38/AB3</f>
        <v>3928.5722513169326</v>
      </c>
      <c r="AE47" s="199">
        <f>N44*'Price Deck'!T6</f>
        <v>37109.66902173913</v>
      </c>
      <c r="AF47" s="200">
        <f>N44</f>
        <v>2208.514492753623</v>
      </c>
      <c r="AG47" s="205">
        <f>F47*'Price Deck'!F6</f>
        <v>372527.9740688873</v>
      </c>
      <c r="AH47" s="206">
        <f t="shared" si="0"/>
        <v>5556.4680009423901</v>
      </c>
      <c r="AI47" s="142">
        <f t="shared" ref="AI47:AI56" si="3">AD47+AF47+AH47</f>
        <v>11693.554745012945</v>
      </c>
      <c r="AJ47" s="130"/>
      <c r="AK47" s="210">
        <v>2</v>
      </c>
      <c r="AL47" s="210">
        <v>0</v>
      </c>
      <c r="AM47" s="257">
        <f t="shared" ref="AM47:AM56" si="4">AI47</f>
        <v>11693.554745012945</v>
      </c>
      <c r="AN47" s="133">
        <f t="shared" ref="AN47:AN56" si="5">AC47+AE47+AG47</f>
        <v>465579.44549683027</v>
      </c>
      <c r="AO47" s="133">
        <f t="shared" si="1"/>
        <v>39.815048173900252</v>
      </c>
      <c r="AP47" s="133">
        <f>'Production Costs '!$N$22</f>
        <v>-6.5424999999999995</v>
      </c>
      <c r="AQ47" s="133">
        <f>'Production Costs '!$N$23</f>
        <v>-1.1487500000000002</v>
      </c>
      <c r="AR47" s="162">
        <f>-'Oil Royalties'!W12</f>
        <v>-3.352201200526177</v>
      </c>
      <c r="AS47" s="162">
        <f>-'Butane Royalties'!AD12</f>
        <v>-1.2250000000000001</v>
      </c>
      <c r="AT47" s="162">
        <f>-'Propane Royalties'!AD12</f>
        <v>-1.425</v>
      </c>
      <c r="AU47" s="162">
        <f>-'Ethane Royalties'!AH12</f>
        <v>-0.18149999999999997</v>
      </c>
      <c r="AV47" s="162">
        <f>-'Natural Gas Royalties'!AB12</f>
        <v>-0.11866440449506624</v>
      </c>
      <c r="AW47" s="133">
        <f>AN47+(AI47*(AP47+AQ47))+(AR47*AH47)+(AV47*(AD47*$AB$3))+(AS47*'Butane Royalties'!K12)+(AT47*'Propane Royalties'!K12)+(AU47*'Ethane Royalties'!K12)</f>
        <v>352600.7498165819</v>
      </c>
      <c r="AX47" s="133">
        <f t="shared" si="2"/>
        <v>30.153427037826859</v>
      </c>
      <c r="AY47" s="133">
        <f>AZ46*$AD$3/12</f>
        <v>91619.543071569715</v>
      </c>
      <c r="AZ47" s="133">
        <f>AZ46-AY47</f>
        <v>3564405.9237541053</v>
      </c>
      <c r="BA47" s="133">
        <f t="shared" ref="BA47:BA110" si="6">AW47-AY47</f>
        <v>260981.2067450122</v>
      </c>
      <c r="BB47" s="133">
        <f t="shared" ref="BB47:BB56" si="7">AW47</f>
        <v>352600.7498165819</v>
      </c>
      <c r="BC47" s="133">
        <f t="shared" ref="BC47:BC110" si="8">BA47*$AD$3</f>
        <v>78481.878627630475</v>
      </c>
      <c r="BD47" s="133">
        <f t="shared" ref="BD47:BD110" si="9">BB47-BC47</f>
        <v>274118.87118895142</v>
      </c>
      <c r="BE47" s="133">
        <f t="shared" ref="BE47:BE56" si="10">BD47</f>
        <v>274118.87118895142</v>
      </c>
      <c r="BF47" s="133"/>
    </row>
    <row r="48" spans="1:63" s="3" customFormat="1">
      <c r="A48" s="120" t="s">
        <v>762</v>
      </c>
      <c r="B48" s="109" t="e">
        <f>'[1]Oil Production'!#REF!</f>
        <v>#REF!</v>
      </c>
      <c r="C48" s="65"/>
      <c r="D48" s="65">
        <f>'[1]Oil Production'!A9</f>
        <v>3</v>
      </c>
      <c r="E48" s="65">
        <f>'[1]Oil Production'!B9</f>
        <v>154.30544362643755</v>
      </c>
      <c r="F48" s="65">
        <f>'[1]Oil Production'!C9</f>
        <v>4693.4572436374756</v>
      </c>
      <c r="G48" s="65">
        <f>'[1]Oil Production'!D9</f>
        <v>17665.010861132003</v>
      </c>
      <c r="H48" s="1"/>
      <c r="I48" s="121"/>
      <c r="J48" s="117"/>
      <c r="K48" s="109">
        <f>'Liquids Type Curve'!A25</f>
        <v>0.38220424671385161</v>
      </c>
      <c r="L48" s="65">
        <f>'Liquids Type Curve'!B25</f>
        <v>4.5864509605662196</v>
      </c>
      <c r="M48" s="65">
        <f>'Liquids Type Curve'!C25</f>
        <v>84.7826086956522</v>
      </c>
      <c r="N48" s="65">
        <f>'Liquids Type Curve'!D25</f>
        <v>2578.8043478260879</v>
      </c>
      <c r="O48" s="65">
        <f>'Liquids Type Curve'!E25</f>
        <v>17826.811594202904</v>
      </c>
      <c r="P48" s="250"/>
      <c r="Q48" s="124"/>
      <c r="R48" s="117"/>
      <c r="S48" s="114">
        <f>'Gas Type Curve'!A32</f>
        <v>0.63714619200466827</v>
      </c>
      <c r="T48" s="99">
        <f>'Gas Type Curve'!B32</f>
        <v>7.6457543040560196</v>
      </c>
      <c r="U48" s="99">
        <f>'Gas Type Curve'!C32</f>
        <v>995.43716308571277</v>
      </c>
      <c r="V48" s="99">
        <f>'Gas Type Curve'!D32</f>
        <v>30277.880377190431</v>
      </c>
      <c r="W48" s="99">
        <f>'Gas Type Curve'!E32</f>
        <v>384315.9824075069</v>
      </c>
      <c r="X48" s="250"/>
      <c r="AA48" s="117"/>
      <c r="AB48" s="117" t="s">
        <v>762</v>
      </c>
      <c r="AC48" s="193">
        <f>V40*'Price Deck'!K7</f>
        <v>58045.849265718687</v>
      </c>
      <c r="AD48" s="194">
        <f>V40/AB3</f>
        <v>4021.8594341119838</v>
      </c>
      <c r="AE48" s="199">
        <f>N46*'Price Deck'!T7</f>
        <v>40665.086413043515</v>
      </c>
      <c r="AF48" s="200">
        <f>N46</f>
        <v>2420.1086956521758</v>
      </c>
      <c r="AG48" s="205">
        <f>F48*'Price Deck'!F7</f>
        <v>317090.90290748788</v>
      </c>
      <c r="AH48" s="206">
        <f t="shared" si="0"/>
        <v>4693.4572436374756</v>
      </c>
      <c r="AI48" s="142">
        <f t="shared" si="3"/>
        <v>11135.425373401635</v>
      </c>
      <c r="AJ48" s="130"/>
      <c r="AK48" s="210">
        <v>3</v>
      </c>
      <c r="AL48" s="210">
        <v>0</v>
      </c>
      <c r="AM48" s="257">
        <f t="shared" si="4"/>
        <v>11135.425373401635</v>
      </c>
      <c r="AN48" s="133">
        <f t="shared" si="5"/>
        <v>415801.83858625009</v>
      </c>
      <c r="AO48" s="133">
        <f t="shared" si="1"/>
        <v>37.340453969494973</v>
      </c>
      <c r="AP48" s="133">
        <f>'Production Costs '!$N$22</f>
        <v>-6.5424999999999995</v>
      </c>
      <c r="AQ48" s="133">
        <f>'Production Costs '!$N$23</f>
        <v>-1.1487500000000002</v>
      </c>
      <c r="AR48" s="162">
        <f>-'Oil Royalties'!W13</f>
        <v>-3.3780099236798344</v>
      </c>
      <c r="AS48" s="162">
        <f>-'Butane Royalties'!AD13</f>
        <v>-1.2250000000000001</v>
      </c>
      <c r="AT48" s="162">
        <f>-'Propane Royalties'!AD13</f>
        <v>-1.425</v>
      </c>
      <c r="AU48" s="162">
        <f>-'Ethane Royalties'!AH13</f>
        <v>-0.18149999999999999</v>
      </c>
      <c r="AV48" s="162">
        <f>-'Natural Gas Royalties'!AB13</f>
        <v>-0.12027158543755991</v>
      </c>
      <c r="AW48" s="133">
        <f>AN48+(AI48*(AP48+AQ48))+(AR48*AH48)+(AV48*(AD48*$AB$3))+(AS48*'Butane Royalties'!K13)+(AT48*'Propane Royalties'!K13)+(AU48*'Ethane Royalties'!K13)</f>
        <v>309650.49408528401</v>
      </c>
      <c r="AX48" s="133">
        <f t="shared" si="2"/>
        <v>27.807693348196935</v>
      </c>
      <c r="AY48" s="133">
        <f t="shared" ref="AY48:AY111" si="11">AZ47*$AD$3/12</f>
        <v>89323.568727624195</v>
      </c>
      <c r="AZ48" s="133">
        <f>AZ47-AY48</f>
        <v>3475082.3550264812</v>
      </c>
      <c r="BA48" s="133">
        <f t="shared" si="6"/>
        <v>220326.92535765981</v>
      </c>
      <c r="BB48" s="133">
        <f t="shared" si="7"/>
        <v>309650.49408528401</v>
      </c>
      <c r="BC48" s="133">
        <f t="shared" si="8"/>
        <v>66256.383859905385</v>
      </c>
      <c r="BD48" s="133">
        <f t="shared" si="9"/>
        <v>243394.11022537862</v>
      </c>
      <c r="BE48" s="133">
        <f t="shared" si="10"/>
        <v>243394.11022537862</v>
      </c>
      <c r="BF48" s="133"/>
    </row>
    <row r="49" spans="1:58">
      <c r="A49" s="120" t="s">
        <v>765</v>
      </c>
      <c r="B49" s="109" t="e">
        <f>'[1]Oil Production'!#REF!</f>
        <v>#REF!</v>
      </c>
      <c r="C49" s="65"/>
      <c r="D49" s="65">
        <f>'[1]Oil Production'!A10</f>
        <v>4</v>
      </c>
      <c r="E49" s="65">
        <f>'[1]Oil Production'!B10</f>
        <v>136.88940852816268</v>
      </c>
      <c r="F49" s="65">
        <f>'[1]Oil Production'!C10</f>
        <v>4163.7195093982818</v>
      </c>
      <c r="G49" s="65">
        <f>'[1]Oil Production'!D10</f>
        <v>21828.730370530284</v>
      </c>
      <c r="I49" s="121" t="s">
        <v>772</v>
      </c>
      <c r="J49" s="117"/>
      <c r="K49" s="109">
        <f>'Liquids Type Curve'!A26</f>
        <v>0.4165824064711825</v>
      </c>
      <c r="L49" s="65">
        <f>'Liquids Type Curve'!B26</f>
        <v>4.99898887765419</v>
      </c>
      <c r="M49" s="65">
        <f>'Liquids Type Curve'!C26</f>
        <v>88.260869565217405</v>
      </c>
      <c r="N49" s="65">
        <f>'Liquids Type Curve'!D26</f>
        <v>2684.6014492753629</v>
      </c>
      <c r="O49" s="65">
        <f>'Liquids Type Curve'!E26</f>
        <v>20511.413043478267</v>
      </c>
      <c r="P49" s="250"/>
      <c r="Q49" s="124" t="s">
        <v>768</v>
      </c>
      <c r="R49" s="117"/>
      <c r="S49" s="113">
        <f>'Gas Type Curve'!A33</f>
        <v>0.66682168563369248</v>
      </c>
      <c r="T49" s="94">
        <f>'Gas Type Curve'!B33</f>
        <v>8.0018602276043094</v>
      </c>
      <c r="U49" s="94">
        <f>'Gas Type Curve'!C33</f>
        <v>1015.3530017047262</v>
      </c>
      <c r="V49" s="94">
        <f>'Gas Type Curve'!D33</f>
        <v>30883.653801852091</v>
      </c>
      <c r="W49" s="94">
        <f>'Gas Type Curve'!E33</f>
        <v>415199.63620935899</v>
      </c>
      <c r="X49" s="250"/>
      <c r="AA49" s="117"/>
      <c r="AB49" s="117" t="s">
        <v>765</v>
      </c>
      <c r="AC49" s="193">
        <f>V42*'Price Deck'!K8</f>
        <v>62087.450812174749</v>
      </c>
      <c r="AD49" s="194">
        <f>V42/AB3</f>
        <v>4192.1867880965838</v>
      </c>
      <c r="AE49" s="199">
        <f>N47*'Price Deck'!T8</f>
        <v>43331.649456521758</v>
      </c>
      <c r="AF49" s="200">
        <f>N47</f>
        <v>2578.8043478260879</v>
      </c>
      <c r="AG49" s="205">
        <f>F49*'Price Deck'!F8</f>
        <v>283597.45887654112</v>
      </c>
      <c r="AH49" s="206">
        <f t="shared" si="0"/>
        <v>4163.7195093982818</v>
      </c>
      <c r="AI49" s="142">
        <f t="shared" si="3"/>
        <v>10934.710645320953</v>
      </c>
      <c r="AJ49" s="130"/>
      <c r="AK49" s="210">
        <v>4</v>
      </c>
      <c r="AL49" s="210">
        <v>0</v>
      </c>
      <c r="AM49" s="257">
        <f t="shared" si="4"/>
        <v>10934.710645320953</v>
      </c>
      <c r="AN49" s="133">
        <f t="shared" si="5"/>
        <v>389016.55914523761</v>
      </c>
      <c r="AO49" s="133">
        <f t="shared" si="1"/>
        <v>35.576301171874249</v>
      </c>
      <c r="AP49" s="133">
        <f>'Production Costs '!$N$22</f>
        <v>-6.5424999999999995</v>
      </c>
      <c r="AQ49" s="133">
        <f>'Production Costs '!$N$23</f>
        <v>-1.1487500000000002</v>
      </c>
      <c r="AR49" s="162">
        <f>-'Oil Royalties'!W14</f>
        <v>-3.4055783325030591</v>
      </c>
      <c r="AS49" s="162">
        <f>-'Butane Royalties'!AD14</f>
        <v>-1.2250000000000001</v>
      </c>
      <c r="AT49" s="162">
        <f>-'Propane Royalties'!AD14</f>
        <v>-1.425</v>
      </c>
      <c r="AU49" s="162">
        <f>-'Ethane Royalties'!AH14</f>
        <v>-0.18149999999999999</v>
      </c>
      <c r="AV49" s="162">
        <f>-'Natural Gas Royalties'!AB14</f>
        <v>-0.12341898144994327</v>
      </c>
      <c r="AW49" s="133">
        <f>AN49+(AI49*(AP49+AQ49))+(AR49*AH49)+(AV49*(AD49*$AB$3))+(AS49*'Butane Royalties'!K14)+(AT49*'Propane Royalties'!K14)+(AU49*'Ethane Royalties'!K14)</f>
        <v>285793.54554403498</v>
      </c>
      <c r="AX49" s="133">
        <f t="shared" si="2"/>
        <v>26.13636106286253</v>
      </c>
      <c r="AY49" s="133">
        <f t="shared" si="11"/>
        <v>87085.13121491934</v>
      </c>
      <c r="AZ49" s="133">
        <f>AZ48-AY49</f>
        <v>3387997.2238115617</v>
      </c>
      <c r="BA49" s="133">
        <f t="shared" si="6"/>
        <v>198708.41432911565</v>
      </c>
      <c r="BB49" s="133">
        <f t="shared" si="7"/>
        <v>285793.54554403498</v>
      </c>
      <c r="BC49" s="133">
        <f t="shared" si="8"/>
        <v>59755.29751804479</v>
      </c>
      <c r="BD49" s="133">
        <f t="shared" si="9"/>
        <v>226038.24802599018</v>
      </c>
      <c r="BE49" s="133">
        <f t="shared" si="10"/>
        <v>226038.24802599018</v>
      </c>
      <c r="BF49" s="133"/>
    </row>
    <row r="50" spans="1:58">
      <c r="A50" s="120" t="s">
        <v>772</v>
      </c>
      <c r="B50" s="109" t="e">
        <f>'[1]Oil Production'!#REF!</f>
        <v>#REF!</v>
      </c>
      <c r="C50" s="65"/>
      <c r="D50" s="65">
        <f>'[1]Oil Production'!A11</f>
        <v>5</v>
      </c>
      <c r="E50" s="65">
        <f>'[1]Oil Production'!B11</f>
        <v>124.74601198856659</v>
      </c>
      <c r="F50" s="65">
        <f>'[1]Oil Production'!C11</f>
        <v>3794.3578646522342</v>
      </c>
      <c r="G50" s="65">
        <f>'[1]Oil Production'!D11</f>
        <v>25623.088235182517</v>
      </c>
      <c r="I50" s="121" t="s">
        <v>766</v>
      </c>
      <c r="J50" s="117"/>
      <c r="K50" s="109">
        <f>'Liquids Type Curve'!A27</f>
        <v>0.48559150657229505</v>
      </c>
      <c r="L50" s="65">
        <f>'Liquids Type Curve'!B27</f>
        <v>5.8270980788675404</v>
      </c>
      <c r="M50" s="65">
        <f>'Liquids Type Curve'!C27</f>
        <v>93.478260869565304</v>
      </c>
      <c r="N50" s="65">
        <f>'Liquids Type Curve'!D27</f>
        <v>2843.2971014492782</v>
      </c>
      <c r="O50" s="65">
        <f>'Liquids Type Curve'!E27</f>
        <v>23354.710144927547</v>
      </c>
      <c r="P50" s="250"/>
      <c r="Q50" s="124"/>
      <c r="R50" s="117"/>
      <c r="S50" s="113">
        <f>'Gas Type Curve'!A34</f>
        <v>0.71439731057290079</v>
      </c>
      <c r="T50" s="94">
        <f>'Gas Type Curve'!B34</f>
        <v>8.5727677268748099</v>
      </c>
      <c r="U50" s="94">
        <f>'Gas Type Curve'!C34</f>
        <v>979.05195583063301</v>
      </c>
      <c r="V50" s="94">
        <f>'Gas Type Curve'!D34</f>
        <v>29779.496989848423</v>
      </c>
      <c r="W50" s="94">
        <f>'Gas Type Curve'!E34</f>
        <v>444979.13319920743</v>
      </c>
      <c r="X50" s="250"/>
      <c r="AA50" s="117"/>
      <c r="AB50" s="117" t="s">
        <v>772</v>
      </c>
      <c r="AC50" s="193">
        <f>V43*'Price Deck'!K9</f>
        <v>64377.328134266667</v>
      </c>
      <c r="AD50" s="194">
        <f>V43/AB3</f>
        <v>4231.9891637102519</v>
      </c>
      <c r="AE50" s="199">
        <f>N49*'Price Deck'!T9</f>
        <v>45109.358152173925</v>
      </c>
      <c r="AF50" s="200">
        <f>N49</f>
        <v>2684.6014492753629</v>
      </c>
      <c r="AG50" s="205">
        <f>F50*'Price Deck'!F9</f>
        <v>260353.69671154112</v>
      </c>
      <c r="AH50" s="206">
        <f t="shared" si="0"/>
        <v>3794.3578646522342</v>
      </c>
      <c r="AI50" s="142">
        <f t="shared" si="3"/>
        <v>10710.948477637849</v>
      </c>
      <c r="AJ50" s="130"/>
      <c r="AK50" s="210">
        <v>5</v>
      </c>
      <c r="AL50" s="210">
        <v>0</v>
      </c>
      <c r="AM50" s="257">
        <f t="shared" si="4"/>
        <v>10710.948477637849</v>
      </c>
      <c r="AN50" s="133">
        <f>AC50+AE50+AG50</f>
        <v>369840.38299798174</v>
      </c>
      <c r="AO50" s="133">
        <f t="shared" si="1"/>
        <v>34.529190740682651</v>
      </c>
      <c r="AP50" s="133">
        <f>'Production Costs '!$N$22</f>
        <v>-6.5424999999999995</v>
      </c>
      <c r="AQ50" s="133">
        <f>'Production Costs '!$N$23</f>
        <v>-1.1487500000000002</v>
      </c>
      <c r="AR50" s="162">
        <f>-'Oil Royalties'!W15</f>
        <v>-3.4308004937668608</v>
      </c>
      <c r="AS50" s="162">
        <f>-'Butane Royalties'!AD15</f>
        <v>-1.2250000000000003</v>
      </c>
      <c r="AT50" s="162">
        <f>-'Propane Royalties'!AD15</f>
        <v>-1.425</v>
      </c>
      <c r="AU50" s="162">
        <f>-'Ethane Royalties'!AH15</f>
        <v>-0.18149999999999997</v>
      </c>
      <c r="AV50" s="162">
        <f>-'Natural Gas Royalties'!AB15</f>
        <v>-0.12676727508013838</v>
      </c>
      <c r="AW50" s="133">
        <f>AN50+(AI50*(AP50+AQ50))+(AR50*AH50)+(AV50*(AD50*$AB$3))+(AS50*'Butane Royalties'!K15)+(AT50*'Propane Royalties'!K15)+(AU50*'Ethane Royalties'!K15)</f>
        <v>269298.06603430567</v>
      </c>
      <c r="AX50" s="133">
        <f t="shared" si="2"/>
        <v>25.142317377078413</v>
      </c>
      <c r="AY50" s="133">
        <f t="shared" si="11"/>
        <v>84902.788667626839</v>
      </c>
      <c r="AZ50" s="133">
        <f t="shared" ref="AZ50:AZ113" si="12">AZ49-AY50</f>
        <v>3303094.435143935</v>
      </c>
      <c r="BA50" s="133">
        <f t="shared" si="6"/>
        <v>184395.27736667881</v>
      </c>
      <c r="BB50" s="133">
        <f t="shared" si="7"/>
        <v>269298.06603430567</v>
      </c>
      <c r="BC50" s="133">
        <f t="shared" si="8"/>
        <v>55451.072352268216</v>
      </c>
      <c r="BD50" s="133">
        <f t="shared" si="9"/>
        <v>213846.99368203746</v>
      </c>
      <c r="BE50" s="133">
        <f t="shared" si="10"/>
        <v>213846.99368203746</v>
      </c>
      <c r="BF50" s="133"/>
    </row>
    <row r="51" spans="1:58">
      <c r="A51" s="120" t="s">
        <v>766</v>
      </c>
      <c r="B51" s="109" t="e">
        <f>'[1]Oil Production'!#REF!</f>
        <v>#REF!</v>
      </c>
      <c r="C51" s="65"/>
      <c r="D51" s="65">
        <f>'[1]Oil Production'!A12</f>
        <v>6</v>
      </c>
      <c r="E51" s="65">
        <f>'[1]Oil Production'!B12</f>
        <v>115.62823468519711</v>
      </c>
      <c r="F51" s="65">
        <f>'[1]Oil Production'!C12</f>
        <v>3517.0254716747459</v>
      </c>
      <c r="G51" s="65">
        <f>'[1]Oil Production'!D12</f>
        <v>29140.113706857264</v>
      </c>
      <c r="I51" s="121"/>
      <c r="J51" s="117"/>
      <c r="K51" s="109">
        <f>'Liquids Type Curve'!A28</f>
        <v>0.55535894843276001</v>
      </c>
      <c r="L51" s="65">
        <f>'Liquids Type Curve'!B28</f>
        <v>6.6643073811931197</v>
      </c>
      <c r="M51" s="65">
        <f>'Liquids Type Curve'!C28</f>
        <v>93.478260869565304</v>
      </c>
      <c r="N51" s="65">
        <f>'Liquids Type Curve'!D28</f>
        <v>2843.2971014492782</v>
      </c>
      <c r="O51" s="65">
        <f>'Liquids Type Curve'!E28</f>
        <v>26198.007246376827</v>
      </c>
      <c r="P51" s="250"/>
      <c r="Q51" s="124" t="s">
        <v>770</v>
      </c>
      <c r="R51" s="117"/>
      <c r="S51" s="113">
        <f>'Gas Type Curve'!A35</f>
        <v>0.7322974418830851</v>
      </c>
      <c r="T51" s="94">
        <f>'Gas Type Curve'!B35</f>
        <v>8.7875693025970207</v>
      </c>
      <c r="U51" s="94">
        <f>'Gas Type Curve'!C35</f>
        <v>1001.5078402162386</v>
      </c>
      <c r="V51" s="94">
        <f>'Gas Type Curve'!D35</f>
        <v>30462.530139910592</v>
      </c>
      <c r="W51" s="94">
        <f>'Gas Type Curve'!E35</f>
        <v>475441.66333911801</v>
      </c>
      <c r="X51" s="250"/>
      <c r="AA51" s="117"/>
      <c r="AB51" s="117" t="s">
        <v>766</v>
      </c>
      <c r="AC51" s="193">
        <f>V45*'Price Deck'!K10</f>
        <v>70471.649015449555</v>
      </c>
      <c r="AD51" s="194">
        <f>V45/AB3</f>
        <v>4591.3807214636818</v>
      </c>
      <c r="AE51" s="199">
        <f>N50*'Price Deck'!T8</f>
        <v>47775.921195652227</v>
      </c>
      <c r="AF51" s="200">
        <f>N50</f>
        <v>2843.2971014492782</v>
      </c>
      <c r="AG51" s="205">
        <f>F51*'Price Deck'!F10</f>
        <v>242603.2854227956</v>
      </c>
      <c r="AH51" s="206">
        <f t="shared" si="0"/>
        <v>3517.0254716747459</v>
      </c>
      <c r="AI51" s="142">
        <f t="shared" si="3"/>
        <v>10951.703294587705</v>
      </c>
      <c r="AJ51" s="130"/>
      <c r="AK51" s="210">
        <v>6</v>
      </c>
      <c r="AL51" s="210">
        <v>0</v>
      </c>
      <c r="AM51" s="257">
        <f t="shared" si="4"/>
        <v>10951.703294587705</v>
      </c>
      <c r="AN51" s="133">
        <f t="shared" si="5"/>
        <v>360850.85563389736</v>
      </c>
      <c r="AO51" s="133">
        <f t="shared" si="1"/>
        <v>32.949290710991832</v>
      </c>
      <c r="AP51" s="133">
        <f>'Production Costs '!$N$22</f>
        <v>-6.5424999999999995</v>
      </c>
      <c r="AQ51" s="133">
        <f>'Production Costs '!$N$23</f>
        <v>-1.1487500000000002</v>
      </c>
      <c r="AR51" s="162">
        <f>-'Oil Royalties'!W16</f>
        <v>-3.4489839123523915</v>
      </c>
      <c r="AS51" s="162">
        <f>-'Butane Royalties'!AD16</f>
        <v>-1.2250000000000001</v>
      </c>
      <c r="AT51" s="162">
        <f>-'Propane Royalties'!AD16</f>
        <v>-1.4249999999999998</v>
      </c>
      <c r="AU51" s="162">
        <f>-'Ethane Royalties'!AH16</f>
        <v>-0.18149999999999997</v>
      </c>
      <c r="AV51" s="162">
        <f>-'Natural Gas Royalties'!AB16</f>
        <v>-0.12790569491440468</v>
      </c>
      <c r="AW51" s="133">
        <f>AN51+(AI51*(AP51+AQ51))+(AR51*AH51)+(AV51*(AD51*$AB$3))+(AS51*'Butane Royalties'!K16)+(AT51*'Propane Royalties'!K16)+(AU51*'Ethane Royalties'!K16)</f>
        <v>258951.62932792216</v>
      </c>
      <c r="AX51" s="133">
        <f t="shared" si="2"/>
        <v>23.644872615924061</v>
      </c>
      <c r="AY51" s="133">
        <f t="shared" si="11"/>
        <v>82775.135352896541</v>
      </c>
      <c r="AZ51" s="133">
        <f t="shared" si="12"/>
        <v>3220319.2997910385</v>
      </c>
      <c r="BA51" s="133">
        <f t="shared" si="6"/>
        <v>176176.4939750256</v>
      </c>
      <c r="BB51" s="133">
        <f t="shared" si="7"/>
        <v>258951.62932792216</v>
      </c>
      <c r="BC51" s="133">
        <f t="shared" si="8"/>
        <v>52979.532088295404</v>
      </c>
      <c r="BD51" s="133">
        <f t="shared" si="9"/>
        <v>205972.09723962675</v>
      </c>
      <c r="BE51" s="133">
        <f t="shared" si="10"/>
        <v>205972.09723962675</v>
      </c>
      <c r="BF51" s="133"/>
    </row>
    <row r="52" spans="1:58">
      <c r="A52" s="120" t="s">
        <v>767</v>
      </c>
      <c r="B52" s="109" t="e">
        <f>'[1]Oil Production'!#REF!</f>
        <v>#REF!</v>
      </c>
      <c r="C52" s="65"/>
      <c r="D52" s="65">
        <f>'[1]Oil Production'!A13</f>
        <v>7</v>
      </c>
      <c r="E52" s="65">
        <f>'[1]Oil Production'!B13</f>
        <v>108.44118777864109</v>
      </c>
      <c r="F52" s="65">
        <f>'[1]Oil Production'!C13</f>
        <v>3298.4194616003333</v>
      </c>
      <c r="G52" s="65">
        <f>'[1]Oil Production'!D13</f>
        <v>32438.533168457598</v>
      </c>
      <c r="I52" s="121" t="s">
        <v>767</v>
      </c>
      <c r="J52" s="117"/>
      <c r="K52" s="110">
        <f>'Liquids Type Curve'!A29</f>
        <v>0.61931243680485337</v>
      </c>
      <c r="L52" s="96">
        <f>'Liquids Type Curve'!B29</f>
        <v>7.43174924165824</v>
      </c>
      <c r="M52" s="96">
        <f>'Liquids Type Curve'!C29</f>
        <v>93.478260869565304</v>
      </c>
      <c r="N52" s="96">
        <f>'Liquids Type Curve'!D29</f>
        <v>2843.2971014492782</v>
      </c>
      <c r="O52" s="96">
        <f>'Liquids Type Curve'!E29</f>
        <v>29041.304347826106</v>
      </c>
      <c r="P52" s="250"/>
      <c r="Q52" s="124"/>
      <c r="R52" s="117"/>
      <c r="S52" s="113">
        <f>'Gas Type Curve'!A36</f>
        <v>0.77979403754498511</v>
      </c>
      <c r="T52" s="94">
        <f>'Gas Type Curve'!B36</f>
        <v>9.3575284505398209</v>
      </c>
      <c r="U52" s="94">
        <f>'Gas Type Curve'!C36</f>
        <v>978.77413112588874</v>
      </c>
      <c r="V52" s="94">
        <f>'Gas Type Curve'!D36</f>
        <v>29771.046488412452</v>
      </c>
      <c r="W52" s="94">
        <f>'Gas Type Curve'!E36</f>
        <v>505212.70982753043</v>
      </c>
      <c r="X52" s="250"/>
      <c r="AA52" s="117"/>
      <c r="AB52" s="117" t="s">
        <v>767</v>
      </c>
      <c r="AC52" s="193">
        <f>V46*'Price Deck'!K11</f>
        <v>72591.856355605181</v>
      </c>
      <c r="AD52" s="194">
        <f>V46/AB3</f>
        <v>4761.9276296592298</v>
      </c>
      <c r="AE52" s="199">
        <f>N52*'Price Deck'!T11</f>
        <v>47775.921195652227</v>
      </c>
      <c r="AF52" s="200">
        <f>N52</f>
        <v>2843.2971014492782</v>
      </c>
      <c r="AG52" s="205">
        <f>F52*'Price Deck'!F11</f>
        <v>228259.10950310651</v>
      </c>
      <c r="AH52" s="206">
        <f t="shared" si="0"/>
        <v>3298.4194616003333</v>
      </c>
      <c r="AI52" s="142">
        <f t="shared" si="3"/>
        <v>10903.644192708842</v>
      </c>
      <c r="AJ52" s="130"/>
      <c r="AK52" s="210">
        <v>7</v>
      </c>
      <c r="AL52" s="210">
        <v>0</v>
      </c>
      <c r="AM52" s="257">
        <f t="shared" si="4"/>
        <v>10903.644192708842</v>
      </c>
      <c r="AN52" s="133">
        <f t="shared" si="5"/>
        <v>348626.88705436391</v>
      </c>
      <c r="AO52" s="133">
        <f t="shared" si="1"/>
        <v>31.973428414647575</v>
      </c>
      <c r="AP52" s="133">
        <f>'Production Costs '!$N$22</f>
        <v>-6.5424999999999995</v>
      </c>
      <c r="AQ52" s="133">
        <f>'Production Costs '!$N$23</f>
        <v>-1.1487500000000002</v>
      </c>
      <c r="AR52" s="162">
        <f>-'Oil Royalties'!W17</f>
        <v>-3.4601285882596531</v>
      </c>
      <c r="AS52" s="162">
        <f>-'Butane Royalties'!AD17</f>
        <v>-1.2250000000000001</v>
      </c>
      <c r="AT52" s="162">
        <f>-'Propane Royalties'!AD17</f>
        <v>-1.425</v>
      </c>
      <c r="AU52" s="162">
        <f>-'Ethane Royalties'!AH17</f>
        <v>-0.18149999999999999</v>
      </c>
      <c r="AV52" s="162">
        <f>-'Natural Gas Royalties'!AB17</f>
        <v>-0.12703513857055398</v>
      </c>
      <c r="AW52" s="133">
        <f>AN52+(AI52*(AP52+AQ52))+(AR52*AH52)+(AV52*(AD52*$AB$3))+(AS52*'Butane Royalties'!K17)+(AT52*'Propane Royalties'!K17)+(AU52*'Ethane Royalties'!K17)</f>
        <v>247576.48117947383</v>
      </c>
      <c r="AX52" s="133">
        <f t="shared" si="2"/>
        <v>22.705847403295291</v>
      </c>
      <c r="AY52" s="133">
        <f t="shared" si="11"/>
        <v>80700.800765368534</v>
      </c>
      <c r="AZ52" s="133">
        <f t="shared" si="12"/>
        <v>3139618.4990256699</v>
      </c>
      <c r="BA52" s="133">
        <f t="shared" si="6"/>
        <v>166875.6804141053</v>
      </c>
      <c r="BB52" s="133">
        <f t="shared" si="7"/>
        <v>247576.48117947383</v>
      </c>
      <c r="BC52" s="133">
        <f t="shared" si="8"/>
        <v>50182.605328202866</v>
      </c>
      <c r="BD52" s="133">
        <f t="shared" si="9"/>
        <v>197393.87585127098</v>
      </c>
      <c r="BE52" s="133">
        <f t="shared" si="10"/>
        <v>197393.87585127098</v>
      </c>
      <c r="BF52" s="133"/>
    </row>
    <row r="53" spans="1:58">
      <c r="A53" s="120" t="s">
        <v>768</v>
      </c>
      <c r="B53" s="110" t="e">
        <f>'[1]Oil Production'!#REF!</f>
        <v>#REF!</v>
      </c>
      <c r="C53" s="96"/>
      <c r="D53" s="96">
        <f>'[1]Oil Production'!A14</f>
        <v>8</v>
      </c>
      <c r="E53" s="96">
        <f>'[1]Oil Production'!B14</f>
        <v>102.57759080445241</v>
      </c>
      <c r="F53" s="96">
        <f>'[1]Oil Production'!C14</f>
        <v>3120.0683869687609</v>
      </c>
      <c r="G53" s="96">
        <f>'[1]Oil Production'!D14</f>
        <v>35558.601555426358</v>
      </c>
      <c r="H53" s="98"/>
      <c r="I53" s="122" t="s">
        <v>768</v>
      </c>
      <c r="J53" s="190"/>
      <c r="K53" s="110">
        <f>'Liquids Type Curve'!A30</f>
        <v>0.67189079878665325</v>
      </c>
      <c r="L53" s="96">
        <f>'Liquids Type Curve'!B30</f>
        <v>8.0626895854398395</v>
      </c>
      <c r="M53" s="96">
        <f>'Liquids Type Curve'!C30</f>
        <v>92</v>
      </c>
      <c r="N53" s="96">
        <f>'Liquids Type Curve'!D30</f>
        <v>2798.3333333333335</v>
      </c>
      <c r="O53" s="96">
        <f>'Liquids Type Curve'!E30</f>
        <v>31839.637681159438</v>
      </c>
      <c r="P53" s="250"/>
      <c r="Q53" s="124"/>
      <c r="R53" s="117"/>
      <c r="S53" s="113">
        <f>'Gas Type Curve'!A37</f>
        <v>0.80354233537593578</v>
      </c>
      <c r="T53" s="94">
        <f>'Gas Type Curve'!B37</f>
        <v>9.6425080245112298</v>
      </c>
      <c r="U53" s="94">
        <f>'Gas Type Curve'!C37</f>
        <v>1006.7436610200714</v>
      </c>
      <c r="V53" s="94">
        <f>'Gas Type Curve'!D37</f>
        <v>30621.786356027173</v>
      </c>
      <c r="W53" s="94">
        <f>'Gas Type Curve'!E37</f>
        <v>535834.49618355755</v>
      </c>
      <c r="X53" s="250"/>
      <c r="AA53" s="117"/>
      <c r="AB53" s="117" t="s">
        <v>768</v>
      </c>
      <c r="AC53" s="193">
        <f>V49*'Price Deck'!K12</f>
        <v>79127.993069998032</v>
      </c>
      <c r="AD53" s="194">
        <f>V49/AB3</f>
        <v>5147.2756336420152</v>
      </c>
      <c r="AE53" s="199">
        <f>N53*'Price Deck'!T12</f>
        <v>47020.395000000004</v>
      </c>
      <c r="AF53" s="200">
        <f>N53</f>
        <v>2798.3333333333335</v>
      </c>
      <c r="AG53" s="205">
        <f>F53*'Price Deck'!F12</f>
        <v>216209.57457504218</v>
      </c>
      <c r="AH53" s="206">
        <f t="shared" si="0"/>
        <v>3120.0683869687609</v>
      </c>
      <c r="AI53" s="142">
        <f t="shared" si="3"/>
        <v>11065.677353944109</v>
      </c>
      <c r="AJ53" s="130"/>
      <c r="AK53" s="210">
        <v>8</v>
      </c>
      <c r="AL53" s="210">
        <v>0</v>
      </c>
      <c r="AM53" s="257">
        <f t="shared" si="4"/>
        <v>11065.677353944109</v>
      </c>
      <c r="AN53" s="133">
        <f t="shared" si="5"/>
        <v>342357.96264504024</v>
      </c>
      <c r="AO53" s="133">
        <f t="shared" si="1"/>
        <v>30.938726269930012</v>
      </c>
      <c r="AP53" s="133">
        <f>'Production Costs '!$N$22</f>
        <v>-6.5424999999999995</v>
      </c>
      <c r="AQ53" s="133">
        <f>'Production Costs '!$N$23</f>
        <v>-1.1487500000000002</v>
      </c>
      <c r="AR53" s="162">
        <f>-'Oil Royalties'!W18</f>
        <v>-3.4648210833784998</v>
      </c>
      <c r="AS53" s="162">
        <f>-'Butane Royalties'!AD18</f>
        <v>-1.2250000000000001</v>
      </c>
      <c r="AT53" s="162">
        <f>-'Propane Royalties'!AD18</f>
        <v>-1.425</v>
      </c>
      <c r="AU53" s="162">
        <f>-'Ethane Royalties'!AH18</f>
        <v>-0.18149999999999999</v>
      </c>
      <c r="AV53" s="162">
        <f>-'Natural Gas Royalties'!AB18</f>
        <v>-0.1281065925322164</v>
      </c>
      <c r="AW53" s="133">
        <f>AN53+(AI53*(AP53+AQ53))+(AR53*AH53)+(AV53*(AD53*$AB$3))+(AS53*'Butane Royalties'!K18)+(AT53*'Propane Royalties'!K18)+(AU53*'Ethane Royalties'!K18)</f>
        <v>240336.989129483</v>
      </c>
      <c r="AX53" s="133">
        <f t="shared" si="2"/>
        <v>21.719139411183026</v>
      </c>
      <c r="AY53" s="133">
        <f t="shared" si="11"/>
        <v>78678.448744376612</v>
      </c>
      <c r="AZ53" s="133">
        <f t="shared" si="12"/>
        <v>3060940.0502812932</v>
      </c>
      <c r="BA53" s="133">
        <f t="shared" si="6"/>
        <v>161658.5403851064</v>
      </c>
      <c r="BB53" s="133">
        <f t="shared" si="7"/>
        <v>240336.989129483</v>
      </c>
      <c r="BC53" s="133">
        <f t="shared" si="8"/>
        <v>48613.714772266052</v>
      </c>
      <c r="BD53" s="133">
        <f t="shared" si="9"/>
        <v>191723.27435721696</v>
      </c>
      <c r="BE53" s="133">
        <f t="shared" si="10"/>
        <v>191723.27435721696</v>
      </c>
      <c r="BF53" s="133"/>
    </row>
    <row r="54" spans="1:58" s="3" customFormat="1">
      <c r="A54" s="120" t="s">
        <v>770</v>
      </c>
      <c r="B54" s="109" t="e">
        <f>'[1]Oil Production'!#REF!</f>
        <v>#REF!</v>
      </c>
      <c r="C54" s="65"/>
      <c r="D54" s="65">
        <f>'[1]Oil Production'!A15</f>
        <v>9</v>
      </c>
      <c r="E54" s="65">
        <f>'[1]Oil Production'!B15</f>
        <v>97.669270399867315</v>
      </c>
      <c r="F54" s="65">
        <f>'[1]Oil Production'!C15</f>
        <v>2970.7736413292978</v>
      </c>
      <c r="G54" s="65">
        <f>'[1]Oil Production'!D15</f>
        <v>38529.375196755653</v>
      </c>
      <c r="I54" s="121" t="s">
        <v>770</v>
      </c>
      <c r="J54" s="117"/>
      <c r="K54" s="109">
        <f>'Liquids Type Curve'!A31</f>
        <v>0.75522413211998662</v>
      </c>
      <c r="L54" s="65">
        <f>'Liquids Type Curve'!B31</f>
        <v>9.0626895854398395</v>
      </c>
      <c r="M54" s="65">
        <f>'Liquids Type Curve'!C31</f>
        <v>87.321809873686405</v>
      </c>
      <c r="N54" s="65">
        <f>'Liquids Type Curve'!D31</f>
        <v>2656.0383836579617</v>
      </c>
      <c r="O54" s="65">
        <f>'Liquids Type Curve'!E31</f>
        <v>34495.676064817402</v>
      </c>
      <c r="P54" s="250"/>
      <c r="Q54" s="124" t="s">
        <v>769</v>
      </c>
      <c r="R54" s="117"/>
      <c r="S54" s="114">
        <f>'Gas Type Curve'!A38</f>
        <v>0.83325734364361415</v>
      </c>
      <c r="T54" s="99">
        <f>'Gas Type Curve'!B38</f>
        <v>9.9990881237233697</v>
      </c>
      <c r="U54" s="99">
        <f>'Gas Type Curve'!C38</f>
        <v>1010.7110715218171</v>
      </c>
      <c r="V54" s="99">
        <f>'Gas Type Curve'!D38</f>
        <v>30742.461758788602</v>
      </c>
      <c r="W54" s="99">
        <f>'Gas Type Curve'!E38</f>
        <v>566576.95794234611</v>
      </c>
      <c r="X54" s="250"/>
      <c r="AA54" s="117"/>
      <c r="AB54" s="117" t="s">
        <v>770</v>
      </c>
      <c r="AC54" s="193">
        <f>V51*'Price Deck'!K13</f>
        <v>79925.772642216165</v>
      </c>
      <c r="AD54" s="194">
        <f>V51/AB3</f>
        <v>5077.088356651765</v>
      </c>
      <c r="AE54" s="199">
        <f>N54*'Price Deck'!T13</f>
        <v>44629.412960604735</v>
      </c>
      <c r="AF54" s="200">
        <f>N54</f>
        <v>2656.0383836579617</v>
      </c>
      <c r="AG54" s="205">
        <f>F54*'Price Deck'!F13</f>
        <v>205863.98292845735</v>
      </c>
      <c r="AH54" s="206">
        <f t="shared" si="0"/>
        <v>2970.7736413292978</v>
      </c>
      <c r="AI54" s="142">
        <f t="shared" si="3"/>
        <v>10703.900381639025</v>
      </c>
      <c r="AJ54" s="130"/>
      <c r="AK54" s="210">
        <v>9</v>
      </c>
      <c r="AL54" s="210">
        <v>0</v>
      </c>
      <c r="AM54" s="257">
        <f t="shared" si="4"/>
        <v>10703.900381639025</v>
      </c>
      <c r="AN54" s="133">
        <f t="shared" si="5"/>
        <v>330419.16853127826</v>
      </c>
      <c r="AO54" s="133">
        <f t="shared" si="1"/>
        <v>30.869043689724915</v>
      </c>
      <c r="AP54" s="133">
        <f>'Production Costs '!$N$22</f>
        <v>-6.5424999999999995</v>
      </c>
      <c r="AQ54" s="133">
        <f>'Production Costs '!$N$23</f>
        <v>-1.1487500000000002</v>
      </c>
      <c r="AR54" s="162">
        <f>-'Oil Royalties'!W19</f>
        <v>-3.4648210833784998</v>
      </c>
      <c r="AS54" s="162">
        <f>-'Butane Royalties'!AD19</f>
        <v>-1.2250000000000001</v>
      </c>
      <c r="AT54" s="162">
        <f>-'Propane Royalties'!AD19</f>
        <v>-1.4249999999999998</v>
      </c>
      <c r="AU54" s="162">
        <f>-'Ethane Royalties'!AH19</f>
        <v>-0.18149999999999997</v>
      </c>
      <c r="AV54" s="162">
        <f>-'Natural Gas Royalties'!AB19</f>
        <v>-0.13118702267199586</v>
      </c>
      <c r="AW54" s="133">
        <f>AN54+(AI54*(AP54+AQ54))+(AR54*AH54)+(AV54*(AD54*$AB$3))+(AS54*'Butane Royalties'!K19)+(AT54*'Propane Royalties'!K19)+(AU54*'Ethane Royalties'!K19)</f>
        <v>231570.09438086921</v>
      </c>
      <c r="AX54" s="133">
        <f t="shared" si="2"/>
        <v>21.634178768899403</v>
      </c>
      <c r="AY54" s="133">
        <f t="shared" si="11"/>
        <v>76706.776613274516</v>
      </c>
      <c r="AZ54" s="133">
        <f t="shared" si="12"/>
        <v>2984233.2736680186</v>
      </c>
      <c r="BA54" s="133">
        <f t="shared" si="6"/>
        <v>154863.31776759471</v>
      </c>
      <c r="BB54" s="133">
        <f t="shared" si="7"/>
        <v>231570.09438086921</v>
      </c>
      <c r="BC54" s="133">
        <f t="shared" si="8"/>
        <v>46570.265577717961</v>
      </c>
      <c r="BD54" s="133">
        <f t="shared" si="9"/>
        <v>184999.82880315126</v>
      </c>
      <c r="BE54" s="133">
        <f t="shared" si="10"/>
        <v>184999.82880315126</v>
      </c>
      <c r="BF54" s="133"/>
    </row>
    <row r="55" spans="1:58">
      <c r="A55" s="120" t="s">
        <v>769</v>
      </c>
      <c r="B55" s="110" t="e">
        <f>'[1]Oil Production'!#REF!</f>
        <v>#REF!</v>
      </c>
      <c r="C55" s="96"/>
      <c r="D55" s="96">
        <f>'[1]Oil Production'!A16</f>
        <v>10</v>
      </c>
      <c r="E55" s="96">
        <f>'[1]Oil Production'!B16</f>
        <v>93.477979851289291</v>
      </c>
      <c r="F55" s="96">
        <f>'[1]Oil Production'!C16</f>
        <v>2843.2885538100495</v>
      </c>
      <c r="G55" s="96">
        <f>'[1]Oil Production'!D16</f>
        <v>41372.663750565705</v>
      </c>
      <c r="I55" s="121" t="s">
        <v>769</v>
      </c>
      <c r="J55" s="117"/>
      <c r="K55" s="110">
        <f>'Liquids Type Curve'!A32</f>
        <v>0.83855746545331999</v>
      </c>
      <c r="L55" s="96">
        <f>'Liquids Type Curve'!B32</f>
        <v>10.062689585439839</v>
      </c>
      <c r="M55" s="96">
        <f>'Liquids Type Curve'!C32</f>
        <v>79.205102425857348</v>
      </c>
      <c r="N55" s="96">
        <f>'Liquids Type Curve'!D32</f>
        <v>2409.1551987864946</v>
      </c>
      <c r="O55" s="96">
        <f>'Liquids Type Curve'!E32</f>
        <v>36904.831263603897</v>
      </c>
      <c r="P55" s="250"/>
      <c r="Q55" s="124"/>
      <c r="R55" s="117"/>
      <c r="S55" s="113">
        <f>'Gas Type Curve'!A39</f>
        <v>0.86293283727263337</v>
      </c>
      <c r="T55" s="94">
        <f>'Gas Type Curve'!B39</f>
        <v>10.355194047271601</v>
      </c>
      <c r="U55" s="94">
        <f>'Gas Type Curve'!C39</f>
        <v>1033.1669559074217</v>
      </c>
      <c r="V55" s="94">
        <f>'Gas Type Curve'!D39</f>
        <v>31425.494908850742</v>
      </c>
      <c r="W55" s="94">
        <f>'Gas Type Curve'!E39</f>
        <v>598002.45285119687</v>
      </c>
      <c r="X55" s="250"/>
      <c r="AA55" s="117"/>
      <c r="AB55" s="117" t="s">
        <v>769</v>
      </c>
      <c r="AC55" s="193">
        <f>V54*'Price Deck'!K14</f>
        <v>86218.719154570616</v>
      </c>
      <c r="AD55" s="194">
        <f>V54/AB3</f>
        <v>5123.7436264647667</v>
      </c>
      <c r="AE55" s="199">
        <f>N55*'Price Deck'!T14</f>
        <v>40481.034805209471</v>
      </c>
      <c r="AF55" s="200">
        <f>N55</f>
        <v>2409.1551987864946</v>
      </c>
      <c r="AG55" s="205">
        <f>F55*'Price Deck'!F14</f>
        <v>196829.59078249306</v>
      </c>
      <c r="AH55" s="206">
        <f t="shared" si="0"/>
        <v>2843.2885538100495</v>
      </c>
      <c r="AI55" s="142">
        <f t="shared" si="3"/>
        <v>10376.18737906131</v>
      </c>
      <c r="AJ55" s="130"/>
      <c r="AK55" s="210">
        <v>10</v>
      </c>
      <c r="AL55" s="210">
        <v>0</v>
      </c>
      <c r="AM55" s="257">
        <f t="shared" si="4"/>
        <v>10376.18737906131</v>
      </c>
      <c r="AN55" s="133">
        <f t="shared" si="5"/>
        <v>323529.34474227316</v>
      </c>
      <c r="AO55" s="133">
        <f t="shared" si="1"/>
        <v>31.179982870696914</v>
      </c>
      <c r="AP55" s="133">
        <f>'Production Costs '!$N$22</f>
        <v>-6.5424999999999995</v>
      </c>
      <c r="AQ55" s="133">
        <f>'Production Costs '!$N$23</f>
        <v>-1.1487500000000002</v>
      </c>
      <c r="AR55" s="162">
        <f>-'Oil Royalties'!W20</f>
        <v>-3.4613017120393645</v>
      </c>
      <c r="AS55" s="162">
        <f>-'Butane Royalties'!AD20</f>
        <v>-1.2250000000000001</v>
      </c>
      <c r="AT55" s="162">
        <f>-'Propane Royalties'!AD20</f>
        <v>-1.425</v>
      </c>
      <c r="AU55" s="162">
        <f>-'Ethane Royalties'!AH20</f>
        <v>-0.18149999999999994</v>
      </c>
      <c r="AV55" s="162">
        <f>-'Natural Gas Royalties'!AB20</f>
        <v>-0.14022741547352266</v>
      </c>
      <c r="AW55" s="133">
        <f>AN55+(AI55*(AP55+AQ55))+(AR55*AH55)+(AV55*(AD55*$AB$3))+(AS55*'Butane Royalties'!K20)+(AT55*'Propane Royalties'!K20)+(AU55*'Ethane Royalties'!K20)</f>
        <v>227205.85293940309</v>
      </c>
      <c r="AX55" s="133">
        <f t="shared" si="2"/>
        <v>21.896853308363969</v>
      </c>
      <c r="AY55" s="133">
        <f t="shared" si="11"/>
        <v>74784.514340330599</v>
      </c>
      <c r="AZ55" s="133">
        <f t="shared" si="12"/>
        <v>2909448.7593276883</v>
      </c>
      <c r="BA55" s="133">
        <f t="shared" si="6"/>
        <v>152421.33859907248</v>
      </c>
      <c r="BB55" s="133">
        <f t="shared" si="7"/>
        <v>227205.85293940309</v>
      </c>
      <c r="BC55" s="133">
        <f t="shared" si="8"/>
        <v>45835.917250091392</v>
      </c>
      <c r="BD55" s="133">
        <f t="shared" si="9"/>
        <v>181369.93568931171</v>
      </c>
      <c r="BE55" s="133">
        <f t="shared" si="10"/>
        <v>181369.93568931171</v>
      </c>
      <c r="BF55" s="133"/>
    </row>
    <row r="56" spans="1:58">
      <c r="A56" s="120" t="s">
        <v>771</v>
      </c>
      <c r="B56" s="109" t="e">
        <f>'[1]Oil Production'!#REF!</f>
        <v>#REF!</v>
      </c>
      <c r="C56" s="65"/>
      <c r="D56" s="65">
        <f>'[1]Oil Production'!A17</f>
        <v>11</v>
      </c>
      <c r="E56" s="65">
        <f>'[1]Oil Production'!B17</f>
        <v>89.841654418063442</v>
      </c>
      <c r="F56" s="65">
        <f>'[1]Oil Production'!C17</f>
        <v>2732.6836552160967</v>
      </c>
      <c r="G56" s="65">
        <f>'[1]Oil Production'!D17</f>
        <v>44105.347405781802</v>
      </c>
      <c r="I56" s="121" t="s">
        <v>771</v>
      </c>
      <c r="J56" s="117"/>
      <c r="K56" s="109">
        <f>'Liquids Type Curve'!A33</f>
        <v>0.92189079878665336</v>
      </c>
      <c r="L56" s="65">
        <f>'Liquids Type Curve'!B33</f>
        <v>11.062689585439841</v>
      </c>
      <c r="M56" s="65">
        <f>'Liquids Type Curve'!C33</f>
        <v>72.510543092929751</v>
      </c>
      <c r="N56" s="65">
        <f>'Liquids Type Curve'!D33</f>
        <v>2205.5290190766132</v>
      </c>
      <c r="O56" s="65">
        <f>'Liquids Type Curve'!E33</f>
        <v>39110.360282680507</v>
      </c>
      <c r="P56" s="250"/>
      <c r="Q56" s="124" t="s">
        <v>771</v>
      </c>
      <c r="R56" s="117"/>
      <c r="S56" s="113">
        <f>'Gas Type Curve'!A40</f>
        <v>0.91666666666666663</v>
      </c>
      <c r="T56" s="94">
        <f>'Gas Type Curve'!B40</f>
        <v>11</v>
      </c>
      <c r="U56" s="94">
        <f>'Gas Type Curve'!C40</f>
        <v>1021.7307371131864</v>
      </c>
      <c r="V56" s="94">
        <f>'Gas Type Curve'!D40</f>
        <v>31077.64325385942</v>
      </c>
      <c r="W56" s="94">
        <f>'Gas Type Curve'!E40</f>
        <v>629080.09610505623</v>
      </c>
      <c r="X56" s="250"/>
      <c r="AA56" s="117"/>
      <c r="AB56" s="117" t="s">
        <v>771</v>
      </c>
      <c r="AC56" s="195">
        <f>V56*'Price Deck'!K15</f>
        <v>88525.18558845004</v>
      </c>
      <c r="AD56" s="196">
        <f>V56/AB3</f>
        <v>5179.6072089765703</v>
      </c>
      <c r="AE56" s="201">
        <f>N56*'Price Deck'!T15</f>
        <v>49718.810329918415</v>
      </c>
      <c r="AF56" s="202">
        <f>N56</f>
        <v>2205.5290190766132</v>
      </c>
      <c r="AG56" s="207">
        <f>F56*'Price Deck'!F15</f>
        <v>184246.12162672481</v>
      </c>
      <c r="AH56" s="208">
        <f t="shared" si="0"/>
        <v>2732.6836552160967</v>
      </c>
      <c r="AI56" s="143">
        <f t="shared" si="3"/>
        <v>10117.81988326928</v>
      </c>
      <c r="AJ56" s="130"/>
      <c r="AK56" s="210">
        <v>11</v>
      </c>
      <c r="AL56" s="210">
        <v>0</v>
      </c>
      <c r="AM56" s="257">
        <f t="shared" si="4"/>
        <v>10117.81988326928</v>
      </c>
      <c r="AN56" s="133">
        <f t="shared" si="5"/>
        <v>322490.11754509329</v>
      </c>
      <c r="AO56" s="133">
        <f t="shared" si="1"/>
        <v>31.873478799356722</v>
      </c>
      <c r="AP56" s="133">
        <f>'Production Costs '!$N$22</f>
        <v>-6.5424999999999995</v>
      </c>
      <c r="AQ56" s="133">
        <f>'Production Costs '!$N$23</f>
        <v>-1.1487500000000002</v>
      </c>
      <c r="AR56" s="162">
        <f>-'Oil Royalties'!W21</f>
        <v>-3.3711571640398108</v>
      </c>
      <c r="AS56" s="162">
        <f>-'Butane Royalties'!AD21</f>
        <v>-2.1585365853658538</v>
      </c>
      <c r="AT56" s="162">
        <f>-'Propane Royalties'!AD21</f>
        <v>-1.6402439024390245</v>
      </c>
      <c r="AU56" s="162">
        <f>-'Ethane Royalties'!AH21</f>
        <v>-0.21463414634146341</v>
      </c>
      <c r="AV56" s="162">
        <f>-'Natural Gas Royalties'!AB21</f>
        <v>-0.14242583465117872</v>
      </c>
      <c r="AW56" s="133">
        <f>AN56+(AI56*(AP56+AQ56))+(AR56*AH56)+(AV56*(AD56*$AB$3))+(AS56*'Butane Royalties'!K21)+(AT56*'Propane Royalties'!K21)+(AU56*'Ethane Royalties'!K21)</f>
        <v>227813.73757297566</v>
      </c>
      <c r="AX56" s="133">
        <f t="shared" si="2"/>
        <v>22.516089454180346</v>
      </c>
      <c r="AY56" s="133">
        <f t="shared" si="11"/>
        <v>72910.423720650288</v>
      </c>
      <c r="AZ56" s="133">
        <f t="shared" si="12"/>
        <v>2836538.3356070379</v>
      </c>
      <c r="BA56" s="133">
        <f t="shared" si="6"/>
        <v>154903.31385232537</v>
      </c>
      <c r="BB56" s="133">
        <f t="shared" si="7"/>
        <v>227813.73757297566</v>
      </c>
      <c r="BC56" s="133">
        <f t="shared" si="8"/>
        <v>46582.293140570335</v>
      </c>
      <c r="BD56" s="133">
        <f t="shared" si="9"/>
        <v>181231.44443240532</v>
      </c>
      <c r="BE56" s="133">
        <f t="shared" si="10"/>
        <v>181231.44443240532</v>
      </c>
      <c r="BF56" s="133"/>
    </row>
    <row r="57" spans="1:58" s="3" customFormat="1">
      <c r="B57" s="176" t="e">
        <f>'[1]Oil Production'!#REF!</f>
        <v>#REF!</v>
      </c>
      <c r="C57" s="177"/>
      <c r="D57" s="178">
        <f>'[1]Oil Production'!A18</f>
        <v>12</v>
      </c>
      <c r="E57" s="179">
        <f>'[1]Oil Production'!B18</f>
        <v>86.645605898276415</v>
      </c>
      <c r="F57" s="179">
        <f>'[1]Oil Production'!C18</f>
        <v>2635.4705127392413</v>
      </c>
      <c r="G57" s="179">
        <f>'[1]Oil Production'!D18</f>
        <v>46740.817918521047</v>
      </c>
      <c r="I57" s="177"/>
      <c r="J57" s="177"/>
      <c r="K57" s="176">
        <f>'Liquids Type Curve'!A34</f>
        <v>1.0052241321199866</v>
      </c>
      <c r="L57" s="178">
        <f>'Liquids Type Curve'!B34</f>
        <v>12.062689585439839</v>
      </c>
      <c r="M57" s="179">
        <f>'Liquids Type Curve'!C34</f>
        <v>66.891412926135061</v>
      </c>
      <c r="N57" s="179">
        <f>'Liquids Type Curve'!D34</f>
        <v>2034.6138098366082</v>
      </c>
      <c r="O57" s="179">
        <f>'Liquids Type Curve'!E34</f>
        <v>41144.974092517114</v>
      </c>
      <c r="P57" s="251"/>
      <c r="Q57" s="181"/>
      <c r="R57" s="181"/>
      <c r="S57" s="182">
        <f>'Gas Type Curve'!A41</f>
        <v>1</v>
      </c>
      <c r="T57" s="183">
        <f>'Gas Type Curve'!B41</f>
        <v>12</v>
      </c>
      <c r="U57" s="184">
        <f>'Gas Type Curve'!C41</f>
        <v>960.83410678204245</v>
      </c>
      <c r="V57" s="184">
        <f>'Gas Type Curve'!D41</f>
        <v>29225.370747953792</v>
      </c>
      <c r="W57" s="184">
        <f>'Gas Type Curve'!E41</f>
        <v>658305.46685301</v>
      </c>
      <c r="X57" s="250"/>
      <c r="AK57" s="146">
        <f>D57</f>
        <v>12</v>
      </c>
      <c r="AL57" s="146" t="e">
        <f>$B$57</f>
        <v>#REF!</v>
      </c>
      <c r="AM57" s="146">
        <f>F57+N57+(V57/$AB$3)</f>
        <v>9540.9794472348149</v>
      </c>
      <c r="AN57" s="133">
        <f>'Price Deck'!E16*F57+N57*'Price Deck'!T16+(V57*'Price Deck'!K16/$AB$3)</f>
        <v>214285.43686255295</v>
      </c>
      <c r="AO57" s="133">
        <f>AN57/(F57+N57+(V57/$AB$3))</f>
        <v>22.459479977672267</v>
      </c>
      <c r="AP57" s="133" t="e">
        <f>'Production Costs '!$N$22*(1+'Production Costs '!$P$2)^(AL57)</f>
        <v>#REF!</v>
      </c>
      <c r="AQ57" s="133" t="e">
        <f>'Production Costs '!$N$23*(1+'Production Costs '!$P$2)^AL57</f>
        <v>#REF!</v>
      </c>
      <c r="AR57" s="162">
        <f>-'Oil Royalties'!W22</f>
        <v>-3.3642900980122303</v>
      </c>
      <c r="AS57" s="162">
        <f>-'Butane Royalties'!AD22</f>
        <v>-2.1585365853658538</v>
      </c>
      <c r="AT57" s="162">
        <f>-'Propane Royalties'!AD22</f>
        <v>-1.6402439024390245</v>
      </c>
      <c r="AU57" s="162">
        <f>-'Ethane Royalties'!AH22</f>
        <v>-0.21463414634146341</v>
      </c>
      <c r="AV57" s="162">
        <f>-'Natural Gas Royalties'!AB22</f>
        <v>-0.13837521601562566</v>
      </c>
      <c r="AW57" s="133" t="e">
        <f>AN57+AM57*(AP57+AQ57)+(AR57*F57)+(AV57*(V57/$AB$3))+(AS57*'Butane Royalties'!K27)+(AT57*'Propane Royalties'!K27)+(AU57*'Ethane Royalties'!K27)</f>
        <v>#REF!</v>
      </c>
      <c r="AX57" s="133" t="e">
        <f>AW57/AM57</f>
        <v>#REF!</v>
      </c>
      <c r="AY57" s="133">
        <f t="shared" si="11"/>
        <v>71083.297578599522</v>
      </c>
      <c r="AZ57" s="133">
        <f t="shared" si="12"/>
        <v>2765455.0380284386</v>
      </c>
      <c r="BA57" s="133" t="e">
        <f t="shared" si="6"/>
        <v>#REF!</v>
      </c>
      <c r="BB57" s="133" t="e">
        <f>AW57</f>
        <v>#REF!</v>
      </c>
      <c r="BC57" s="133" t="e">
        <f t="shared" si="8"/>
        <v>#REF!</v>
      </c>
      <c r="BD57" s="133" t="e">
        <f t="shared" si="9"/>
        <v>#REF!</v>
      </c>
      <c r="BE57" s="133" t="e">
        <f t="shared" ref="BE57:BE88" si="13">BD57/(1+$AC$3)^AL57</f>
        <v>#REF!</v>
      </c>
      <c r="BF57" s="133"/>
    </row>
    <row r="58" spans="1:58">
      <c r="B58" s="109" t="e">
        <f>'[1]Oil Production'!#REF!</f>
        <v>#REF!</v>
      </c>
      <c r="C58" s="65" t="e">
        <f>B57</f>
        <v>#REF!</v>
      </c>
      <c r="D58" s="116">
        <f>'[1]Oil Production'!A19</f>
        <v>13</v>
      </c>
      <c r="E58" s="65">
        <f>'[1]Oil Production'!B19</f>
        <v>83.806025336714384</v>
      </c>
      <c r="F58" s="65">
        <f>'[1]Oil Production'!C19</f>
        <v>2549.0999373250625</v>
      </c>
      <c r="G58" s="65">
        <f>'[1]Oil Production'!D19</f>
        <v>49289.917855846106</v>
      </c>
      <c r="H58" s="95" t="e">
        <f>IF($C$58&gt;0,((E58-E46)/(E46)),0)</f>
        <v>#REF!</v>
      </c>
      <c r="K58" s="109">
        <f>'Liquids Type Curve'!A35</f>
        <v>1.0885574654533199</v>
      </c>
      <c r="L58" s="116">
        <f>'Liquids Type Curve'!B35</f>
        <v>13.062689585439838</v>
      </c>
      <c r="M58" s="65">
        <f>'Liquids Type Curve'!C35</f>
        <v>62.105653511985544</v>
      </c>
      <c r="N58" s="65">
        <f>'Liquids Type Curve'!D35</f>
        <v>1889.0469609895604</v>
      </c>
      <c r="O58" s="65">
        <f>'Liquids Type Curve'!E35</f>
        <v>43034.021053506673</v>
      </c>
      <c r="P58" s="250" t="e">
        <f>IF($C$58&gt;0,((M58-M42)/M42))</f>
        <v>#REF!</v>
      </c>
      <c r="S58" s="112">
        <f>'Gas Type Curve'!A42</f>
        <v>1.0833333333333333</v>
      </c>
      <c r="T58" s="128">
        <f>'Gas Type Curve'!B42</f>
        <v>13</v>
      </c>
      <c r="U58" s="94">
        <f>'Gas Type Curve'!C42</f>
        <v>908.02496020122555</v>
      </c>
      <c r="V58" s="94">
        <f>'Gas Type Curve'!D42</f>
        <v>27619.092539453944</v>
      </c>
      <c r="W58" s="94">
        <f>'Gas Type Curve'!E42</f>
        <v>685924.559392464</v>
      </c>
      <c r="X58" s="250" t="e">
        <f>IF(C58&gt;0,((U58-U37)/U37))</f>
        <v>#REF!</v>
      </c>
      <c r="AK58" s="146">
        <f t="shared" ref="AK58:AK121" si="14">D58</f>
        <v>13</v>
      </c>
      <c r="AL58" s="146" t="e">
        <f t="shared" ref="AL58:AL68" si="15">$B$57</f>
        <v>#REF!</v>
      </c>
      <c r="AM58" s="146">
        <f t="shared" ref="AM58:AM121" si="16">F58+N58+(V58/$AB$3)</f>
        <v>9041.3289882236131</v>
      </c>
      <c r="AN58" s="133">
        <f>'Price Deck'!E17*F58+N58*'Price Deck'!T17+(V58*'Price Deck'!K17/$AB$3)</f>
        <v>204148.78757197096</v>
      </c>
      <c r="AO58" s="133">
        <f t="shared" ref="AO58:AO121" si="17">AN58/(F58+N58+(V58/$AB$3))</f>
        <v>22.579511025190655</v>
      </c>
      <c r="AP58" s="133" t="e">
        <f>'Production Costs '!$N$22*(1+'Production Costs '!$P$2)^(AL58)</f>
        <v>#REF!</v>
      </c>
      <c r="AQ58" s="133" t="e">
        <f>'Production Costs '!$N$23*(1+'Production Costs '!$P$2)^AL58</f>
        <v>#REF!</v>
      </c>
      <c r="AR58" s="162">
        <f>-'Oil Royalties'!W23</f>
        <v>-3.3562785209800534</v>
      </c>
      <c r="AS58" s="162">
        <f>-'Butane Royalties'!AD23</f>
        <v>-2.1585365853658538</v>
      </c>
      <c r="AT58" s="162">
        <f>-'Propane Royalties'!AD23</f>
        <v>-1.6402439024390243</v>
      </c>
      <c r="AU58" s="162">
        <f>-'Ethane Royalties'!AH23</f>
        <v>-0.21463414634146341</v>
      </c>
      <c r="AV58" s="162">
        <f>-'Natural Gas Royalties'!AB23</f>
        <v>-0.13099263688953697</v>
      </c>
      <c r="AW58" s="133" t="e">
        <f>AN58+AM58*(AP58+AQ58)+(AR58*F58)+(AV58*(V58/$AB$3))+(AS58*'Butane Royalties'!K28)+(AT58*'Propane Royalties'!K28)+(AU58*'Ethane Royalties'!K28)</f>
        <v>#REF!</v>
      </c>
      <c r="AX58" s="133" t="e">
        <f t="shared" ref="AX58:AX121" si="18">AW58/AM58</f>
        <v>#REF!</v>
      </c>
      <c r="AY58" s="133">
        <f t="shared" si="11"/>
        <v>69301.958990215397</v>
      </c>
      <c r="AZ58" s="133">
        <f t="shared" si="12"/>
        <v>2696153.0790382233</v>
      </c>
      <c r="BA58" s="133" t="e">
        <f>AW58-AY58</f>
        <v>#REF!</v>
      </c>
      <c r="BB58" s="133" t="e">
        <f t="shared" ref="BB58:BB121" si="19">AW58</f>
        <v>#REF!</v>
      </c>
      <c r="BC58" s="133" t="e">
        <f t="shared" si="8"/>
        <v>#REF!</v>
      </c>
      <c r="BD58" s="133" t="e">
        <f t="shared" si="9"/>
        <v>#REF!</v>
      </c>
      <c r="BE58" s="133" t="e">
        <f t="shared" si="13"/>
        <v>#REF!</v>
      </c>
      <c r="BF58" s="133"/>
    </row>
    <row r="59" spans="1:58">
      <c r="B59" s="109" t="e">
        <f>'[1]Oil Production'!#REF!</f>
        <v>#REF!</v>
      </c>
      <c r="C59" s="65"/>
      <c r="D59" s="116">
        <f>'[1]Oil Production'!A20</f>
        <v>14</v>
      </c>
      <c r="E59" s="65">
        <f>'[1]Oil Production'!B20</f>
        <v>81.260017892602249</v>
      </c>
      <c r="F59" s="65">
        <f>'[1]Oil Production'!C20</f>
        <v>2471.6588775666519</v>
      </c>
      <c r="G59" s="65">
        <f>'[1]Oil Production'!D20</f>
        <v>51761.576733412759</v>
      </c>
      <c r="H59" s="97"/>
      <c r="K59" s="109">
        <f>'Liquids Type Curve'!A36</f>
        <v>1.1718907987866531</v>
      </c>
      <c r="L59" s="116">
        <f>'Liquids Type Curve'!B36</f>
        <v>14.062689585439838</v>
      </c>
      <c r="M59" s="65">
        <f>'Liquids Type Curve'!C36</f>
        <v>57.979063733217025</v>
      </c>
      <c r="N59" s="65">
        <f>'Liquids Type Curve'!D36</f>
        <v>1763.5298552186846</v>
      </c>
      <c r="O59" s="65">
        <f>'Liquids Type Curve'!E36</f>
        <v>44797.550908725359</v>
      </c>
      <c r="P59" s="250"/>
      <c r="S59" s="112">
        <f>'Gas Type Curve'!A43</f>
        <v>1.1666666666666665</v>
      </c>
      <c r="T59" s="128">
        <f>'Gas Type Curve'!B43</f>
        <v>13.999999999999998</v>
      </c>
      <c r="U59" s="94">
        <f>'Gas Type Curve'!C43</f>
        <v>861.72255249643035</v>
      </c>
      <c r="V59" s="94">
        <f>'Gas Type Curve'!D43</f>
        <v>26210.727638433091</v>
      </c>
      <c r="W59" s="94">
        <f>'Gas Type Curve'!E43</f>
        <v>712135.2870308971</v>
      </c>
      <c r="X59" s="250"/>
      <c r="AK59" s="146">
        <f t="shared" si="14"/>
        <v>14</v>
      </c>
      <c r="AL59" s="146" t="e">
        <f t="shared" si="15"/>
        <v>#REF!</v>
      </c>
      <c r="AM59" s="146">
        <f t="shared" si="16"/>
        <v>8603.6433391908504</v>
      </c>
      <c r="AN59" s="133">
        <f>'Price Deck'!E18*F59+N59*'Price Deck'!T18+(V59*'Price Deck'!K18/$AB$3)</f>
        <v>193986.03447579136</v>
      </c>
      <c r="AO59" s="133">
        <f t="shared" si="17"/>
        <v>22.54696374873615</v>
      </c>
      <c r="AP59" s="133" t="e">
        <f>'Production Costs '!$N$22*(1+'Production Costs '!$P$2)^(AL59)</f>
        <v>#REF!</v>
      </c>
      <c r="AQ59" s="133" t="e">
        <f>'Production Costs '!$N$23*(1+'Production Costs '!$P$2)^AL59</f>
        <v>#REF!</v>
      </c>
      <c r="AR59" s="162">
        <f>-'Oil Royalties'!W24</f>
        <v>-3.3471224329432796</v>
      </c>
      <c r="AS59" s="162">
        <f>-'Butane Royalties'!AD24</f>
        <v>-2.1585365853658538</v>
      </c>
      <c r="AT59" s="162">
        <f>-'Propane Royalties'!AD24</f>
        <v>-1.6402439024390245</v>
      </c>
      <c r="AU59" s="162">
        <f>-'Ethane Royalties'!AH24</f>
        <v>-0.21463414634146341</v>
      </c>
      <c r="AV59" s="162">
        <f>-'Natural Gas Royalties'!AB24</f>
        <v>-0.11060887859449563</v>
      </c>
      <c r="AW59" s="133" t="e">
        <f>AN59+AM59*(AP59+AQ59)+(AR59*F59)+(AV59*(V59/$AB$3))+(AS59*'Butane Royalties'!K29)+(AT59*'Propane Royalties'!K29)+(AU59*'Ethane Royalties'!K29)</f>
        <v>#REF!</v>
      </c>
      <c r="AX59" s="133" t="e">
        <f t="shared" si="18"/>
        <v>#REF!</v>
      </c>
      <c r="AY59" s="133">
        <f t="shared" si="11"/>
        <v>67565.260525102945</v>
      </c>
      <c r="AZ59" s="133">
        <f t="shared" si="12"/>
        <v>2628587.8185131205</v>
      </c>
      <c r="BA59" s="133" t="e">
        <f t="shared" si="6"/>
        <v>#REF!</v>
      </c>
      <c r="BB59" s="133" t="e">
        <f>AW59</f>
        <v>#REF!</v>
      </c>
      <c r="BC59" s="133" t="e">
        <f t="shared" si="8"/>
        <v>#REF!</v>
      </c>
      <c r="BD59" s="133" t="e">
        <f t="shared" si="9"/>
        <v>#REF!</v>
      </c>
      <c r="BE59" s="133" t="e">
        <f t="shared" si="13"/>
        <v>#REF!</v>
      </c>
      <c r="BF59" s="133"/>
    </row>
    <row r="60" spans="1:58">
      <c r="B60" s="109" t="e">
        <f>'[1]Oil Production'!#REF!</f>
        <v>#REF!</v>
      </c>
      <c r="C60" s="65"/>
      <c r="D60" s="116">
        <f>'[1]Oil Production'!A21</f>
        <v>15</v>
      </c>
      <c r="E60" s="65">
        <f>'[1]Oil Production'!B21</f>
        <v>78.959314006527435</v>
      </c>
      <c r="F60" s="65">
        <f>'[1]Oil Production'!C21</f>
        <v>2401.6791343652094</v>
      </c>
      <c r="G60" s="65">
        <f>'[1]Oil Production'!D21</f>
        <v>54163.255867777967</v>
      </c>
      <c r="H60" s="95"/>
      <c r="K60" s="109">
        <f>'Liquids Type Curve'!A37</f>
        <v>1.2552241321199864</v>
      </c>
      <c r="L60" s="116">
        <f>'Liquids Type Curve'!B37</f>
        <v>15.062689585439838</v>
      </c>
      <c r="M60" s="65">
        <f>'Liquids Type Curve'!C37</f>
        <v>54.383026565659094</v>
      </c>
      <c r="N60" s="65">
        <f>'Liquids Type Curve'!D37</f>
        <v>1654.1503913721308</v>
      </c>
      <c r="O60" s="65">
        <f>'Liquids Type Curve'!E37</f>
        <v>46451.701300097491</v>
      </c>
      <c r="P60" s="250"/>
      <c r="S60" s="112">
        <f>'Gas Type Curve'!A44</f>
        <v>1.2499999999999998</v>
      </c>
      <c r="T60" s="128">
        <f>'Gas Type Curve'!B44</f>
        <v>14.999999999999996</v>
      </c>
      <c r="U60" s="94">
        <f>'Gas Type Curve'!C44</f>
        <v>820.74081367340602</v>
      </c>
      <c r="V60" s="94">
        <f>'Gas Type Curve'!D44</f>
        <v>24964.199749232768</v>
      </c>
      <c r="W60" s="94">
        <f>'Gas Type Curve'!E44</f>
        <v>737099.48678012984</v>
      </c>
      <c r="X60" s="250"/>
      <c r="AK60" s="146">
        <f t="shared" si="14"/>
        <v>15</v>
      </c>
      <c r="AL60" s="146" t="e">
        <f t="shared" si="15"/>
        <v>#REF!</v>
      </c>
      <c r="AM60" s="146">
        <f t="shared" si="16"/>
        <v>8216.5294839428025</v>
      </c>
      <c r="AN60" s="133">
        <f>'Price Deck'!E19*F60+N60*'Price Deck'!T19+(V60*'Price Deck'!K19/$AB$3)</f>
        <v>186398.49671176187</v>
      </c>
      <c r="AO60" s="133">
        <f t="shared" si="17"/>
        <v>22.685794175756584</v>
      </c>
      <c r="AP60" s="133" t="e">
        <f>'Production Costs '!$N$22*(1+'Production Costs '!$P$2)^(AL60)</f>
        <v>#REF!</v>
      </c>
      <c r="AQ60" s="133" t="e">
        <f>'Production Costs '!$N$23*(1+'Production Costs '!$P$2)^AL60</f>
        <v>#REF!</v>
      </c>
      <c r="AR60" s="162">
        <f>-'Oil Royalties'!W25</f>
        <v>-3.3379663449065049</v>
      </c>
      <c r="AS60" s="162">
        <f>-'Butane Royalties'!AD25</f>
        <v>-2.1585365853658538</v>
      </c>
      <c r="AT60" s="162">
        <f>-'Propane Royalties'!AD25</f>
        <v>-1.6402439024390245</v>
      </c>
      <c r="AU60" s="162">
        <f>-'Ethane Royalties'!AH25</f>
        <v>-0.21463414634146336</v>
      </c>
      <c r="AV60" s="162">
        <f>-'Natural Gas Royalties'!AB25</f>
        <v>-0.1083875716008052</v>
      </c>
      <c r="AW60" s="133" t="e">
        <f>AN60+AM60*(AP60+AQ60)+(AR60*F60)+(AV60*(V60/$AB$3))+(AS60*'Butane Royalties'!K30)+(AT60*'Propane Royalties'!K30)+(AU60*'Ethane Royalties'!K30)</f>
        <v>#REF!</v>
      </c>
      <c r="AX60" s="133" t="e">
        <f t="shared" si="18"/>
        <v>#REF!</v>
      </c>
      <c r="AY60" s="133">
        <f t="shared" si="11"/>
        <v>65872.083507330084</v>
      </c>
      <c r="AZ60" s="133">
        <f t="shared" si="12"/>
        <v>2562715.7350057904</v>
      </c>
      <c r="BA60" s="133" t="e">
        <f t="shared" si="6"/>
        <v>#REF!</v>
      </c>
      <c r="BB60" s="133" t="e">
        <f t="shared" si="19"/>
        <v>#REF!</v>
      </c>
      <c r="BC60" s="133" t="e">
        <f t="shared" si="8"/>
        <v>#REF!</v>
      </c>
      <c r="BD60" s="133" t="e">
        <f t="shared" si="9"/>
        <v>#REF!</v>
      </c>
      <c r="BE60" s="133" t="e">
        <f t="shared" si="13"/>
        <v>#REF!</v>
      </c>
      <c r="BF60" s="133"/>
    </row>
    <row r="61" spans="1:58">
      <c r="B61" s="109" t="e">
        <f>'[1]Oil Production'!#REF!</f>
        <v>#REF!</v>
      </c>
      <c r="C61" s="65"/>
      <c r="D61" s="116">
        <f>'[1]Oil Production'!A22</f>
        <v>16</v>
      </c>
      <c r="E61" s="65">
        <f>'[1]Oil Production'!B22</f>
        <v>76.866152380817155</v>
      </c>
      <c r="F61" s="65">
        <f>'[1]Oil Production'!C22</f>
        <v>2338.012134916522</v>
      </c>
      <c r="G61" s="65">
        <f>'[1]Oil Production'!D22</f>
        <v>56501.268002694487</v>
      </c>
      <c r="H61" s="180"/>
      <c r="K61" s="109">
        <f>'Liquids Type Curve'!A38</f>
        <v>1.3385574654533197</v>
      </c>
      <c r="L61" s="116">
        <f>'Liquids Type Curve'!B38</f>
        <v>16.062689585439834</v>
      </c>
      <c r="M61" s="65">
        <f>'Liquids Type Curve'!C38</f>
        <v>51.220480547096685</v>
      </c>
      <c r="N61" s="65">
        <f>'Liquids Type Curve'!D38</f>
        <v>1557.9562833075242</v>
      </c>
      <c r="O61" s="65">
        <f>'Liquids Type Curve'!E38</f>
        <v>48009.657583405016</v>
      </c>
      <c r="P61" s="250"/>
      <c r="S61" s="112">
        <f>'Gas Type Curve'!A45</f>
        <v>1.333333333333333</v>
      </c>
      <c r="T61" s="128">
        <f>'Gas Type Curve'!B45</f>
        <v>15.999999999999996</v>
      </c>
      <c r="U61" s="94">
        <f>'Gas Type Curve'!C45</f>
        <v>784.17110587810248</v>
      </c>
      <c r="V61" s="94">
        <f>'Gas Type Curve'!D45</f>
        <v>23851.871137125618</v>
      </c>
      <c r="W61" s="94">
        <f>'Gas Type Curve'!E45</f>
        <v>760951.35791725549</v>
      </c>
      <c r="X61" s="250"/>
      <c r="AK61" s="146">
        <f t="shared" si="14"/>
        <v>16</v>
      </c>
      <c r="AL61" s="146" t="e">
        <f t="shared" si="15"/>
        <v>#REF!</v>
      </c>
      <c r="AM61" s="146">
        <f t="shared" si="16"/>
        <v>7871.2802744116489</v>
      </c>
      <c r="AN61" s="133">
        <f>'Price Deck'!E20*F61+N61*'Price Deck'!T20+(V61*'Price Deck'!K20/$AB$3)</f>
        <v>179914.37451260627</v>
      </c>
      <c r="AO61" s="133">
        <f t="shared" si="17"/>
        <v>22.857066225615281</v>
      </c>
      <c r="AP61" s="133" t="e">
        <f>'Production Costs '!$N$22*(1+'Production Costs '!$P$2)^(AL61)</f>
        <v>#REF!</v>
      </c>
      <c r="AQ61" s="133" t="e">
        <f>'Production Costs '!$N$23*(1+'Production Costs '!$P$2)^AL61</f>
        <v>#REF!</v>
      </c>
      <c r="AR61" s="162">
        <f>-'Oil Royalties'!W26</f>
        <v>-3.3293825123720291</v>
      </c>
      <c r="AS61" s="162">
        <f>-'Butane Royalties'!AD26</f>
        <v>-2.1585365853658538</v>
      </c>
      <c r="AT61" s="162">
        <f>-'Propane Royalties'!AD26</f>
        <v>-1.6402439024390245</v>
      </c>
      <c r="AU61" s="162">
        <f>-'Ethane Royalties'!AH26</f>
        <v>-0.21463414634146344</v>
      </c>
      <c r="AV61" s="162">
        <f>-'Natural Gas Royalties'!AB26</f>
        <v>-0.11028221580130586</v>
      </c>
      <c r="AW61" s="133" t="e">
        <f>AN61+AM61*(AP61+AQ61)+(AR61*F61)+(AV61*(V61/$AB$3))+(AS61*'Butane Royalties'!K31)+(AT61*'Propane Royalties'!K31)+(AU61*'Ethane Royalties'!K31)</f>
        <v>#REF!</v>
      </c>
      <c r="AX61" s="133" t="e">
        <f t="shared" si="18"/>
        <v>#REF!</v>
      </c>
      <c r="AY61" s="133">
        <f t="shared" si="11"/>
        <v>64221.337294844358</v>
      </c>
      <c r="AZ61" s="133">
        <f t="shared" si="12"/>
        <v>2498494.3977109459</v>
      </c>
      <c r="BA61" s="133" t="e">
        <f t="shared" si="6"/>
        <v>#REF!</v>
      </c>
      <c r="BB61" s="133" t="e">
        <f t="shared" si="19"/>
        <v>#REF!</v>
      </c>
      <c r="BC61" s="133" t="e">
        <f t="shared" si="8"/>
        <v>#REF!</v>
      </c>
      <c r="BD61" s="133" t="e">
        <f t="shared" si="9"/>
        <v>#REF!</v>
      </c>
      <c r="BE61" s="133" t="e">
        <f t="shared" si="13"/>
        <v>#REF!</v>
      </c>
      <c r="BF61" s="133"/>
    </row>
    <row r="62" spans="1:58">
      <c r="B62" s="109" t="e">
        <f>'[1]Oil Production'!#REF!</f>
        <v>#REF!</v>
      </c>
      <c r="C62" s="65"/>
      <c r="D62" s="116">
        <f>'[1]Oil Production'!A23</f>
        <v>17</v>
      </c>
      <c r="E62" s="65">
        <f>'[1]Oil Production'!B23</f>
        <v>74.95049938593634</v>
      </c>
      <c r="F62" s="65">
        <f>'[1]Oil Production'!C23</f>
        <v>2279.7443563222305</v>
      </c>
      <c r="G62" s="65">
        <f>'[1]Oil Production'!D23</f>
        <v>58781.01235901672</v>
      </c>
      <c r="H62" s="95"/>
      <c r="K62" s="109">
        <f>'Liquids Type Curve'!A39</f>
        <v>1.4218907987866529</v>
      </c>
      <c r="L62" s="116">
        <f>'Liquids Type Curve'!B39</f>
        <v>17.062689585439834</v>
      </c>
      <c r="M62" s="65">
        <f>'Liquids Type Curve'!C39</f>
        <v>48.41677899843517</v>
      </c>
      <c r="N62" s="65">
        <f>'Liquids Type Curve'!D39</f>
        <v>1472.6770278690699</v>
      </c>
      <c r="O62" s="65">
        <f>'Liquids Type Curve'!E39</f>
        <v>49482.334611274084</v>
      </c>
      <c r="P62" s="250"/>
      <c r="S62" s="112">
        <f>'Gas Type Curve'!A46</f>
        <v>1.4166666666666663</v>
      </c>
      <c r="T62" s="128">
        <f>'Gas Type Curve'!B46</f>
        <v>16.999999999999996</v>
      </c>
      <c r="U62" s="94">
        <f>'Gas Type Curve'!C46</f>
        <v>751.30470554840667</v>
      </c>
      <c r="V62" s="94">
        <f>'Gas Type Curve'!D46</f>
        <v>22852.184793764038</v>
      </c>
      <c r="W62" s="94">
        <f>'Gas Type Curve'!E46</f>
        <v>783803.54271101952</v>
      </c>
      <c r="X62" s="250"/>
      <c r="AK62" s="146">
        <f t="shared" si="14"/>
        <v>17</v>
      </c>
      <c r="AL62" s="146" t="e">
        <f t="shared" si="15"/>
        <v>#REF!</v>
      </c>
      <c r="AM62" s="146">
        <f t="shared" si="16"/>
        <v>7561.1188498186402</v>
      </c>
      <c r="AN62" s="133">
        <f>'Price Deck'!E21*F62+N62*'Price Deck'!T21+(V62*'Price Deck'!K21/$AB$3)</f>
        <v>173950.5771975918</v>
      </c>
      <c r="AO62" s="133">
        <f t="shared" si="17"/>
        <v>23.005930822230649</v>
      </c>
      <c r="AP62" s="133" t="e">
        <f>'Production Costs '!$N$22*(1+'Production Costs '!$P$2)^(AL62)</f>
        <v>#REF!</v>
      </c>
      <c r="AQ62" s="133" t="e">
        <f>'Production Costs '!$N$23*(1+'Production Costs '!$P$2)^AL62</f>
        <v>#REF!</v>
      </c>
      <c r="AR62" s="162">
        <f>-'Oil Royalties'!W27</f>
        <v>-3.3185096578283595</v>
      </c>
      <c r="AS62" s="162">
        <f>-'Butane Royalties'!AD27</f>
        <v>-2.1585365853658538</v>
      </c>
      <c r="AT62" s="162">
        <f>-'Propane Royalties'!AD27</f>
        <v>-1.6402439024390245</v>
      </c>
      <c r="AU62" s="162">
        <f>-'Ethane Royalties'!AH27</f>
        <v>-0.21463414634146344</v>
      </c>
      <c r="AV62" s="162">
        <f>-'Natural Gas Royalties'!AB27</f>
        <v>-0.11224219256044446</v>
      </c>
      <c r="AW62" s="133" t="e">
        <f>AN62+AM62*(AP62+AQ62)+(AR62*F62)+(AV62*(V62/$AB$3))+(AS62*'Butane Royalties'!K32)+(AT62*'Propane Royalties'!K32)+(AU62*'Ethane Royalties'!K32)</f>
        <v>#REF!</v>
      </c>
      <c r="AX62" s="133" t="e">
        <f t="shared" si="18"/>
        <v>#REF!</v>
      </c>
      <c r="AY62" s="133">
        <f t="shared" si="11"/>
        <v>62611.958576947327</v>
      </c>
      <c r="AZ62" s="133">
        <f t="shared" si="12"/>
        <v>2435882.4391339985</v>
      </c>
      <c r="BA62" s="133" t="e">
        <f t="shared" si="6"/>
        <v>#REF!</v>
      </c>
      <c r="BB62" s="133" t="e">
        <f t="shared" si="19"/>
        <v>#REF!</v>
      </c>
      <c r="BC62" s="133" t="e">
        <f t="shared" si="8"/>
        <v>#REF!</v>
      </c>
      <c r="BD62" s="133" t="e">
        <f t="shared" si="9"/>
        <v>#REF!</v>
      </c>
      <c r="BE62" s="133" t="e">
        <f t="shared" si="13"/>
        <v>#REF!</v>
      </c>
      <c r="BF62" s="133"/>
    </row>
    <row r="63" spans="1:58">
      <c r="B63" s="109" t="e">
        <f>'[1]Oil Production'!#REF!</f>
        <v>#REF!</v>
      </c>
      <c r="C63" s="65"/>
      <c r="D63" s="116">
        <f>'[1]Oil Production'!A24</f>
        <v>18</v>
      </c>
      <c r="E63" s="65">
        <f>'[1]Oil Production'!B24</f>
        <v>73.188119964634339</v>
      </c>
      <c r="F63" s="65">
        <f>'[1]Oil Production'!C24</f>
        <v>2226.1386489242946</v>
      </c>
      <c r="G63" s="65">
        <f>'[1]Oil Production'!D24</f>
        <v>61007.151007941015</v>
      </c>
      <c r="H63" s="95"/>
      <c r="K63" s="109">
        <f>'Liquids Type Curve'!A40</f>
        <v>1.5052241321199862</v>
      </c>
      <c r="L63" s="116">
        <f>'Liquids Type Curve'!B40</f>
        <v>18.062689585439834</v>
      </c>
      <c r="M63" s="65">
        <f>'Liquids Type Curve'!C40</f>
        <v>45.913557319886465</v>
      </c>
      <c r="N63" s="65">
        <f>'Liquids Type Curve'!D40</f>
        <v>1396.5373684798801</v>
      </c>
      <c r="O63" s="65">
        <f>'Liquids Type Curve'!E40</f>
        <v>50878.871979753967</v>
      </c>
      <c r="P63" s="250"/>
      <c r="S63" s="112">
        <f>'Gas Type Curve'!A47</f>
        <v>1.4999999999999996</v>
      </c>
      <c r="T63" s="128">
        <f>'Gas Type Curve'!B47</f>
        <v>17.999999999999993</v>
      </c>
      <c r="U63" s="94">
        <f>'Gas Type Curve'!C47</f>
        <v>721.5800773441257</v>
      </c>
      <c r="V63" s="94">
        <f>'Gas Type Curve'!D47</f>
        <v>21948.060685883825</v>
      </c>
      <c r="W63" s="94">
        <f>'Gas Type Curve'!E47</f>
        <v>805751.60339690337</v>
      </c>
      <c r="X63" s="250"/>
      <c r="AK63" s="146">
        <f t="shared" si="14"/>
        <v>18</v>
      </c>
      <c r="AL63" s="146" t="e">
        <f t="shared" si="15"/>
        <v>#REF!</v>
      </c>
      <c r="AM63" s="146">
        <f t="shared" si="16"/>
        <v>7280.6861317181456</v>
      </c>
      <c r="AN63" s="133">
        <f>'Price Deck'!E22*F63+N63*'Price Deck'!T22+(V63*'Price Deck'!K22/$AB$3)</f>
        <v>168413.64733933186</v>
      </c>
      <c r="AO63" s="133">
        <f t="shared" si="17"/>
        <v>23.131562642927509</v>
      </c>
      <c r="AP63" s="133" t="e">
        <f>'Production Costs '!$N$22*(1+'Production Costs '!$P$2)^(AL63)</f>
        <v>#REF!</v>
      </c>
      <c r="AQ63" s="133" t="e">
        <f>'Production Costs '!$N$23*(1+'Production Costs '!$P$2)^AL63</f>
        <v>#REF!</v>
      </c>
      <c r="AR63" s="162">
        <f>-'Oil Royalties'!W28</f>
        <v>-3.3087813142892872</v>
      </c>
      <c r="AS63" s="162">
        <f>-'Butane Royalties'!AD28</f>
        <v>-2.1585365853658538</v>
      </c>
      <c r="AT63" s="162">
        <f>-'Propane Royalties'!AD28</f>
        <v>-1.6402439024390245</v>
      </c>
      <c r="AU63" s="162">
        <f>-'Ethane Royalties'!AH28</f>
        <v>-0.21463414634146341</v>
      </c>
      <c r="AV63" s="162">
        <f>-'Natural Gas Royalties'!AB28</f>
        <v>-0.1123075251190824</v>
      </c>
      <c r="AW63" s="133" t="e">
        <f>AN63+AM63*(AP63+AQ63)+(AR63*F63)+(AV63*(V63/$AB$3))+(AS63*'Butane Royalties'!K33)+(AT63*'Propane Royalties'!K33)+(AU63*'Ethane Royalties'!K33)</f>
        <v>#REF!</v>
      </c>
      <c r="AX63" s="133" t="e">
        <f t="shared" si="18"/>
        <v>#REF!</v>
      </c>
      <c r="AY63" s="133">
        <f t="shared" si="11"/>
        <v>61042.910689374308</v>
      </c>
      <c r="AZ63" s="133">
        <f t="shared" si="12"/>
        <v>2374839.528444624</v>
      </c>
      <c r="BA63" s="133" t="e">
        <f t="shared" si="6"/>
        <v>#REF!</v>
      </c>
      <c r="BB63" s="133" t="e">
        <f t="shared" si="19"/>
        <v>#REF!</v>
      </c>
      <c r="BC63" s="133" t="e">
        <f t="shared" si="8"/>
        <v>#REF!</v>
      </c>
      <c r="BD63" s="133" t="e">
        <f t="shared" si="9"/>
        <v>#REF!</v>
      </c>
      <c r="BE63" s="133" t="e">
        <f t="shared" si="13"/>
        <v>#REF!</v>
      </c>
      <c r="BF63" s="133"/>
    </row>
    <row r="64" spans="1:58">
      <c r="B64" s="109" t="e">
        <f>'[1]Oil Production'!#REF!</f>
        <v>#REF!</v>
      </c>
      <c r="C64" s="65"/>
      <c r="D64" s="116">
        <f>'[1]Oil Production'!A25</f>
        <v>19</v>
      </c>
      <c r="E64" s="65">
        <f>'[1]Oil Production'!B25</f>
        <v>71.559207628030549</v>
      </c>
      <c r="F64" s="65">
        <f>'[1]Oil Production'!C25</f>
        <v>2176.592565352596</v>
      </c>
      <c r="G64" s="65">
        <f>'[1]Oil Production'!D25</f>
        <v>63183.743573293614</v>
      </c>
      <c r="H64" s="95"/>
      <c r="K64" s="109">
        <f>'Liquids Type Curve'!A41</f>
        <v>1.5885574654533194</v>
      </c>
      <c r="L64" s="116">
        <f>'Liquids Type Curve'!B41</f>
        <v>19.062689585439834</v>
      </c>
      <c r="M64" s="65">
        <f>'Liquids Type Curve'!C41</f>
        <v>43.664512365176193</v>
      </c>
      <c r="N64" s="65">
        <f>'Liquids Type Curve'!D41</f>
        <v>1328.1289177741094</v>
      </c>
      <c r="O64" s="65">
        <f>'Liquids Type Curve'!E41</f>
        <v>52207.00089752808</v>
      </c>
      <c r="P64" s="250"/>
      <c r="S64" s="112">
        <f>'Gas Type Curve'!A48</f>
        <v>1.5833333333333328</v>
      </c>
      <c r="T64" s="128">
        <f>'Gas Type Curve'!B48</f>
        <v>18.999999999999993</v>
      </c>
      <c r="U64" s="94">
        <f>'Gas Type Curve'!C48</f>
        <v>694.54611538253812</v>
      </c>
      <c r="V64" s="94">
        <f>'Gas Type Curve'!D48</f>
        <v>21125.77767621887</v>
      </c>
      <c r="W64" s="94">
        <f>'Gas Type Curve'!E48</f>
        <v>826877.38107312226</v>
      </c>
      <c r="X64" s="250"/>
      <c r="AK64" s="146">
        <f t="shared" si="14"/>
        <v>19</v>
      </c>
      <c r="AL64" s="146" t="e">
        <f t="shared" si="15"/>
        <v>#REF!</v>
      </c>
      <c r="AM64" s="146">
        <f t="shared" si="16"/>
        <v>7025.6844291631842</v>
      </c>
      <c r="AN64" s="133">
        <f>'Price Deck'!E23*F64+N64*'Price Deck'!T23+(V64*'Price Deck'!K23/$AB$3)</f>
        <v>163328.5760946832</v>
      </c>
      <c r="AO64" s="133">
        <f t="shared" si="17"/>
        <v>23.247354438055361</v>
      </c>
      <c r="AP64" s="133" t="e">
        <f>'Production Costs '!$N$22*(1+'Production Costs '!$P$2)^(AL64)</f>
        <v>#REF!</v>
      </c>
      <c r="AQ64" s="133" t="e">
        <f>'Production Costs '!$N$23*(1+'Production Costs '!$P$2)^AL64</f>
        <v>#REF!</v>
      </c>
      <c r="AR64" s="162">
        <f>-'Oil Royalties'!W29</f>
        <v>-3.3013419927594079</v>
      </c>
      <c r="AS64" s="162">
        <f>-'Butane Royalties'!AD29</f>
        <v>-2.1585365853658538</v>
      </c>
      <c r="AT64" s="162">
        <f>-'Propane Royalties'!AD29</f>
        <v>-1.6402439024390243</v>
      </c>
      <c r="AU64" s="162">
        <f>-'Ethane Royalties'!AH29</f>
        <v>-0.21463414634146344</v>
      </c>
      <c r="AV64" s="162">
        <f>-'Natural Gas Royalties'!AB29</f>
        <v>-0.1110662065049613</v>
      </c>
      <c r="AW64" s="133" t="e">
        <f>AN64+AM64*(AP64+AQ64)+(AR64*F64)+(AV64*(V64/$AB$3))+(AS64*'Butane Royalties'!K34)+(AT64*'Propane Royalties'!K34)+(AU64*'Ethane Royalties'!K34)</f>
        <v>#REF!</v>
      </c>
      <c r="AX64" s="133" t="e">
        <f t="shared" si="18"/>
        <v>#REF!</v>
      </c>
      <c r="AY64" s="133">
        <f t="shared" si="11"/>
        <v>59513.182946538051</v>
      </c>
      <c r="AZ64" s="133">
        <f t="shared" si="12"/>
        <v>2315326.345498086</v>
      </c>
      <c r="BA64" s="133" t="e">
        <f t="shared" si="6"/>
        <v>#REF!</v>
      </c>
      <c r="BB64" s="133" t="e">
        <f t="shared" si="19"/>
        <v>#REF!</v>
      </c>
      <c r="BC64" s="133" t="e">
        <f t="shared" si="8"/>
        <v>#REF!</v>
      </c>
      <c r="BD64" s="133" t="e">
        <f t="shared" si="9"/>
        <v>#REF!</v>
      </c>
      <c r="BE64" s="133" t="e">
        <f t="shared" si="13"/>
        <v>#REF!</v>
      </c>
      <c r="BF64" s="133"/>
    </row>
    <row r="65" spans="2:58">
      <c r="B65" s="109" t="e">
        <f>'[1]Oil Production'!#REF!</f>
        <v>#REF!</v>
      </c>
      <c r="C65" s="65"/>
      <c r="D65" s="116">
        <f>'[1]Oil Production'!A26</f>
        <v>20</v>
      </c>
      <c r="E65" s="65">
        <f>'[1]Oil Production'!B26</f>
        <v>70.047391317639324</v>
      </c>
      <c r="F65" s="65">
        <f>'[1]Oil Production'!C26</f>
        <v>2130.608152578196</v>
      </c>
      <c r="G65" s="65">
        <f>'[1]Oil Production'!D26</f>
        <v>65314.351725871813</v>
      </c>
      <c r="H65" s="95"/>
      <c r="K65" s="109">
        <f>'Liquids Type Curve'!A42</f>
        <v>1.6718907987866527</v>
      </c>
      <c r="L65" s="116">
        <f>'Liquids Type Curve'!B42</f>
        <v>20.062689585439834</v>
      </c>
      <c r="M65" s="65">
        <f>'Liquids Type Curve'!C42</f>
        <v>41.632432019631906</v>
      </c>
      <c r="N65" s="65">
        <f>'Liquids Type Curve'!D42</f>
        <v>1266.3198072638038</v>
      </c>
      <c r="O65" s="65">
        <f>'Liquids Type Curve'!E42</f>
        <v>53473.320704791884</v>
      </c>
      <c r="P65" s="250"/>
      <c r="S65" s="112">
        <f>'Gas Type Curve'!A49</f>
        <v>1.6666666666666661</v>
      </c>
      <c r="T65" s="128">
        <f>'Gas Type Curve'!B49</f>
        <v>19.999999999999993</v>
      </c>
      <c r="U65" s="94">
        <f>'Gas Type Curve'!C49</f>
        <v>669.83595498402099</v>
      </c>
      <c r="V65" s="94">
        <f>'Gas Type Curve'!D49</f>
        <v>20374.176964097307</v>
      </c>
      <c r="W65" s="94">
        <f>'Gas Type Curve'!E49</f>
        <v>847251.55803721957</v>
      </c>
      <c r="X65" s="250"/>
      <c r="AK65" s="146">
        <f t="shared" si="14"/>
        <v>20</v>
      </c>
      <c r="AL65" s="146" t="e">
        <f t="shared" si="15"/>
        <v>#REF!</v>
      </c>
      <c r="AM65" s="146">
        <f t="shared" si="16"/>
        <v>6792.6241205248843</v>
      </c>
      <c r="AN65" s="133">
        <f>'Price Deck'!E24*F65+N65*'Price Deck'!T24+(V65*'Price Deck'!K24/$AB$3)</f>
        <v>158832.75630953631</v>
      </c>
      <c r="AO65" s="133">
        <f t="shared" si="17"/>
        <v>23.38312167599565</v>
      </c>
      <c r="AP65" s="133" t="e">
        <f>'Production Costs '!$N$22*(1+'Production Costs '!$P$2)^(AL65)</f>
        <v>#REF!</v>
      </c>
      <c r="AQ65" s="133" t="e">
        <f>'Production Costs '!$N$23*(1+'Production Costs '!$P$2)^AL65</f>
        <v>#REF!</v>
      </c>
      <c r="AR65" s="162">
        <f>-'Oil Royalties'!W30</f>
        <v>-3.2944749267318274</v>
      </c>
      <c r="AS65" s="162">
        <f>-'Butane Royalties'!AD30</f>
        <v>-2.1585365853658538</v>
      </c>
      <c r="AT65" s="162">
        <f>-'Propane Royalties'!AD30</f>
        <v>-1.6402439024390245</v>
      </c>
      <c r="AU65" s="162">
        <f>-'Ethane Royalties'!AH30</f>
        <v>-0.21463414634146344</v>
      </c>
      <c r="AV65" s="162">
        <f>-'Natural Gas Royalties'!AB30</f>
        <v>-0.11230752511908242</v>
      </c>
      <c r="AW65" s="133" t="e">
        <f>AN65+AM65*(AP65+AQ65)+(AR65*F65)+(AV65*(V65/$AB$3))+(AS65*'Butane Royalties'!K35)+(AT65*'Propane Royalties'!K35)+(AU65*'Ethane Royalties'!K35)</f>
        <v>#REF!</v>
      </c>
      <c r="AX65" s="133" t="e">
        <f t="shared" si="18"/>
        <v>#REF!</v>
      </c>
      <c r="AY65" s="133">
        <f t="shared" si="11"/>
        <v>58021.78999050628</v>
      </c>
      <c r="AZ65" s="133">
        <f t="shared" si="12"/>
        <v>2257304.5555075798</v>
      </c>
      <c r="BA65" s="133" t="e">
        <f t="shared" si="6"/>
        <v>#REF!</v>
      </c>
      <c r="BB65" s="133" t="e">
        <f t="shared" si="19"/>
        <v>#REF!</v>
      </c>
      <c r="BC65" s="133" t="e">
        <f t="shared" si="8"/>
        <v>#REF!</v>
      </c>
      <c r="BD65" s="133" t="e">
        <f t="shared" si="9"/>
        <v>#REF!</v>
      </c>
      <c r="BE65" s="133" t="e">
        <f t="shared" si="13"/>
        <v>#REF!</v>
      </c>
      <c r="BF65" s="133"/>
    </row>
    <row r="66" spans="2:58">
      <c r="B66" s="109" t="e">
        <f>'[1]Oil Production'!#REF!</f>
        <v>#REF!</v>
      </c>
      <c r="C66" s="65"/>
      <c r="D66" s="116">
        <f>'[1]Oil Production'!A27</f>
        <v>21</v>
      </c>
      <c r="E66" s="65">
        <f>'[1]Oil Production'!B27</f>
        <v>68.639002245933966</v>
      </c>
      <c r="F66" s="65">
        <f>'[1]Oil Production'!C27</f>
        <v>2087.7696516471583</v>
      </c>
      <c r="G66" s="65">
        <f>'[1]Oil Production'!D27</f>
        <v>67402.121377518968</v>
      </c>
      <c r="H66" s="95"/>
      <c r="K66" s="109">
        <f>'Liquids Type Curve'!A43</f>
        <v>1.755224132119986</v>
      </c>
      <c r="L66" s="116">
        <f>'Liquids Type Curve'!B43</f>
        <v>21.062689585439831</v>
      </c>
      <c r="M66" s="65">
        <f>'Liquids Type Curve'!C43</f>
        <v>39.787062804098859</v>
      </c>
      <c r="N66" s="65">
        <f>'Liquids Type Curve'!D43</f>
        <v>1210.189826958007</v>
      </c>
      <c r="O66" s="65">
        <f>'Liquids Type Curve'!E43</f>
        <v>54683.510531749889</v>
      </c>
      <c r="P66" s="250"/>
      <c r="S66" s="112">
        <f>'Gas Type Curve'!A50</f>
        <v>1.7499999999999993</v>
      </c>
      <c r="T66" s="128">
        <f>'Gas Type Curve'!B50</f>
        <v>20.999999999999993</v>
      </c>
      <c r="U66" s="94">
        <f>'Gas Type Curve'!C50</f>
        <v>647.14795373162383</v>
      </c>
      <c r="V66" s="94">
        <f>'Gas Type Curve'!D50</f>
        <v>19684.083592670224</v>
      </c>
      <c r="W66" s="94">
        <f>'Gas Type Curve'!E50</f>
        <v>866935.64162988984</v>
      </c>
      <c r="X66" s="250"/>
      <c r="AK66" s="146">
        <f t="shared" si="14"/>
        <v>21</v>
      </c>
      <c r="AL66" s="146" t="e">
        <f t="shared" si="15"/>
        <v>#REF!</v>
      </c>
      <c r="AM66" s="146">
        <f t="shared" si="16"/>
        <v>6578.6400773835358</v>
      </c>
      <c r="AN66" s="133">
        <f>'Price Deck'!E25*F66+N66*'Price Deck'!T25+(V66*'Price Deck'!K25/$AB$3)</f>
        <v>154797.54801478863</v>
      </c>
      <c r="AO66" s="133">
        <f t="shared" si="17"/>
        <v>23.530326358324636</v>
      </c>
      <c r="AP66" s="133" t="e">
        <f>'Production Costs '!$N$22*(1+'Production Costs '!$P$2)^(AL66)</f>
        <v>#REF!</v>
      </c>
      <c r="AQ66" s="133" t="e">
        <f>'Production Costs '!$N$23*(1+'Production Costs '!$P$2)^AL66</f>
        <v>#REF!</v>
      </c>
      <c r="AR66" s="162">
        <f>-'Oil Royalties'!W31</f>
        <v>-3.2881801162065449</v>
      </c>
      <c r="AS66" s="162">
        <f>-'Butane Royalties'!AD31</f>
        <v>-2.1585365853658538</v>
      </c>
      <c r="AT66" s="162">
        <f>-'Propane Royalties'!AD31</f>
        <v>-1.6402439024390245</v>
      </c>
      <c r="AU66" s="162">
        <f>-'Ethane Royalties'!AH31</f>
        <v>-0.21463414634146338</v>
      </c>
      <c r="AV66" s="162">
        <f>-'Natural Gas Royalties'!AB31</f>
        <v>-0.11511682514051437</v>
      </c>
      <c r="AW66" s="133" t="e">
        <f>AN66+AM66*(AP66+AQ66)+(AR66*F66)+(AV66*(V66/$AB$3))+(AS66*'Butane Royalties'!K36)+(AT66*'Propane Royalties'!K36)+(AU66*'Ethane Royalties'!K36)</f>
        <v>#REF!</v>
      </c>
      <c r="AX66" s="133" t="e">
        <f t="shared" si="18"/>
        <v>#REF!</v>
      </c>
      <c r="AY66" s="133">
        <f t="shared" si="11"/>
        <v>56567.771156293871</v>
      </c>
      <c r="AZ66" s="133">
        <f t="shared" si="12"/>
        <v>2200736.784351286</v>
      </c>
      <c r="BA66" s="133" t="e">
        <f t="shared" si="6"/>
        <v>#REF!</v>
      </c>
      <c r="BB66" s="133" t="e">
        <f t="shared" si="19"/>
        <v>#REF!</v>
      </c>
      <c r="BC66" s="133" t="e">
        <f t="shared" si="8"/>
        <v>#REF!</v>
      </c>
      <c r="BD66" s="133" t="e">
        <f t="shared" si="9"/>
        <v>#REF!</v>
      </c>
      <c r="BE66" s="133" t="e">
        <f t="shared" si="13"/>
        <v>#REF!</v>
      </c>
      <c r="BF66" s="133"/>
    </row>
    <row r="67" spans="2:58">
      <c r="B67" s="109" t="e">
        <f>'[1]Oil Production'!#REF!</f>
        <v>#REF!</v>
      </c>
      <c r="C67" s="65"/>
      <c r="D67" s="116">
        <f>'[1]Oil Production'!A28</f>
        <v>22</v>
      </c>
      <c r="E67" s="65">
        <f>'[1]Oil Production'!B28</f>
        <v>67.322523803550183</v>
      </c>
      <c r="F67" s="65">
        <f>'[1]Oil Production'!C28</f>
        <v>2047.7267656913182</v>
      </c>
      <c r="G67" s="65">
        <f>'[1]Oil Production'!D28</f>
        <v>69449.848143210285</v>
      </c>
      <c r="H67" s="95"/>
      <c r="K67" s="109">
        <f>'Liquids Type Curve'!A44</f>
        <v>1.8385574654533192</v>
      </c>
      <c r="L67" s="116">
        <f>'Liquids Type Curve'!B44</f>
        <v>22.062689585439831</v>
      </c>
      <c r="M67" s="65">
        <f>'Liquids Type Curve'!C44</f>
        <v>38.103551762394531</v>
      </c>
      <c r="N67" s="65">
        <f>'Liquids Type Curve'!D44</f>
        <v>1158.9830327728337</v>
      </c>
      <c r="O67" s="65">
        <f>'Liquids Type Curve'!E44</f>
        <v>55842.493564522723</v>
      </c>
      <c r="P67" s="250"/>
      <c r="S67" s="112">
        <f>'Gas Type Curve'!A51</f>
        <v>1.8333333333333326</v>
      </c>
      <c r="T67" s="128">
        <f>'Gas Type Curve'!B51</f>
        <v>21.999999999999993</v>
      </c>
      <c r="U67" s="94">
        <f>'Gas Type Curve'!C51</f>
        <v>626.23164070024404</v>
      </c>
      <c r="V67" s="94">
        <f>'Gas Type Curve'!D51</f>
        <v>19047.879071299092</v>
      </c>
      <c r="W67" s="94">
        <f>'Gas Type Curve'!E51</f>
        <v>885983.52070118894</v>
      </c>
      <c r="X67" s="250"/>
      <c r="AK67" s="146">
        <f t="shared" si="14"/>
        <v>22</v>
      </c>
      <c r="AL67" s="146" t="e">
        <f t="shared" si="15"/>
        <v>#REF!</v>
      </c>
      <c r="AM67" s="146">
        <f t="shared" si="16"/>
        <v>6381.3563103473334</v>
      </c>
      <c r="AN67" s="133">
        <f>'Price Deck'!E26*F67+N67*'Price Deck'!T26+(V67*'Price Deck'!K26/$AB$3)</f>
        <v>151544.43710965899</v>
      </c>
      <c r="AO67" s="133">
        <f t="shared" si="17"/>
        <v>23.747998033573293</v>
      </c>
      <c r="AP67" s="133" t="e">
        <f>'Production Costs '!$N$22*(1+'Production Costs '!$P$2)^(AL67)</f>
        <v>#REF!</v>
      </c>
      <c r="AQ67" s="133" t="e">
        <f>'Production Costs '!$N$23*(1+'Production Costs '!$P$2)^AL67</f>
        <v>#REF!</v>
      </c>
      <c r="AR67" s="162">
        <f>-'Oil Royalties'!W32</f>
        <v>-3.2830298166858594</v>
      </c>
      <c r="AS67" s="162">
        <f>-'Butane Royalties'!AD32</f>
        <v>-2.1585365853658538</v>
      </c>
      <c r="AT67" s="162">
        <f>-'Propane Royalties'!AD32</f>
        <v>-1.6402439024390243</v>
      </c>
      <c r="AU67" s="162">
        <f>-'Ethane Royalties'!AH32</f>
        <v>-0.21463414634146344</v>
      </c>
      <c r="AV67" s="162">
        <f>-'Natural Gas Royalties'!AB32</f>
        <v>-0.12504737405348323</v>
      </c>
      <c r="AW67" s="133" t="e">
        <f>AN67+AM67*(AP67+AQ67)+(AR67*F67)+(AV67*(V67/$AB$3))+(AS67*'Butane Royalties'!K37)+(AT67*'Propane Royalties'!K37)+(AU67*'Ethane Royalties'!K37)</f>
        <v>#REF!</v>
      </c>
      <c r="AX67" s="133" t="e">
        <f t="shared" si="18"/>
        <v>#REF!</v>
      </c>
      <c r="AY67" s="133">
        <f t="shared" si="11"/>
        <v>55150.189853060605</v>
      </c>
      <c r="AZ67" s="133">
        <f t="shared" si="12"/>
        <v>2145586.5944982255</v>
      </c>
      <c r="BA67" s="133" t="e">
        <f t="shared" si="6"/>
        <v>#REF!</v>
      </c>
      <c r="BB67" s="133" t="e">
        <f t="shared" si="19"/>
        <v>#REF!</v>
      </c>
      <c r="BC67" s="133" t="e">
        <f t="shared" si="8"/>
        <v>#REF!</v>
      </c>
      <c r="BD67" s="133" t="e">
        <f t="shared" si="9"/>
        <v>#REF!</v>
      </c>
      <c r="BE67" s="133" t="e">
        <f t="shared" si="13"/>
        <v>#REF!</v>
      </c>
      <c r="BF67" s="133"/>
    </row>
    <row r="68" spans="2:58">
      <c r="B68" s="109" t="e">
        <f>'[1]Oil Production'!#REF!</f>
        <v>#REF!</v>
      </c>
      <c r="C68" s="65"/>
      <c r="D68" s="116">
        <f>'[1]Oil Production'!A29</f>
        <v>23</v>
      </c>
      <c r="E68" s="65">
        <f>'[1]Oil Production'!B29</f>
        <v>66.088172764198234</v>
      </c>
      <c r="F68" s="65">
        <f>'[1]Oil Production'!C29</f>
        <v>2010.1819215776964</v>
      </c>
      <c r="G68" s="65">
        <f>'[1]Oil Production'!D29</f>
        <v>71460.030064787978</v>
      </c>
      <c r="H68" s="95"/>
      <c r="K68" s="109">
        <f>'Liquids Type Curve'!A45</f>
        <v>1.9218907987866525</v>
      </c>
      <c r="L68" s="116">
        <f>'Liquids Type Curve'!B45</f>
        <v>23.062689585439831</v>
      </c>
      <c r="M68" s="65">
        <f>'Liquids Type Curve'!C45</f>
        <v>36.561289744757445</v>
      </c>
      <c r="N68" s="65">
        <f>'Liquids Type Curve'!D45</f>
        <v>1112.0725630697057</v>
      </c>
      <c r="O68" s="65">
        <f>'Liquids Type Curve'!E45</f>
        <v>56954.566127592429</v>
      </c>
      <c r="P68" s="250"/>
      <c r="S68" s="112">
        <f>'Gas Type Curve'!A52</f>
        <v>1.9166666666666659</v>
      </c>
      <c r="T68" s="128">
        <f>'Gas Type Curve'!B52</f>
        <v>22.999999999999989</v>
      </c>
      <c r="U68" s="94">
        <f>'Gas Type Curve'!C52</f>
        <v>606.8771753230352</v>
      </c>
      <c r="V68" s="94">
        <f>'Gas Type Curve'!D52</f>
        <v>18459.180749408988</v>
      </c>
      <c r="W68" s="94">
        <f>'Gas Type Curve'!E52</f>
        <v>904442.70145059796</v>
      </c>
      <c r="X68" s="250"/>
      <c r="AK68" s="146">
        <f t="shared" si="14"/>
        <v>23</v>
      </c>
      <c r="AL68" s="146" t="e">
        <f t="shared" si="15"/>
        <v>#REF!</v>
      </c>
      <c r="AM68" s="146">
        <f t="shared" si="16"/>
        <v>6198.7846095489003</v>
      </c>
      <c r="AN68" s="133">
        <f>'Price Deck'!E27*F68+N68*'Price Deck'!T27+(V68*'Price Deck'!K27/$AB$3)</f>
        <v>151923.22242447641</v>
      </c>
      <c r="AO68" s="133">
        <f t="shared" si="17"/>
        <v>24.508549980982838</v>
      </c>
      <c r="AP68" s="133" t="e">
        <f>'Production Costs '!$N$22*(1+'Production Costs '!$P$2)^(AL68)</f>
        <v>#REF!</v>
      </c>
      <c r="AQ68" s="133" t="e">
        <f>'Production Costs '!$N$23*(1+'Production Costs '!$P$2)^AL68</f>
        <v>#REF!</v>
      </c>
      <c r="AR68" s="162">
        <f>-'Oil Royalties'!W33</f>
        <v>-3.2727292176444878</v>
      </c>
      <c r="AS68" s="162">
        <f>-'Butane Royalties'!AD33</f>
        <v>-2.6280487804878057</v>
      </c>
      <c r="AT68" s="162">
        <f>-'Propane Royalties'!AD33</f>
        <v>-1.7621951219512197</v>
      </c>
      <c r="AU68" s="162">
        <f>-'Ethane Royalties'!AH33</f>
        <v>-0.25219512195121957</v>
      </c>
      <c r="AV68" s="162">
        <f>-'Natural Gas Royalties'!AB33</f>
        <v>-0.13282194853139967</v>
      </c>
      <c r="AW68" s="133" t="e">
        <f>AN68+AM68*(AP68+AQ68)+(AR68*F68)+(AV68*(V68/$AB$3))+(AS68*'Butane Royalties'!K38)+(AT68*'Propane Royalties'!K38)+(AU68*'Ethane Royalties'!K38)</f>
        <v>#REF!</v>
      </c>
      <c r="AX68" s="133" t="e">
        <f t="shared" si="18"/>
        <v>#REF!</v>
      </c>
      <c r="AY68" s="133">
        <f t="shared" si="11"/>
        <v>53768.13296081614</v>
      </c>
      <c r="AZ68" s="133">
        <f t="shared" si="12"/>
        <v>2091818.4615374093</v>
      </c>
      <c r="BA68" s="133" t="e">
        <f t="shared" si="6"/>
        <v>#REF!</v>
      </c>
      <c r="BB68" s="133" t="e">
        <f t="shared" si="19"/>
        <v>#REF!</v>
      </c>
      <c r="BC68" s="133" t="e">
        <f t="shared" si="8"/>
        <v>#REF!</v>
      </c>
      <c r="BD68" s="133" t="e">
        <f t="shared" si="9"/>
        <v>#REF!</v>
      </c>
      <c r="BE68" s="133" t="e">
        <f t="shared" si="13"/>
        <v>#REF!</v>
      </c>
      <c r="BF68" s="133"/>
    </row>
    <row r="69" spans="2:58">
      <c r="B69" s="109" t="e">
        <f>'[1]Oil Production'!#REF!</f>
        <v>#REF!</v>
      </c>
      <c r="D69" s="116">
        <f>'[1]Oil Production'!A30</f>
        <v>24</v>
      </c>
      <c r="E69" s="65">
        <f>'[1]Oil Production'!B30</f>
        <v>64.927576226678752</v>
      </c>
      <c r="F69" s="65">
        <f>'[1]Oil Production'!C30</f>
        <v>1974.8804435614788</v>
      </c>
      <c r="G69" s="65">
        <f>'[1]Oil Production'!D30</f>
        <v>73434.910508349451</v>
      </c>
      <c r="K69" s="109">
        <f>'Liquids Type Curve'!A46</f>
        <v>2.0052241321199857</v>
      </c>
      <c r="L69" s="116">
        <f>'Liquids Type Curve'!B46</f>
        <v>24.062689585439827</v>
      </c>
      <c r="M69" s="65">
        <f>'Liquids Type Curve'!C46</f>
        <v>35.143040277399855</v>
      </c>
      <c r="N69" s="65">
        <f>'Liquids Type Curve'!D46</f>
        <v>1068.9341417709122</v>
      </c>
      <c r="O69" s="65">
        <f>'Liquids Type Curve'!E46</f>
        <v>58023.500269363343</v>
      </c>
      <c r="P69" s="250"/>
      <c r="S69" s="112">
        <f>'Gas Type Curve'!A53</f>
        <v>1.9999999999999991</v>
      </c>
      <c r="T69" s="128">
        <f>'Gas Type Curve'!B53</f>
        <v>23.999999999999989</v>
      </c>
      <c r="U69" s="94">
        <f>'Gas Type Curve'!C53</f>
        <v>588.90732878501603</v>
      </c>
      <c r="V69" s="94">
        <f>'Gas Type Curve'!D53</f>
        <v>17912.597917210904</v>
      </c>
      <c r="W69" s="94">
        <f>'Gas Type Curve'!E53</f>
        <v>922355.29936780885</v>
      </c>
      <c r="X69" s="250"/>
      <c r="AK69" s="146">
        <f t="shared" si="14"/>
        <v>24</v>
      </c>
      <c r="AL69" s="146" t="e">
        <f>$B$69</f>
        <v>#REF!</v>
      </c>
      <c r="AM69" s="146">
        <f t="shared" si="16"/>
        <v>6029.247571534208</v>
      </c>
      <c r="AN69" s="133">
        <f>'Price Deck'!E28*F69+N69*'Price Deck'!T28+(V69*'Price Deck'!K28/$AB$3)</f>
        <v>147959.73250078486</v>
      </c>
      <c r="AO69" s="133">
        <f t="shared" si="17"/>
        <v>24.540331234588013</v>
      </c>
      <c r="AP69" s="133" t="e">
        <f>'Production Costs '!$N$22*(1+'Production Costs '!$P$2)^(AL69)</f>
        <v>#REF!</v>
      </c>
      <c r="AQ69" s="133" t="e">
        <f>'Production Costs '!$N$23*(1+'Production Costs '!$P$2)^AL69</f>
        <v>#REF!</v>
      </c>
      <c r="AR69" s="162">
        <f>-'Oil Royalties'!W34</f>
        <v>-3.2618563631008191</v>
      </c>
      <c r="AS69" s="162">
        <f>-'Butane Royalties'!AD34</f>
        <v>-2.6280487804878048</v>
      </c>
      <c r="AT69" s="162">
        <f>-'Propane Royalties'!AD34</f>
        <v>-1.7621951219512195</v>
      </c>
      <c r="AU69" s="162">
        <f>-'Ethane Royalties'!AH34</f>
        <v>-0.25219512195121951</v>
      </c>
      <c r="AV69" s="162">
        <f>-'Natural Gas Royalties'!AB34</f>
        <v>-0.12929399036495018</v>
      </c>
      <c r="AW69" s="133" t="e">
        <f>AN69+AM69*(AP69+AQ69)+(AR69*F69)+(AV69*(V69/$AB$3))+(AS69*'Butane Royalties'!K39)+(AT69*'Propane Royalties'!K39)+(AU69*'Ethane Royalties'!K39)</f>
        <v>#REF!</v>
      </c>
      <c r="AX69" s="133" t="e">
        <f t="shared" si="18"/>
        <v>#REF!</v>
      </c>
      <c r="AY69" s="133">
        <f t="shared" si="11"/>
        <v>52420.710242243404</v>
      </c>
      <c r="AZ69" s="133">
        <f t="shared" si="12"/>
        <v>2039397.7512951659</v>
      </c>
      <c r="BA69" s="133" t="e">
        <f t="shared" si="6"/>
        <v>#REF!</v>
      </c>
      <c r="BB69" s="133" t="e">
        <f t="shared" si="19"/>
        <v>#REF!</v>
      </c>
      <c r="BC69" s="133" t="e">
        <f t="shared" si="8"/>
        <v>#REF!</v>
      </c>
      <c r="BD69" s="133" t="e">
        <f t="shared" si="9"/>
        <v>#REF!</v>
      </c>
      <c r="BE69" s="133" t="e">
        <f t="shared" si="13"/>
        <v>#REF!</v>
      </c>
      <c r="BF69" s="133"/>
    </row>
    <row r="70" spans="2:58">
      <c r="B70" s="109" t="e">
        <f>'[1]Oil Production'!#REF!</f>
        <v>#REF!</v>
      </c>
      <c r="C70" s="65" t="e">
        <f>B69</f>
        <v>#REF!</v>
      </c>
      <c r="D70" s="116">
        <f>'[1]Oil Production'!A31</f>
        <v>25</v>
      </c>
      <c r="E70" s="65">
        <f>'[1]Oil Production'!B31</f>
        <v>63.833519415640758</v>
      </c>
      <c r="F70" s="65">
        <f>'[1]Oil Production'!C31</f>
        <v>1941.6028822257399</v>
      </c>
      <c r="G70" s="65">
        <f>'[1]Oil Production'!D31</f>
        <v>75376.513390575186</v>
      </c>
      <c r="H70" s="95" t="e">
        <f>IF(C70&gt;0,((E70-E58)/(E58)),0)</f>
        <v>#REF!</v>
      </c>
      <c r="K70" s="109">
        <f>'Liquids Type Curve'!A47</f>
        <v>2.0885574654533192</v>
      </c>
      <c r="L70" s="116">
        <f>'Liquids Type Curve'!B47</f>
        <v>25.062689585439831</v>
      </c>
      <c r="M70" s="65">
        <f>'Liquids Type Curve'!C47</f>
        <v>33.834274914191383</v>
      </c>
      <c r="N70" s="65">
        <f>'Liquids Type Curve'!D47</f>
        <v>1029.1258619733212</v>
      </c>
      <c r="O70" s="65">
        <f>'Liquids Type Curve'!E47</f>
        <v>59052.626131336663</v>
      </c>
      <c r="P70" s="250" t="e">
        <f>IF($C$58&gt;0,((M70-M58)/M58))</f>
        <v>#REF!</v>
      </c>
      <c r="S70" s="112">
        <f>'Gas Type Curve'!A54</f>
        <v>2.0833333333333326</v>
      </c>
      <c r="T70" s="128">
        <f>'Gas Type Curve'!B54</f>
        <v>24.999999999999993</v>
      </c>
      <c r="U70" s="94">
        <f>'Gas Type Curve'!C54</f>
        <v>572.17130703500004</v>
      </c>
      <c r="V70" s="94">
        <f>'Gas Type Curve'!D54</f>
        <v>17403.543922314584</v>
      </c>
      <c r="W70" s="94">
        <f>'Gas Type Curve'!E54</f>
        <v>939758.84329012339</v>
      </c>
      <c r="X70" s="250" t="e">
        <f t="shared" ref="X70:X118" si="20">IF(C70&gt;0,((U70-U46)/U46))</f>
        <v>#REF!</v>
      </c>
      <c r="AK70" s="146">
        <f t="shared" si="14"/>
        <v>25</v>
      </c>
      <c r="AL70" s="146" t="e">
        <f t="shared" ref="AL70:AL80" si="21">$B$69</f>
        <v>#REF!</v>
      </c>
      <c r="AM70" s="146">
        <f t="shared" si="16"/>
        <v>5871.3193979181578</v>
      </c>
      <c r="AN70" s="133">
        <f>'Price Deck'!E29*F70+N70*'Price Deck'!T29+(V70*'Price Deck'!K29/$AB$3)</f>
        <v>143956.57445136906</v>
      </c>
      <c r="AO70" s="133">
        <f t="shared" si="17"/>
        <v>24.518607266096428</v>
      </c>
      <c r="AP70" s="133" t="e">
        <f>'Production Costs '!$N$22*(1+'Production Costs '!$P$2)^(AL70)</f>
        <v>#REF!</v>
      </c>
      <c r="AQ70" s="133" t="e">
        <f>'Production Costs '!$N$23*(1+'Production Costs '!$P$2)^AL70</f>
        <v>#REF!</v>
      </c>
      <c r="AR70" s="162">
        <f>-'Oil Royalties'!W35</f>
        <v>-13.775931305946832</v>
      </c>
      <c r="AS70" s="162">
        <f>-'Butane Royalties'!AD35</f>
        <v>-2.6280487804878048</v>
      </c>
      <c r="AT70" s="162">
        <f>-'Propane Royalties'!AD35</f>
        <v>-1.7621951219512193</v>
      </c>
      <c r="AU70" s="162">
        <f>-'Ethane Royalties'!AH35</f>
        <v>-0.25219512195121951</v>
      </c>
      <c r="AV70" s="162">
        <f>-'Natural Gas Royalties'!AB35</f>
        <v>-0.11988610192108497</v>
      </c>
      <c r="AW70" s="133" t="e">
        <f>AN70+AM70*(AP70+AQ70)+(AR70*F70)+(AV70*(V70/$AB$3))+(AS70*'Butane Royalties'!K40)+(AT70*'Propane Royalties'!K40)+(AU70*'Ethane Royalties'!K40)</f>
        <v>#REF!</v>
      </c>
      <c r="AX70" s="133" t="e">
        <f t="shared" si="18"/>
        <v>#REF!</v>
      </c>
      <c r="AY70" s="133">
        <f t="shared" si="11"/>
        <v>51107.0537692617</v>
      </c>
      <c r="AZ70" s="133">
        <f t="shared" si="12"/>
        <v>1988290.697525904</v>
      </c>
      <c r="BA70" s="133" t="e">
        <f t="shared" si="6"/>
        <v>#REF!</v>
      </c>
      <c r="BB70" s="133" t="e">
        <f t="shared" si="19"/>
        <v>#REF!</v>
      </c>
      <c r="BC70" s="133" t="e">
        <f t="shared" si="8"/>
        <v>#REF!</v>
      </c>
      <c r="BD70" s="133" t="e">
        <f t="shared" si="9"/>
        <v>#REF!</v>
      </c>
      <c r="BE70" s="133" t="e">
        <f t="shared" si="13"/>
        <v>#REF!</v>
      </c>
      <c r="BF70" s="133"/>
    </row>
    <row r="71" spans="2:58">
      <c r="B71" s="109" t="e">
        <f>'[1]Oil Production'!#REF!</f>
        <v>#REF!</v>
      </c>
      <c r="C71" s="65"/>
      <c r="D71" s="116">
        <f>'[1]Oil Production'!A32</f>
        <v>26</v>
      </c>
      <c r="E71" s="65">
        <f>'[1]Oil Production'!B32</f>
        <v>62.799746644887094</v>
      </c>
      <c r="F71" s="65">
        <f>'[1]Oil Production'!C32</f>
        <v>1910.1589604486492</v>
      </c>
      <c r="G71" s="65">
        <f>'[1]Oil Production'!D32</f>
        <v>77286.672351023837</v>
      </c>
      <c r="H71" s="95"/>
      <c r="K71" s="109">
        <f>'Liquids Type Curve'!A48</f>
        <v>2.1718907987866527</v>
      </c>
      <c r="L71" s="116">
        <f>'Liquids Type Curve'!B48</f>
        <v>26.062689585439834</v>
      </c>
      <c r="M71" s="65">
        <f>'Liquids Type Curve'!C48</f>
        <v>32.622660075049097</v>
      </c>
      <c r="N71" s="65">
        <f>'Liquids Type Curve'!D48</f>
        <v>992.27257728274344</v>
      </c>
      <c r="O71" s="65">
        <f>'Liquids Type Curve'!E48</f>
        <v>60044.89870861941</v>
      </c>
      <c r="P71" s="250"/>
      <c r="S71" s="112">
        <f>'Gas Type Curve'!A55</f>
        <v>2.1666666666666661</v>
      </c>
      <c r="T71" s="128">
        <f>'Gas Type Curve'!B55</f>
        <v>25.999999999999993</v>
      </c>
      <c r="U71" s="94">
        <f>'Gas Type Curve'!C55</f>
        <v>556.53993754774808</v>
      </c>
      <c r="V71" s="94">
        <f>'Gas Type Curve'!D55</f>
        <v>16928.089767077337</v>
      </c>
      <c r="W71" s="94">
        <f>'Gas Type Curve'!E55</f>
        <v>956686.93305720075</v>
      </c>
      <c r="X71" s="250"/>
      <c r="AK71" s="146">
        <f t="shared" si="14"/>
        <v>26</v>
      </c>
      <c r="AL71" s="146" t="e">
        <f t="shared" si="21"/>
        <v>#REF!</v>
      </c>
      <c r="AM71" s="146">
        <f t="shared" si="16"/>
        <v>5723.7798322442814</v>
      </c>
      <c r="AN71" s="133">
        <f>'Price Deck'!E30*F71+N71*'Price Deck'!T30+(V71*'Price Deck'!K30/$AB$3)</f>
        <v>139802.37767840194</v>
      </c>
      <c r="AO71" s="133">
        <f t="shared" si="17"/>
        <v>24.424834947501072</v>
      </c>
      <c r="AP71" s="133" t="e">
        <f>'Production Costs '!$N$22*(1+'Production Costs '!$P$2)^(AL71)</f>
        <v>#REF!</v>
      </c>
      <c r="AQ71" s="133" t="e">
        <f>'Production Costs '!$N$23*(1+'Production Costs '!$P$2)^AL71</f>
        <v>#REF!</v>
      </c>
      <c r="AR71" s="162">
        <f>-'Oil Royalties'!W36</f>
        <v>-13.692923958865665</v>
      </c>
      <c r="AS71" s="162">
        <f>-'Butane Royalties'!AD36</f>
        <v>-2.6280487804878052</v>
      </c>
      <c r="AT71" s="162">
        <f>-'Propane Royalties'!AD36</f>
        <v>-1.7621951219512195</v>
      </c>
      <c r="AU71" s="162">
        <f>-'Ethane Royalties'!AH36</f>
        <v>-0.25219512195121951</v>
      </c>
      <c r="AV71" s="162">
        <f>-'Natural Gas Royalties'!AB36</f>
        <v>-0.1032916320270449</v>
      </c>
      <c r="AW71" s="133" t="e">
        <f>AN71+AM71*(AP71+AQ71)+(AR71*F71)+(AV71*(V71/$AB$3))+(AS71*'Butane Royalties'!K41)+(AT71*'Propane Royalties'!K41)+(AU71*'Ethane Royalties'!K41)</f>
        <v>#REF!</v>
      </c>
      <c r="AX71" s="133" t="e">
        <f t="shared" si="18"/>
        <v>#REF!</v>
      </c>
      <c r="AY71" s="133">
        <f t="shared" si="11"/>
        <v>49826.31736395997</v>
      </c>
      <c r="AZ71" s="133">
        <f t="shared" si="12"/>
        <v>1938464.3801619441</v>
      </c>
      <c r="BA71" s="133" t="e">
        <f t="shared" si="6"/>
        <v>#REF!</v>
      </c>
      <c r="BB71" s="133" t="e">
        <f t="shared" si="19"/>
        <v>#REF!</v>
      </c>
      <c r="BC71" s="133" t="e">
        <f t="shared" si="8"/>
        <v>#REF!</v>
      </c>
      <c r="BD71" s="133" t="e">
        <f t="shared" si="9"/>
        <v>#REF!</v>
      </c>
      <c r="BE71" s="133" t="e">
        <f t="shared" si="13"/>
        <v>#REF!</v>
      </c>
      <c r="BF71" s="133"/>
    </row>
    <row r="72" spans="2:58">
      <c r="B72" s="109" t="e">
        <f>'[1]Oil Production'!#REF!</f>
        <v>#REF!</v>
      </c>
      <c r="C72" s="65"/>
      <c r="D72" s="116">
        <f>'[1]Oil Production'!A33</f>
        <v>27</v>
      </c>
      <c r="E72" s="65">
        <f>'[1]Oil Production'!B33</f>
        <v>61.820802664203661</v>
      </c>
      <c r="F72" s="65">
        <f>'[1]Oil Production'!C33</f>
        <v>1880.3827477028615</v>
      </c>
      <c r="G72" s="65">
        <f>'[1]Oil Production'!D33</f>
        <v>79167.055098726705</v>
      </c>
      <c r="H72" s="95"/>
      <c r="K72" s="109">
        <f>'Liquids Type Curve'!A49</f>
        <v>2.2552241321199862</v>
      </c>
      <c r="L72" s="116">
        <f>'Liquids Type Curve'!B49</f>
        <v>27.062689585439834</v>
      </c>
      <c r="M72" s="65">
        <f>'Liquids Type Curve'!C49</f>
        <v>31.497656516355335</v>
      </c>
      <c r="N72" s="65">
        <f>'Liquids Type Curve'!D49</f>
        <v>958.05371903914147</v>
      </c>
      <c r="O72" s="65">
        <f>'Liquids Type Curve'!E49</f>
        <v>61002.952427658551</v>
      </c>
      <c r="P72" s="250"/>
      <c r="S72" s="112">
        <f>'Gas Type Curve'!A56</f>
        <v>2.2499999999999996</v>
      </c>
      <c r="T72" s="128">
        <f>'Gas Type Curve'!B56</f>
        <v>26.999999999999993</v>
      </c>
      <c r="U72" s="94">
        <f>'Gas Type Curve'!C56</f>
        <v>541.9018791534902</v>
      </c>
      <c r="V72" s="94">
        <f>'Gas Type Curve'!D56</f>
        <v>16482.848824251992</v>
      </c>
      <c r="W72" s="94">
        <f>'Gas Type Curve'!E56</f>
        <v>973169.78188145277</v>
      </c>
      <c r="X72" s="250"/>
      <c r="AK72" s="146">
        <f t="shared" si="14"/>
        <v>27</v>
      </c>
      <c r="AL72" s="146" t="e">
        <f t="shared" si="21"/>
        <v>#REF!</v>
      </c>
      <c r="AM72" s="146">
        <f t="shared" si="16"/>
        <v>5585.5779374506692</v>
      </c>
      <c r="AN72" s="133">
        <f>'Price Deck'!E31*F72+N72*'Price Deck'!T31+(V72*'Price Deck'!K31/$AB$3)</f>
        <v>136715.92367472328</v>
      </c>
      <c r="AO72" s="133">
        <f t="shared" si="17"/>
        <v>24.476594043753011</v>
      </c>
      <c r="AP72" s="133" t="e">
        <f>'Production Costs '!$N$22*(1+'Production Costs '!$P$2)^(AL72)</f>
        <v>#REF!</v>
      </c>
      <c r="AQ72" s="133" t="e">
        <f>'Production Costs '!$N$23*(1+'Production Costs '!$P$2)^AL72</f>
        <v>#REF!</v>
      </c>
      <c r="AR72" s="162">
        <f>-'Oil Royalties'!W37</f>
        <v>-13.618511787813269</v>
      </c>
      <c r="AS72" s="162">
        <f>-'Butane Royalties'!AD37</f>
        <v>-2.6280487804878052</v>
      </c>
      <c r="AT72" s="162">
        <f>-'Propane Royalties'!AD37</f>
        <v>-1.7621951219512197</v>
      </c>
      <c r="AU72" s="162">
        <f>-'Ethane Royalties'!AH37</f>
        <v>-0.25219512195121957</v>
      </c>
      <c r="AV72" s="162">
        <f>-'Natural Gas Royalties'!AB37</f>
        <v>-0.10120099015063042</v>
      </c>
      <c r="AW72" s="133" t="e">
        <f>AN72+AM72*(AP72+AQ72)+(AR72*F72)+(AV72*(V72/$AB$3))+(AS72*'Butane Royalties'!K42)+(AT72*'Propane Royalties'!K42)+(AU72*'Ethane Royalties'!K42)</f>
        <v>#REF!</v>
      </c>
      <c r="AX72" s="133" t="e">
        <f t="shared" si="18"/>
        <v>#REF!</v>
      </c>
      <c r="AY72" s="133">
        <f t="shared" si="11"/>
        <v>48577.676053540257</v>
      </c>
      <c r="AZ72" s="133">
        <f t="shared" si="12"/>
        <v>1889886.7041084038</v>
      </c>
      <c r="BA72" s="133" t="e">
        <f t="shared" si="6"/>
        <v>#REF!</v>
      </c>
      <c r="BB72" s="133" t="e">
        <f t="shared" si="19"/>
        <v>#REF!</v>
      </c>
      <c r="BC72" s="133" t="e">
        <f t="shared" si="8"/>
        <v>#REF!</v>
      </c>
      <c r="BD72" s="133" t="e">
        <f t="shared" si="9"/>
        <v>#REF!</v>
      </c>
      <c r="BE72" s="133" t="e">
        <f t="shared" si="13"/>
        <v>#REF!</v>
      </c>
      <c r="BF72" s="133"/>
    </row>
    <row r="73" spans="2:58">
      <c r="B73" s="109" t="e">
        <f>'[1]Oil Production'!#REF!</f>
        <v>#REF!</v>
      </c>
      <c r="C73" s="65"/>
      <c r="D73" s="116">
        <f>'[1]Oil Production'!A34</f>
        <v>28</v>
      </c>
      <c r="E73" s="65">
        <f>'[1]Oil Production'!B34</f>
        <v>60.891905033214876</v>
      </c>
      <c r="F73" s="65">
        <f>'[1]Oil Production'!C34</f>
        <v>1852.1287780936193</v>
      </c>
      <c r="G73" s="65">
        <f>'[1]Oil Production'!D34</f>
        <v>81019.183876820331</v>
      </c>
      <c r="H73" s="95"/>
      <c r="K73" s="109">
        <f>'Liquids Type Curve'!A50</f>
        <v>2.3385574654533197</v>
      </c>
      <c r="L73" s="116">
        <f>'Liquids Type Curve'!B50</f>
        <v>28.062689585439834</v>
      </c>
      <c r="M73" s="65">
        <f>'Liquids Type Curve'!C50</f>
        <v>30.450203575360582</v>
      </c>
      <c r="N73" s="65">
        <f>'Liquids Type Curve'!D50</f>
        <v>926.19369208388446</v>
      </c>
      <c r="O73" s="65">
        <f>'Liquids Type Curve'!E50</f>
        <v>61929.146119742436</v>
      </c>
      <c r="P73" s="250"/>
      <c r="S73" s="112">
        <f>'Gas Type Curve'!A57</f>
        <v>2.333333333333333</v>
      </c>
      <c r="T73" s="128">
        <f>'Gas Type Curve'!B57</f>
        <v>27.999999999999996</v>
      </c>
      <c r="U73" s="94">
        <f>'Gas Type Curve'!C57</f>
        <v>528.16060854050716</v>
      </c>
      <c r="V73" s="94">
        <f>'Gas Type Curve'!D57</f>
        <v>16064.885176440426</v>
      </c>
      <c r="W73" s="94">
        <f>'Gas Type Curve'!E57</f>
        <v>989234.66705789324</v>
      </c>
      <c r="X73" s="250"/>
      <c r="AK73" s="146">
        <f t="shared" si="14"/>
        <v>28</v>
      </c>
      <c r="AL73" s="146" t="e">
        <f t="shared" si="21"/>
        <v>#REF!</v>
      </c>
      <c r="AM73" s="146">
        <f t="shared" si="16"/>
        <v>5455.8033329175751</v>
      </c>
      <c r="AN73" s="133">
        <f>'Price Deck'!E32*F73+N73*'Price Deck'!T32+(V73*'Price Deck'!K32/$AB$3)</f>
        <v>134099.85325013951</v>
      </c>
      <c r="AO73" s="133">
        <f t="shared" si="17"/>
        <v>24.57930483693362</v>
      </c>
      <c r="AP73" s="133" t="e">
        <f>'Production Costs '!$N$22*(1+'Production Costs '!$P$2)^(AL73)</f>
        <v>#REF!</v>
      </c>
      <c r="AQ73" s="133" t="e">
        <f>'Production Costs '!$N$23*(1+'Production Costs '!$P$2)^AL73</f>
        <v>#REF!</v>
      </c>
      <c r="AR73" s="162">
        <f>-'Oil Royalties'!W38</f>
        <v>-13.561406200109989</v>
      </c>
      <c r="AS73" s="162">
        <f>-'Butane Royalties'!AD38</f>
        <v>-2.6280487804878052</v>
      </c>
      <c r="AT73" s="162">
        <f>-'Propane Royalties'!AD38</f>
        <v>-1.7621951219512195</v>
      </c>
      <c r="AU73" s="162">
        <f>-'Ethane Royalties'!AH38</f>
        <v>-0.25219512195121951</v>
      </c>
      <c r="AV73" s="162">
        <f>-'Natural Gas Royalties'!AB38</f>
        <v>-0.10368362737887261</v>
      </c>
      <c r="AW73" s="133" t="e">
        <f>AN73+AM73*(AP73+AQ73)+(AR73*F73)+(AV73*(V73/$AB$3))+(AS73*'Butane Royalties'!K43)+(AT73*'Propane Royalties'!K43)+(AU73*'Ethane Royalties'!K43)</f>
        <v>#REF!</v>
      </c>
      <c r="AX73" s="133" t="e">
        <f t="shared" si="18"/>
        <v>#REF!</v>
      </c>
      <c r="AY73" s="133">
        <f t="shared" si="11"/>
        <v>47360.325538920246</v>
      </c>
      <c r="AZ73" s="133">
        <f t="shared" si="12"/>
        <v>1842526.3785694835</v>
      </c>
      <c r="BA73" s="133" t="e">
        <f t="shared" si="6"/>
        <v>#REF!</v>
      </c>
      <c r="BB73" s="133" t="e">
        <f t="shared" si="19"/>
        <v>#REF!</v>
      </c>
      <c r="BC73" s="133" t="e">
        <f t="shared" si="8"/>
        <v>#REF!</v>
      </c>
      <c r="BD73" s="133" t="e">
        <f t="shared" si="9"/>
        <v>#REF!</v>
      </c>
      <c r="BE73" s="133" t="e">
        <f t="shared" si="13"/>
        <v>#REF!</v>
      </c>
      <c r="BF73" s="133"/>
    </row>
    <row r="74" spans="2:58">
      <c r="B74" s="109" t="e">
        <f>'[1]Oil Production'!#REF!</f>
        <v>#REF!</v>
      </c>
      <c r="C74" s="65"/>
      <c r="D74" s="116">
        <f>'[1]Oil Production'!A35</f>
        <v>29</v>
      </c>
      <c r="E74" s="65">
        <f>'[1]Oil Production'!B35</f>
        <v>60.008840584260781</v>
      </c>
      <c r="F74" s="65">
        <f>'[1]Oil Production'!C35</f>
        <v>1825.2689011045989</v>
      </c>
      <c r="G74" s="65">
        <f>'[1]Oil Production'!D35</f>
        <v>82844.452777924933</v>
      </c>
      <c r="H74" s="95"/>
      <c r="K74" s="109">
        <f>'Liquids Type Curve'!A51</f>
        <v>2.4218907987866531</v>
      </c>
      <c r="L74" s="116">
        <f>'Liquids Type Curve'!B51</f>
        <v>29.062689585439838</v>
      </c>
      <c r="M74" s="65">
        <f>'Liquids Type Curve'!C51</f>
        <v>29.47246794325341</v>
      </c>
      <c r="N74" s="65">
        <f>'Liquids Type Curve'!D51</f>
        <v>896.45423327395793</v>
      </c>
      <c r="O74" s="65">
        <f>'Liquids Type Curve'!E51</f>
        <v>62825.600353016394</v>
      </c>
      <c r="P74" s="250"/>
      <c r="S74" s="112">
        <f>'Gas Type Curve'!A58</f>
        <v>2.4166666666666665</v>
      </c>
      <c r="T74" s="128">
        <f>'Gas Type Curve'!B58</f>
        <v>29</v>
      </c>
      <c r="U74" s="94">
        <f>'Gas Type Curve'!C58</f>
        <v>515.23200286437248</v>
      </c>
      <c r="V74" s="94">
        <f>'Gas Type Curve'!D58</f>
        <v>15671.640087124664</v>
      </c>
      <c r="W74" s="94">
        <f>'Gas Type Curve'!E58</f>
        <v>1004906.3071450179</v>
      </c>
      <c r="X74" s="250"/>
      <c r="AK74" s="146">
        <f t="shared" si="14"/>
        <v>29</v>
      </c>
      <c r="AL74" s="146" t="e">
        <f t="shared" si="21"/>
        <v>#REF!</v>
      </c>
      <c r="AM74" s="146">
        <f t="shared" si="16"/>
        <v>5333.6631488993344</v>
      </c>
      <c r="AN74" s="133">
        <f>'Price Deck'!E33*F74+N74*'Price Deck'!T33+(V74*'Price Deck'!K33/$AB$3)</f>
        <v>131561.95781902608</v>
      </c>
      <c r="AO74" s="133">
        <f t="shared" si="17"/>
        <v>24.666341714169835</v>
      </c>
      <c r="AP74" s="133" t="e">
        <f>'Production Costs '!$N$22*(1+'Production Costs '!$P$2)^(AL74)</f>
        <v>#REF!</v>
      </c>
      <c r="AQ74" s="133" t="e">
        <f>'Production Costs '!$N$23*(1+'Production Costs '!$P$2)^AL74</f>
        <v>#REF!</v>
      </c>
      <c r="AR74" s="162">
        <f>-'Oil Royalties'!W39</f>
        <v>-13.481654928378283</v>
      </c>
      <c r="AS74" s="162">
        <f>-'Butane Royalties'!AD39</f>
        <v>-2.6280487804878052</v>
      </c>
      <c r="AT74" s="162">
        <f>-'Propane Royalties'!AD39</f>
        <v>-3.9538538696839174</v>
      </c>
      <c r="AU74" s="162">
        <f>-'Ethane Royalties'!AH39</f>
        <v>-0.25219512195121963</v>
      </c>
      <c r="AV74" s="162">
        <f>-'Natural Gas Royalties'!AB39</f>
        <v>-0.10636226228302866</v>
      </c>
      <c r="AW74" s="133" t="e">
        <f>AN74+AM74*(AP74+AQ74)+(AR74*F74)+(AV74*(V74/$AB$3))+(AS74*'Butane Royalties'!K44)+(AT74*'Propane Royalties'!K44)+(AU74*'Ethane Royalties'!K44)</f>
        <v>#REF!</v>
      </c>
      <c r="AX74" s="133" t="e">
        <f t="shared" si="18"/>
        <v>#REF!</v>
      </c>
      <c r="AY74" s="133">
        <f t="shared" si="11"/>
        <v>46173.481676652496</v>
      </c>
      <c r="AZ74" s="133">
        <f t="shared" si="12"/>
        <v>1796352.896892831</v>
      </c>
      <c r="BA74" s="133" t="e">
        <f t="shared" si="6"/>
        <v>#REF!</v>
      </c>
      <c r="BB74" s="133" t="e">
        <f t="shared" si="19"/>
        <v>#REF!</v>
      </c>
      <c r="BC74" s="133" t="e">
        <f t="shared" si="8"/>
        <v>#REF!</v>
      </c>
      <c r="BD74" s="133" t="e">
        <f t="shared" si="9"/>
        <v>#REF!</v>
      </c>
      <c r="BE74" s="133" t="e">
        <f t="shared" si="13"/>
        <v>#REF!</v>
      </c>
      <c r="BF74" s="133"/>
    </row>
    <row r="75" spans="2:58">
      <c r="B75" s="109" t="e">
        <f>'[1]Oil Production'!#REF!</f>
        <v>#REF!</v>
      </c>
      <c r="C75" s="65"/>
      <c r="D75" s="116">
        <f>'[1]Oil Production'!A36</f>
        <v>30</v>
      </c>
      <c r="E75" s="65">
        <f>'[1]Oil Production'!B36</f>
        <v>59.167880769208764</v>
      </c>
      <c r="F75" s="65">
        <f>'[1]Oil Production'!C36</f>
        <v>1799.6897067300999</v>
      </c>
      <c r="G75" s="65">
        <f>'[1]Oil Production'!D36</f>
        <v>84644.142484655036</v>
      </c>
      <c r="H75" s="95"/>
      <c r="K75" s="109">
        <f>'Liquids Type Curve'!A52</f>
        <v>2.5052241321199866</v>
      </c>
      <c r="L75" s="116">
        <f>'Liquids Type Curve'!B52</f>
        <v>30.062689585439841</v>
      </c>
      <c r="M75" s="65">
        <f>'Liquids Type Curve'!C52</f>
        <v>28.557642069722547</v>
      </c>
      <c r="N75" s="65">
        <f>'Liquids Type Curve'!D52</f>
        <v>868.62827962072754</v>
      </c>
      <c r="O75" s="65">
        <f>'Liquids Type Curve'!E52</f>
        <v>63694.228632637125</v>
      </c>
      <c r="P75" s="250"/>
      <c r="S75" s="112">
        <f>'Gas Type Curve'!A59</f>
        <v>2.5</v>
      </c>
      <c r="T75" s="128">
        <f>'Gas Type Curve'!B59</f>
        <v>30</v>
      </c>
      <c r="U75" s="94">
        <f>'Gas Type Curve'!C59</f>
        <v>503.04238452152231</v>
      </c>
      <c r="V75" s="94">
        <f>'Gas Type Curve'!D59</f>
        <v>15300.872529196304</v>
      </c>
      <c r="W75" s="94">
        <f>'Gas Type Curve'!E59</f>
        <v>1020207.1796742142</v>
      </c>
      <c r="X75" s="250"/>
      <c r="AK75" s="146">
        <f t="shared" si="14"/>
        <v>30</v>
      </c>
      <c r="AL75" s="146" t="e">
        <f t="shared" si="21"/>
        <v>#REF!</v>
      </c>
      <c r="AM75" s="146">
        <f t="shared" si="16"/>
        <v>5218.4634078835443</v>
      </c>
      <c r="AN75" s="133">
        <f>'Price Deck'!E34*F75+N75*'Price Deck'!T34+(V75*'Price Deck'!K34/$AB$3)</f>
        <v>129082.24328465197</v>
      </c>
      <c r="AO75" s="133">
        <f t="shared" si="17"/>
        <v>24.735680447552269</v>
      </c>
      <c r="AP75" s="133" t="e">
        <f>'Production Costs '!$N$22*(1+'Production Costs '!$P$2)^(AL75)</f>
        <v>#REF!</v>
      </c>
      <c r="AQ75" s="133" t="e">
        <f>'Production Costs '!$N$23*(1+'Production Costs '!$P$2)^AL75</f>
        <v>#REF!</v>
      </c>
      <c r="AR75" s="162">
        <f>-'Oil Royalties'!W40</f>
        <v>-13.407805501709444</v>
      </c>
      <c r="AS75" s="162">
        <f>-'Butane Royalties'!AD40</f>
        <v>-2.6280487804878052</v>
      </c>
      <c r="AT75" s="162">
        <f>-'Propane Royalties'!AD40</f>
        <v>-3.8544808988150918</v>
      </c>
      <c r="AU75" s="162">
        <f>-'Ethane Royalties'!AH40</f>
        <v>-0.25219512195121957</v>
      </c>
      <c r="AV75" s="162">
        <f>-'Natural Gas Royalties'!AB40</f>
        <v>-0.10727691810396002</v>
      </c>
      <c r="AW75" s="133" t="e">
        <f>AN75+AM75*(AP75+AQ75)+(AR75*F75)+(AV75*(V75/$AB$3))+(AS75*'Butane Royalties'!K45)+(AT75*'Propane Royalties'!K45)+(AU75*'Ethane Royalties'!K45)</f>
        <v>#REF!</v>
      </c>
      <c r="AX75" s="133" t="e">
        <f t="shared" si="18"/>
        <v>#REF!</v>
      </c>
      <c r="AY75" s="133">
        <f t="shared" si="11"/>
        <v>45016.379973826704</v>
      </c>
      <c r="AZ75" s="133">
        <f t="shared" si="12"/>
        <v>1751336.5169190043</v>
      </c>
      <c r="BA75" s="133" t="e">
        <f t="shared" si="6"/>
        <v>#REF!</v>
      </c>
      <c r="BB75" s="133" t="e">
        <f t="shared" si="19"/>
        <v>#REF!</v>
      </c>
      <c r="BC75" s="133" t="e">
        <f t="shared" si="8"/>
        <v>#REF!</v>
      </c>
      <c r="BD75" s="133" t="e">
        <f t="shared" si="9"/>
        <v>#REF!</v>
      </c>
      <c r="BE75" s="133" t="e">
        <f t="shared" si="13"/>
        <v>#REF!</v>
      </c>
      <c r="BF75" s="133"/>
    </row>
    <row r="76" spans="2:58">
      <c r="B76" s="109" t="e">
        <f>'[1]Oil Production'!#REF!</f>
        <v>#REF!</v>
      </c>
      <c r="C76" s="65"/>
      <c r="D76" s="116">
        <f>'[1]Oil Production'!A37</f>
        <v>31</v>
      </c>
      <c r="E76" s="65">
        <f>'[1]Oil Production'!B37</f>
        <v>58.365711942813306</v>
      </c>
      <c r="F76" s="65">
        <f>'[1]Oil Production'!C37</f>
        <v>1775.2904049272381</v>
      </c>
      <c r="G76" s="65">
        <f>'[1]Oil Production'!D37</f>
        <v>86419.432889582269</v>
      </c>
      <c r="H76" s="95"/>
      <c r="K76" s="109">
        <f>'Liquids Type Curve'!A53</f>
        <v>2.5885574654533201</v>
      </c>
      <c r="L76" s="116">
        <f>'Liquids Type Curve'!B53</f>
        <v>31.062689585439841</v>
      </c>
      <c r="M76" s="65">
        <f>'Liquids Type Curve'!C53</f>
        <v>27.699781110330612</v>
      </c>
      <c r="N76" s="65">
        <f>'Liquids Type Curve'!D53</f>
        <v>842.53500877255613</v>
      </c>
      <c r="O76" s="65">
        <f>'Liquids Type Curve'!E53</f>
        <v>64536.763641409678</v>
      </c>
      <c r="P76" s="250"/>
      <c r="S76" s="112">
        <f>'Gas Type Curve'!A60</f>
        <v>2.5833333333333335</v>
      </c>
      <c r="T76" s="128">
        <f>'Gas Type Curve'!B60</f>
        <v>31</v>
      </c>
      <c r="U76" s="94">
        <f>'Gas Type Curve'!C60</f>
        <v>491.52692760849595</v>
      </c>
      <c r="V76" s="94">
        <f>'Gas Type Curve'!D60</f>
        <v>14950.610714758419</v>
      </c>
      <c r="W76" s="94">
        <f>'Gas Type Curve'!E60</f>
        <v>1035157.7903889726</v>
      </c>
      <c r="X76" s="250"/>
      <c r="AK76" s="146">
        <f t="shared" si="14"/>
        <v>31</v>
      </c>
      <c r="AL76" s="146" t="e">
        <f t="shared" si="21"/>
        <v>#REF!</v>
      </c>
      <c r="AM76" s="146">
        <f t="shared" si="16"/>
        <v>5109.593866159531</v>
      </c>
      <c r="AN76" s="133">
        <f>'Price Deck'!E35*F76+N76*'Price Deck'!T35+(V76*'Price Deck'!K35/$AB$3)</f>
        <v>126705.46851697688</v>
      </c>
      <c r="AO76" s="133">
        <f t="shared" si="17"/>
        <v>24.797561574538829</v>
      </c>
      <c r="AP76" s="133" t="e">
        <f>'Production Costs '!$N$22*(1+'Production Costs '!$P$2)^(AL76)</f>
        <v>#REF!</v>
      </c>
      <c r="AQ76" s="133" t="e">
        <f>'Production Costs '!$N$23*(1+'Production Costs '!$P$2)^AL76</f>
        <v>#REF!</v>
      </c>
      <c r="AR76" s="162">
        <f>-'Oil Royalties'!W41</f>
        <v>-13.345471958267472</v>
      </c>
      <c r="AS76" s="162">
        <f>-'Butane Royalties'!AD41</f>
        <v>-2.6280487804878052</v>
      </c>
      <c r="AT76" s="162">
        <f>-'Propane Royalties'!AD41</f>
        <v>-3.7624844497196257</v>
      </c>
      <c r="AU76" s="162">
        <f>-'Ethane Royalties'!AH41</f>
        <v>-0.25219512195121951</v>
      </c>
      <c r="AV76" s="162">
        <f>-'Natural Gas Royalties'!AB41</f>
        <v>-0.10708092042804615</v>
      </c>
      <c r="AW76" s="133" t="e">
        <f>AN76+AM76*(AP76+AQ76)+(AR76*F76)+(AV76*(V76/$AB$3))+(AS76*'Butane Royalties'!K46)+(AT76*'Propane Royalties'!K46)+(AU76*'Ethane Royalties'!K46)</f>
        <v>#REF!</v>
      </c>
      <c r="AX76" s="133" t="e">
        <f t="shared" si="18"/>
        <v>#REF!</v>
      </c>
      <c r="AY76" s="133">
        <f t="shared" si="11"/>
        <v>43888.275095629804</v>
      </c>
      <c r="AZ76" s="133">
        <f t="shared" si="12"/>
        <v>1707448.2418233745</v>
      </c>
      <c r="BA76" s="133" t="e">
        <f t="shared" si="6"/>
        <v>#REF!</v>
      </c>
      <c r="BB76" s="133" t="e">
        <f t="shared" si="19"/>
        <v>#REF!</v>
      </c>
      <c r="BC76" s="133" t="e">
        <f t="shared" si="8"/>
        <v>#REF!</v>
      </c>
      <c r="BD76" s="133" t="e">
        <f t="shared" si="9"/>
        <v>#REF!</v>
      </c>
      <c r="BE76" s="133" t="e">
        <f t="shared" si="13"/>
        <v>#REF!</v>
      </c>
      <c r="BF76" s="133"/>
    </row>
    <row r="77" spans="2:58">
      <c r="B77" s="109" t="e">
        <f>'[1]Oil Production'!#REF!</f>
        <v>#REF!</v>
      </c>
      <c r="C77" s="65"/>
      <c r="D77" s="116">
        <f>'[1]Oil Production'!A38</f>
        <v>32</v>
      </c>
      <c r="E77" s="65">
        <f>'[1]Oil Production'!B38</f>
        <v>57.599377558929241</v>
      </c>
      <c r="F77" s="65">
        <f>'[1]Oil Production'!C38</f>
        <v>1751.9810674174312</v>
      </c>
      <c r="G77" s="65">
        <f>'[1]Oil Production'!D38</f>
        <v>88171.413956999706</v>
      </c>
      <c r="H77" s="95"/>
      <c r="K77" s="109">
        <f>'Liquids Type Curve'!A54</f>
        <v>2.6718907987866536</v>
      </c>
      <c r="L77" s="116">
        <f>'Liquids Type Curve'!B54</f>
        <v>32.062689585439841</v>
      </c>
      <c r="M77" s="65">
        <f>'Liquids Type Curve'!C54</f>
        <v>26.893670074344161</v>
      </c>
      <c r="N77" s="65">
        <f>'Liquids Type Curve'!D54</f>
        <v>818.01579809463499</v>
      </c>
      <c r="O77" s="65">
        <f>'Liquids Type Curve'!E54</f>
        <v>65354.779439504309</v>
      </c>
      <c r="P77" s="250"/>
      <c r="S77" s="112">
        <f>'Gas Type Curve'!A61</f>
        <v>2.666666666666667</v>
      </c>
      <c r="T77" s="128">
        <f>'Gas Type Curve'!B61</f>
        <v>32</v>
      </c>
      <c r="U77" s="94">
        <f>'Gas Type Curve'!C61</f>
        <v>480.62834990288451</v>
      </c>
      <c r="V77" s="94">
        <f>'Gas Type Curve'!D61</f>
        <v>14619.112309546072</v>
      </c>
      <c r="W77" s="94">
        <f>'Gas Type Curve'!E61</f>
        <v>1049776.9026985187</v>
      </c>
      <c r="X77" s="250"/>
      <c r="AK77" s="146">
        <f t="shared" si="14"/>
        <v>32</v>
      </c>
      <c r="AL77" s="146" t="e">
        <f t="shared" si="21"/>
        <v>#REF!</v>
      </c>
      <c r="AM77" s="146">
        <f t="shared" si="16"/>
        <v>5006.5155837697448</v>
      </c>
      <c r="AN77" s="133">
        <f>'Price Deck'!E36*F77+N77*'Price Deck'!T36+(V77*'Price Deck'!K36/$AB$3)</f>
        <v>124579.87484579535</v>
      </c>
      <c r="AO77" s="133">
        <f t="shared" si="17"/>
        <v>24.883548799820318</v>
      </c>
      <c r="AP77" s="133" t="e">
        <f>'Production Costs '!$N$22*(1+'Production Costs '!$P$2)^(AL77)</f>
        <v>#REF!</v>
      </c>
      <c r="AQ77" s="133" t="e">
        <f>'Production Costs '!$N$23*(1+'Production Costs '!$P$2)^AL77</f>
        <v>#REF!</v>
      </c>
      <c r="AR77" s="162">
        <f>-'Oil Royalties'!W42</f>
        <v>-13.29457708156731</v>
      </c>
      <c r="AS77" s="162">
        <f>-'Butane Royalties'!AD42</f>
        <v>-2.6280487804878052</v>
      </c>
      <c r="AT77" s="162">
        <f>-'Propane Royalties'!AD42</f>
        <v>-3.6770642903785111</v>
      </c>
      <c r="AU77" s="162">
        <f>-'Ethane Royalties'!AH42</f>
        <v>-0.25219512195121951</v>
      </c>
      <c r="AV77" s="162">
        <f>-'Natural Gas Royalties'!AB42</f>
        <v>-0.10897556462854681</v>
      </c>
      <c r="AW77" s="133" t="e">
        <f>AN77+AM77*(AP77+AQ77)+(AR77*F77)+(AV77*(V77/$AB$3))+(AS77*'Butane Royalties'!K47)+(AT77*'Propane Royalties'!K47)+(AU77*'Ethane Royalties'!K47)</f>
        <v>#REF!</v>
      </c>
      <c r="AX77" s="133" t="e">
        <f t="shared" si="18"/>
        <v>#REF!</v>
      </c>
      <c r="AY77" s="133">
        <f t="shared" si="11"/>
        <v>42788.440385246293</v>
      </c>
      <c r="AZ77" s="133">
        <f t="shared" si="12"/>
        <v>1664659.8014381283</v>
      </c>
      <c r="BA77" s="133" t="e">
        <f t="shared" si="6"/>
        <v>#REF!</v>
      </c>
      <c r="BB77" s="133" t="e">
        <f t="shared" si="19"/>
        <v>#REF!</v>
      </c>
      <c r="BC77" s="133" t="e">
        <f t="shared" si="8"/>
        <v>#REF!</v>
      </c>
      <c r="BD77" s="133" t="e">
        <f t="shared" si="9"/>
        <v>#REF!</v>
      </c>
      <c r="BE77" s="133" t="e">
        <f t="shared" si="13"/>
        <v>#REF!</v>
      </c>
      <c r="BF77" s="133"/>
    </row>
    <row r="78" spans="2:58">
      <c r="B78" s="109" t="e">
        <f>'[1]Oil Production'!#REF!</f>
        <v>#REF!</v>
      </c>
      <c r="C78" s="65"/>
      <c r="D78" s="116">
        <f>'[1]Oil Production'!A39</f>
        <v>33</v>
      </c>
      <c r="E78" s="65">
        <f>'[1]Oil Production'!B39</f>
        <v>56.866229941779373</v>
      </c>
      <c r="F78" s="65">
        <f>'[1]Oil Production'!C39</f>
        <v>1729.6811607291227</v>
      </c>
      <c r="G78" s="65">
        <f>'[1]Oil Production'!D39</f>
        <v>89901.095117728823</v>
      </c>
      <c r="H78" s="95"/>
      <c r="K78" s="109">
        <f>'Liquids Type Curve'!A55</f>
        <v>2.7552241321199871</v>
      </c>
      <c r="L78" s="116">
        <f>'Liquids Type Curve'!B55</f>
        <v>33.062689585439841</v>
      </c>
      <c r="M78" s="65">
        <f>'Liquids Type Curve'!C55</f>
        <v>26.134714834245361</v>
      </c>
      <c r="N78" s="65">
        <f>'Liquids Type Curve'!D55</f>
        <v>794.93090954162983</v>
      </c>
      <c r="O78" s="65">
        <f>'Liquids Type Curve'!E55</f>
        <v>66149.710349045941</v>
      </c>
      <c r="P78" s="250"/>
      <c r="S78" s="112">
        <f>'Gas Type Curve'!A62</f>
        <v>2.7500000000000004</v>
      </c>
      <c r="T78" s="128">
        <f>'Gas Type Curve'!B62</f>
        <v>33.000000000000007</v>
      </c>
      <c r="U78" s="94">
        <f>'Gas Type Curve'!C62</f>
        <v>470.2958320715868</v>
      </c>
      <c r="V78" s="94">
        <f>'Gas Type Curve'!D62</f>
        <v>14304.831558844098</v>
      </c>
      <c r="W78" s="94">
        <f>'Gas Type Curve'!E62</f>
        <v>1064081.7342573628</v>
      </c>
      <c r="X78" s="250"/>
      <c r="AK78" s="146">
        <f t="shared" si="14"/>
        <v>33</v>
      </c>
      <c r="AL78" s="146" t="e">
        <f t="shared" si="21"/>
        <v>#REF!</v>
      </c>
      <c r="AM78" s="146">
        <f t="shared" si="16"/>
        <v>4908.7506634114361</v>
      </c>
      <c r="AN78" s="133">
        <f>'Price Deck'!E37*F78+N78*'Price Deck'!T37+(V78*'Price Deck'!K37/$AB$3)</f>
        <v>122658.73384100862</v>
      </c>
      <c r="AO78" s="133">
        <f t="shared" si="17"/>
        <v>24.987770260012439</v>
      </c>
      <c r="AP78" s="133" t="e">
        <f>'Production Costs '!$N$22*(1+'Production Costs '!$P$2)^(AL78)</f>
        <v>#REF!</v>
      </c>
      <c r="AQ78" s="133" t="e">
        <f>'Production Costs '!$N$23*(1+'Production Costs '!$P$2)^AL78</f>
        <v>#REF!</v>
      </c>
      <c r="AR78" s="162">
        <f>-'Oil Royalties'!W43</f>
        <v>-13.249416747545705</v>
      </c>
      <c r="AS78" s="162">
        <f>-'Butane Royalties'!AD43</f>
        <v>-2.6280487804878048</v>
      </c>
      <c r="AT78" s="162">
        <f>-'Propane Royalties'!AD43</f>
        <v>-3.597532455629493</v>
      </c>
      <c r="AU78" s="162">
        <f>-'Ethane Royalties'!AH43</f>
        <v>-0.25219512195121957</v>
      </c>
      <c r="AV78" s="162">
        <f>-'Natural Gas Royalties'!AB43</f>
        <v>-0.11269952047091013</v>
      </c>
      <c r="AW78" s="133" t="e">
        <f>AN78+AM78*(AP78+AQ78)+(AR78*F78)+(AV78*(V78/$AB$3))+(AS78*'Butane Royalties'!K48)+(AT78*'Propane Royalties'!K48)+(AU78*'Ethane Royalties'!K48)</f>
        <v>#REF!</v>
      </c>
      <c r="AX78" s="133" t="e">
        <f t="shared" si="18"/>
        <v>#REF!</v>
      </c>
      <c r="AY78" s="133">
        <f t="shared" si="11"/>
        <v>41716.167395790042</v>
      </c>
      <c r="AZ78" s="133">
        <f t="shared" si="12"/>
        <v>1622943.6340423382</v>
      </c>
      <c r="BA78" s="133" t="e">
        <f t="shared" si="6"/>
        <v>#REF!</v>
      </c>
      <c r="BB78" s="133" t="e">
        <f t="shared" si="19"/>
        <v>#REF!</v>
      </c>
      <c r="BC78" s="133" t="e">
        <f t="shared" si="8"/>
        <v>#REF!</v>
      </c>
      <c r="BD78" s="133" t="e">
        <f t="shared" si="9"/>
        <v>#REF!</v>
      </c>
      <c r="BE78" s="133" t="e">
        <f t="shared" si="13"/>
        <v>#REF!</v>
      </c>
      <c r="BF78" s="133"/>
    </row>
    <row r="79" spans="2:58">
      <c r="B79" s="109" t="e">
        <f>'[1]Oil Production'!#REF!</f>
        <v>#REF!</v>
      </c>
      <c r="C79" s="65"/>
      <c r="D79" s="116">
        <f>'[1]Oil Production'!A40</f>
        <v>34</v>
      </c>
      <c r="E79" s="65">
        <f>'[1]Oil Production'!B40</f>
        <v>56.163889809036739</v>
      </c>
      <c r="F79" s="65">
        <f>'[1]Oil Production'!C40</f>
        <v>1708.3183150248676</v>
      </c>
      <c r="G79" s="65">
        <f>'[1]Oil Production'!D40</f>
        <v>91609.413432753689</v>
      </c>
      <c r="H79" s="95"/>
      <c r="K79" s="109">
        <f>'Liquids Type Curve'!A56</f>
        <v>2.8385574654533205</v>
      </c>
      <c r="L79" s="116">
        <f>'Liquids Type Curve'!B56</f>
        <v>34.062689585439848</v>
      </c>
      <c r="M79" s="65">
        <f>'Liquids Type Curve'!C56</f>
        <v>25.41885213578972</v>
      </c>
      <c r="N79" s="65">
        <f>'Liquids Type Curve'!D56</f>
        <v>773.15675246360399</v>
      </c>
      <c r="O79" s="65">
        <f>'Liquids Type Curve'!E56</f>
        <v>66922.867101509546</v>
      </c>
      <c r="P79" s="250"/>
      <c r="S79" s="112">
        <f>'Gas Type Curve'!A63</f>
        <v>2.8333333333333339</v>
      </c>
      <c r="T79" s="128">
        <f>'Gas Type Curve'!B63</f>
        <v>34.000000000000007</v>
      </c>
      <c r="U79" s="94">
        <f>'Gas Type Curve'!C63</f>
        <v>460.4841190847639</v>
      </c>
      <c r="V79" s="94">
        <f>'Gas Type Curve'!D63</f>
        <v>14006.391955494903</v>
      </c>
      <c r="W79" s="94">
        <f>'Gas Type Curve'!E63</f>
        <v>1078088.1262128577</v>
      </c>
      <c r="X79" s="250"/>
      <c r="AK79" s="146">
        <f t="shared" si="14"/>
        <v>34</v>
      </c>
      <c r="AL79" s="146" t="e">
        <f t="shared" si="21"/>
        <v>#REF!</v>
      </c>
      <c r="AM79" s="146">
        <f t="shared" si="16"/>
        <v>4815.8737267376218</v>
      </c>
      <c r="AN79" s="133">
        <f>'Price Deck'!E38*F79+N79*'Price Deck'!T38+(V79*'Price Deck'!K38/$AB$3)</f>
        <v>121265.60200901685</v>
      </c>
      <c r="AO79" s="133">
        <f t="shared" si="17"/>
        <v>25.180394854572903</v>
      </c>
      <c r="AP79" s="133" t="e">
        <f>'Production Costs '!$N$22*(1+'Production Costs '!$P$2)^(AL79)</f>
        <v>#REF!</v>
      </c>
      <c r="AQ79" s="133" t="e">
        <f>'Production Costs '!$N$23*(1+'Production Costs '!$P$2)^AL79</f>
        <v>#REF!</v>
      </c>
      <c r="AR79" s="162">
        <f>-'Oil Royalties'!W44</f>
        <v>-13.215595634792725</v>
      </c>
      <c r="AS79" s="162">
        <f>-'Butane Royalties'!AD44</f>
        <v>-2.6280487804878052</v>
      </c>
      <c r="AT79" s="162">
        <f>-'Propane Royalties'!AD44</f>
        <v>-3.52329417181015</v>
      </c>
      <c r="AU79" s="162">
        <f>-'Ethane Royalties'!AH44</f>
        <v>-0.25219512195121957</v>
      </c>
      <c r="AV79" s="162">
        <f>-'Natural Gas Royalties'!AB44</f>
        <v>-0.12511270661212118</v>
      </c>
      <c r="AW79" s="133" t="e">
        <f>AN79+AM79*(AP79+AQ79)+(AR79*F79)+(AV79*(V79/$AB$3))+(AS79*'Butane Royalties'!K49)+(AT79*'Propane Royalties'!K49)+(AU79*'Ethane Royalties'!K49)</f>
        <v>#REF!</v>
      </c>
      <c r="AX79" s="133" t="e">
        <f t="shared" si="18"/>
        <v>#REF!</v>
      </c>
      <c r="AY79" s="133">
        <f t="shared" si="11"/>
        <v>40670.76543396568</v>
      </c>
      <c r="AZ79" s="133">
        <f t="shared" si="12"/>
        <v>1582272.8686083725</v>
      </c>
      <c r="BA79" s="133" t="e">
        <f t="shared" si="6"/>
        <v>#REF!</v>
      </c>
      <c r="BB79" s="133" t="e">
        <f t="shared" si="19"/>
        <v>#REF!</v>
      </c>
      <c r="BC79" s="133" t="e">
        <f t="shared" si="8"/>
        <v>#REF!</v>
      </c>
      <c r="BD79" s="133" t="e">
        <f t="shared" si="9"/>
        <v>#REF!</v>
      </c>
      <c r="BE79" s="133" t="e">
        <f t="shared" si="13"/>
        <v>#REF!</v>
      </c>
      <c r="BF79" s="133"/>
    </row>
    <row r="80" spans="2:58">
      <c r="B80" s="109" t="e">
        <f>'[1]Oil Production'!#REF!</f>
        <v>#REF!</v>
      </c>
      <c r="C80" s="65"/>
      <c r="D80" s="116">
        <f>'[1]Oil Production'!A41</f>
        <v>35</v>
      </c>
      <c r="E80" s="65">
        <f>'[1]Oil Production'!B41</f>
        <v>55.490212113213488</v>
      </c>
      <c r="F80" s="65">
        <f>'[1]Oil Production'!C41</f>
        <v>1687.8272851102436</v>
      </c>
      <c r="G80" s="65">
        <f>'[1]Oil Production'!D41</f>
        <v>93297.240717863926</v>
      </c>
      <c r="H80" s="95"/>
      <c r="K80" s="109">
        <f>'Liquids Type Curve'!A57</f>
        <v>2.921890798786654</v>
      </c>
      <c r="L80" s="116">
        <f>'Liquids Type Curve'!B57</f>
        <v>35.062689585439848</v>
      </c>
      <c r="M80" s="65">
        <f>'Liquids Type Curve'!C57</f>
        <v>24.742474848305317</v>
      </c>
      <c r="N80" s="65">
        <f>'Liquids Type Curve'!D57</f>
        <v>752.58360996928673</v>
      </c>
      <c r="O80" s="65">
        <f>'Liquids Type Curve'!E57</f>
        <v>67675.450711478828</v>
      </c>
      <c r="P80" s="250"/>
      <c r="S80" s="112">
        <f>'Gas Type Curve'!A64</f>
        <v>2.9166666666666674</v>
      </c>
      <c r="T80" s="128">
        <f>'Gas Type Curve'!B64</f>
        <v>35.000000000000007</v>
      </c>
      <c r="U80" s="94">
        <f>'Gas Type Curve'!C64</f>
        <v>451.15276877042533</v>
      </c>
      <c r="V80" s="94">
        <f>'Gas Type Curve'!D64</f>
        <v>13722.563383433771</v>
      </c>
      <c r="W80" s="94">
        <f>'Gas Type Curve'!E64</f>
        <v>1091810.6895962914</v>
      </c>
      <c r="X80" s="250"/>
      <c r="AK80" s="146">
        <f t="shared" si="14"/>
        <v>35</v>
      </c>
      <c r="AL80" s="146" t="e">
        <f t="shared" si="21"/>
        <v>#REF!</v>
      </c>
      <c r="AM80" s="146">
        <f t="shared" si="16"/>
        <v>4727.504792318492</v>
      </c>
      <c r="AN80" s="133">
        <f>'Price Deck'!E39*F80+N80*'Price Deck'!T39+(V80*'Price Deck'!K39/$AB$3)</f>
        <v>123099.89120589597</v>
      </c>
      <c r="AO80" s="133">
        <f t="shared" si="17"/>
        <v>26.039083324868415</v>
      </c>
      <c r="AP80" s="133" t="e">
        <f>'Production Costs '!$N$22*(1+'Production Costs '!$P$2)^(AL80)</f>
        <v>#REF!</v>
      </c>
      <c r="AQ80" s="133" t="e">
        <f>'Production Costs '!$N$23*(1+'Production Costs '!$P$2)^AL80</f>
        <v>#REF!</v>
      </c>
      <c r="AR80" s="162">
        <f>-'Oil Royalties'!W45</f>
        <v>-13.136843497579846</v>
      </c>
      <c r="AS80" s="162">
        <f>-'Butane Royalties'!AD45</f>
        <v>-3.3978021746477225</v>
      </c>
      <c r="AT80" s="162">
        <f>-'Propane Royalties'!AD45</f>
        <v>-5.348672476251835</v>
      </c>
      <c r="AU80" s="162">
        <f>-'Ethane Royalties'!AH45</f>
        <v>-0.30585365853658542</v>
      </c>
      <c r="AV80" s="162">
        <f>-'Natural Gas Royalties'!AB45</f>
        <v>-0.13275661597276167</v>
      </c>
      <c r="AW80" s="133" t="e">
        <f>AN80+AM80*(AP80+AQ80)+(AR80*F80)+(AV80*(V80/$AB$3))+(AS80*'Butane Royalties'!K50)+(AT80*'Propane Royalties'!K50)+(AU80*'Ethane Royalties'!K50)</f>
        <v>#REF!</v>
      </c>
      <c r="AX80" s="133" t="e">
        <f t="shared" si="18"/>
        <v>#REF!</v>
      </c>
      <c r="AY80" s="133">
        <f t="shared" si="11"/>
        <v>39651.561115165838</v>
      </c>
      <c r="AZ80" s="133">
        <f t="shared" si="12"/>
        <v>1542621.3074932066</v>
      </c>
      <c r="BA80" s="133" t="e">
        <f t="shared" si="6"/>
        <v>#REF!</v>
      </c>
      <c r="BB80" s="133" t="e">
        <f t="shared" si="19"/>
        <v>#REF!</v>
      </c>
      <c r="BC80" s="133" t="e">
        <f t="shared" si="8"/>
        <v>#REF!</v>
      </c>
      <c r="BD80" s="133" t="e">
        <f t="shared" si="9"/>
        <v>#REF!</v>
      </c>
      <c r="BE80" s="133" t="e">
        <f t="shared" si="13"/>
        <v>#REF!</v>
      </c>
      <c r="BF80" s="133"/>
    </row>
    <row r="81" spans="2:58">
      <c r="B81" s="109" t="e">
        <f>'[1]Oil Production'!#REF!</f>
        <v>#REF!</v>
      </c>
      <c r="D81" s="116">
        <f>'[1]Oil Production'!A42</f>
        <v>36</v>
      </c>
      <c r="E81" s="65">
        <f>'[1]Oil Production'!B42</f>
        <v>54.843257065683815</v>
      </c>
      <c r="F81" s="65">
        <f>'[1]Oil Production'!C42</f>
        <v>1668.1490690812161</v>
      </c>
      <c r="G81" s="65">
        <f>'[1]Oil Production'!D42</f>
        <v>94965.389786945147</v>
      </c>
      <c r="H81" s="95"/>
      <c r="K81" s="109">
        <f>'Liquids Type Curve'!A58</f>
        <v>3.0052241321199875</v>
      </c>
      <c r="L81" s="116">
        <f>'Liquids Type Curve'!B58</f>
        <v>36.062689585439848</v>
      </c>
      <c r="M81" s="65">
        <f>'Liquids Type Curve'!C58</f>
        <v>24.102369522833822</v>
      </c>
      <c r="N81" s="65">
        <f>'Liquids Type Curve'!D58</f>
        <v>733.11373965286214</v>
      </c>
      <c r="O81" s="65">
        <f>'Liquids Type Curve'!E58</f>
        <v>68408.564451131693</v>
      </c>
      <c r="P81" s="250"/>
      <c r="S81" s="112">
        <f>'Gas Type Curve'!A65</f>
        <v>3.0000000000000009</v>
      </c>
      <c r="T81" s="128">
        <f>'Gas Type Curve'!B65</f>
        <v>36.000000000000014</v>
      </c>
      <c r="U81" s="94">
        <f>'Gas Type Curve'!C65</f>
        <v>442.26551998284663</v>
      </c>
      <c r="V81" s="94">
        <f>'Gas Type Curve'!D65</f>
        <v>13452.242899478251</v>
      </c>
      <c r="W81" s="94">
        <f>'Gas Type Curve'!E65</f>
        <v>1105262.9324957696</v>
      </c>
      <c r="X81" s="250"/>
      <c r="AK81" s="146">
        <f t="shared" si="14"/>
        <v>36</v>
      </c>
      <c r="AL81" s="146" t="e">
        <f>$B$81</f>
        <v>#REF!</v>
      </c>
      <c r="AM81" s="146">
        <f t="shared" si="16"/>
        <v>4643.3032919804537</v>
      </c>
      <c r="AN81" s="133">
        <f>'Price Deck'!E40*F81+N81*'Price Deck'!T40+(V81*'Price Deck'!K40/$AB$3)</f>
        <v>120933.56282621704</v>
      </c>
      <c r="AO81" s="133">
        <f t="shared" si="17"/>
        <v>26.044726183422892</v>
      </c>
      <c r="AP81" s="133" t="e">
        <f>'Production Costs '!$N$22*(1+'Production Costs '!$P$2)^(AL81)</f>
        <v>#REF!</v>
      </c>
      <c r="AQ81" s="133" t="e">
        <f>'Production Costs '!$N$23*(1+'Production Costs '!$P$2)^AL81</f>
        <v>#REF!</v>
      </c>
      <c r="AR81" s="162">
        <f>-'Oil Royalties'!W46</f>
        <v>-13.069524177375055</v>
      </c>
      <c r="AS81" s="162">
        <f>-'Butane Royalties'!AD46</f>
        <v>-3.3162741732426722</v>
      </c>
      <c r="AT81" s="162">
        <f>-'Propane Royalties'!AD46</f>
        <v>-5.2742953349851005</v>
      </c>
      <c r="AU81" s="162">
        <f>-'Ethane Royalties'!AH46</f>
        <v>-0.30585365853658547</v>
      </c>
      <c r="AV81" s="162">
        <f>-'Natural Gas Royalties'!AB46</f>
        <v>-0.13719764406094981</v>
      </c>
      <c r="AW81" s="133" t="e">
        <f>AN81+AM81*(AP81+AQ81)+(AR81*F81)+(AV81*(V81/$AB$3))+(AS81*'Butane Royalties'!K51)+(AT81*'Propane Royalties'!K51)+(AU81*'Ethane Royalties'!K51)</f>
        <v>#REF!</v>
      </c>
      <c r="AX81" s="133" t="e">
        <f t="shared" si="18"/>
        <v>#REF!</v>
      </c>
      <c r="AY81" s="133">
        <f t="shared" si="11"/>
        <v>38657.89792971759</v>
      </c>
      <c r="AZ81" s="133">
        <f t="shared" si="12"/>
        <v>1503963.409563489</v>
      </c>
      <c r="BA81" s="133" t="e">
        <f t="shared" si="6"/>
        <v>#REF!</v>
      </c>
      <c r="BB81" s="133" t="e">
        <f t="shared" si="19"/>
        <v>#REF!</v>
      </c>
      <c r="BC81" s="133" t="e">
        <f t="shared" si="8"/>
        <v>#REF!</v>
      </c>
      <c r="BD81" s="133" t="e">
        <f t="shared" si="9"/>
        <v>#REF!</v>
      </c>
      <c r="BE81" s="133" t="e">
        <f t="shared" si="13"/>
        <v>#REF!</v>
      </c>
      <c r="BF81" s="133"/>
    </row>
    <row r="82" spans="2:58">
      <c r="B82" s="109" t="e">
        <f>'[1]Oil Production'!#REF!</f>
        <v>#REF!</v>
      </c>
      <c r="C82" s="65" t="e">
        <f>B81</f>
        <v>#REF!</v>
      </c>
      <c r="D82" s="116">
        <f>'[1]Oil Production'!A43</f>
        <v>37</v>
      </c>
      <c r="E82" s="65">
        <f>'[1]Oil Production'!B43</f>
        <v>54.221265437190631</v>
      </c>
      <c r="F82" s="65">
        <f>'[1]Oil Production'!C43</f>
        <v>1649.2301570478817</v>
      </c>
      <c r="G82" s="65">
        <f>'[1]Oil Production'!D43</f>
        <v>96614.619943993035</v>
      </c>
      <c r="H82" s="95" t="e">
        <f>IF(C82&gt;0,((E82-E70)/(E70)),0)</f>
        <v>#REF!</v>
      </c>
      <c r="K82" s="109">
        <f>'Liquids Type Curve'!A59</f>
        <v>3.088557465453321</v>
      </c>
      <c r="L82" s="116">
        <f>'Liquids Type Curve'!B59</f>
        <v>37.062689585439855</v>
      </c>
      <c r="M82" s="65">
        <f>'Liquids Type Curve'!C59</f>
        <v>23.49566395390115</v>
      </c>
      <c r="N82" s="65">
        <f>'Liquids Type Curve'!D59</f>
        <v>714.65977859782674</v>
      </c>
      <c r="O82" s="65">
        <f>'Liquids Type Curve'!E59</f>
        <v>69123.224229729516</v>
      </c>
      <c r="P82" s="250" t="e">
        <f>IF(C82&gt;0,((M82-M70)/M70))</f>
        <v>#REF!</v>
      </c>
      <c r="S82" s="112">
        <f>'Gas Type Curve'!A66</f>
        <v>3.0833333333333344</v>
      </c>
      <c r="T82" s="128">
        <f>'Gas Type Curve'!B66</f>
        <v>37.000000000000014</v>
      </c>
      <c r="U82" s="94">
        <f>'Gas Type Curve'!C66</f>
        <v>433.78975861508127</v>
      </c>
      <c r="V82" s="94">
        <f>'Gas Type Curve'!D66</f>
        <v>13194.438491208723</v>
      </c>
      <c r="W82" s="94">
        <f>'Gas Type Curve'!E66</f>
        <v>1118457.3709869783</v>
      </c>
      <c r="X82" s="250" t="e">
        <f t="shared" si="20"/>
        <v>#REF!</v>
      </c>
      <c r="AK82" s="146">
        <f t="shared" si="14"/>
        <v>37</v>
      </c>
      <c r="AL82" s="146" t="e">
        <f t="shared" ref="AL82:AL92" si="22">$B$81</f>
        <v>#REF!</v>
      </c>
      <c r="AM82" s="146">
        <f t="shared" si="16"/>
        <v>4562.9630175138291</v>
      </c>
      <c r="AN82" s="133">
        <f>'Price Deck'!E41*F82+N82*'Price Deck'!T41+(V82*'Price Deck'!K41/$AB$3)</f>
        <v>118643.97803389693</v>
      </c>
      <c r="AO82" s="133">
        <f t="shared" si="17"/>
        <v>26.001520849174263</v>
      </c>
      <c r="AP82" s="133" t="e">
        <f>'Production Costs '!$N$22*(1+'Production Costs '!$P$2)^(AL82)</f>
        <v>#REF!</v>
      </c>
      <c r="AQ82" s="133" t="e">
        <f>'Production Costs '!$N$23*(1+'Production Costs '!$P$2)^AL82</f>
        <v>#REF!</v>
      </c>
      <c r="AR82" s="162">
        <f>-'Oil Royalties'!W47</f>
        <v>-13.002373329501314</v>
      </c>
      <c r="AS82" s="162">
        <f>-'Butane Royalties'!AD47</f>
        <v>-3.2396642973006395</v>
      </c>
      <c r="AT82" s="162">
        <f>-'Propane Royalties'!AD47</f>
        <v>-5.2044049480362231</v>
      </c>
      <c r="AU82" s="162">
        <f>-'Ethane Royalties'!AH47</f>
        <v>-0.30585365853658542</v>
      </c>
      <c r="AV82" s="162">
        <f>-'Natural Gas Royalties'!AB47</f>
        <v>-0.12099675541793016</v>
      </c>
      <c r="AW82" s="133" t="e">
        <f>AN82+AM82*(AP82+AQ82)+(AR82*F82)+(AV82*(V82/$AB$3))+(AS82*'Butane Royalties'!K52)+(AT82*'Propane Royalties'!K52)+(AU82*'Ethane Royalties'!K52)</f>
        <v>#REF!</v>
      </c>
      <c r="AX82" s="133" t="e">
        <f t="shared" si="18"/>
        <v>#REF!</v>
      </c>
      <c r="AY82" s="133">
        <f t="shared" si="11"/>
        <v>37689.135819998679</v>
      </c>
      <c r="AZ82" s="133">
        <f t="shared" si="12"/>
        <v>1466274.2737434905</v>
      </c>
      <c r="BA82" s="133" t="e">
        <f t="shared" si="6"/>
        <v>#REF!</v>
      </c>
      <c r="BB82" s="133" t="e">
        <f t="shared" si="19"/>
        <v>#REF!</v>
      </c>
      <c r="BC82" s="133" t="e">
        <f t="shared" si="8"/>
        <v>#REF!</v>
      </c>
      <c r="BD82" s="133" t="e">
        <f t="shared" si="9"/>
        <v>#REF!</v>
      </c>
      <c r="BE82" s="133" t="e">
        <f t="shared" si="13"/>
        <v>#REF!</v>
      </c>
      <c r="BF82" s="133"/>
    </row>
    <row r="83" spans="2:58">
      <c r="B83" s="109" t="e">
        <f>'[1]Oil Production'!#REF!</f>
        <v>#REF!</v>
      </c>
      <c r="C83" s="65"/>
      <c r="D83" s="116">
        <f>'[1]Oil Production'!A44</f>
        <v>38</v>
      </c>
      <c r="E83" s="65">
        <f>'[1]Oil Production'!B44</f>
        <v>53.622637406960614</v>
      </c>
      <c r="F83" s="65">
        <f>'[1]Oil Production'!C44</f>
        <v>1631.021887795052</v>
      </c>
      <c r="G83" s="65">
        <f>'[1]Oil Production'!D44</f>
        <v>98245.641831788089</v>
      </c>
      <c r="H83" s="95"/>
      <c r="K83" s="109">
        <f>'Liquids Type Curve'!A60</f>
        <v>3.1718907987866545</v>
      </c>
      <c r="L83" s="116">
        <f>'Liquids Type Curve'!B60</f>
        <v>38.062689585439855</v>
      </c>
      <c r="M83" s="65">
        <f>'Liquids Type Curve'!C60</f>
        <v>22.919782921340047</v>
      </c>
      <c r="N83" s="65">
        <f>'Liquids Type Curve'!D60</f>
        <v>697.14339719075986</v>
      </c>
      <c r="O83" s="65">
        <f>'Liquids Type Curve'!E60</f>
        <v>69820.36762692027</v>
      </c>
      <c r="P83" s="250"/>
      <c r="S83" s="112">
        <f>'Gas Type Curve'!A67</f>
        <v>3.1666666666666679</v>
      </c>
      <c r="T83" s="128">
        <f>'Gas Type Curve'!B67</f>
        <v>38.000000000000014</v>
      </c>
      <c r="U83" s="94">
        <f>'Gas Type Curve'!C67</f>
        <v>425.69606411851032</v>
      </c>
      <c r="V83" s="94">
        <f>'Gas Type Curve'!D67</f>
        <v>12948.255283604689</v>
      </c>
      <c r="W83" s="94">
        <f>'Gas Type Curve'!E67</f>
        <v>1131405.6262705829</v>
      </c>
      <c r="X83" s="250"/>
      <c r="AK83" s="146">
        <f t="shared" si="14"/>
        <v>38</v>
      </c>
      <c r="AL83" s="146" t="e">
        <f t="shared" si="22"/>
        <v>#REF!</v>
      </c>
      <c r="AM83" s="146">
        <f t="shared" si="16"/>
        <v>4486.2078322532598</v>
      </c>
      <c r="AN83" s="133">
        <f>'Price Deck'!E42*F83+N83*'Price Deck'!T42+(V83*'Price Deck'!K42/$AB$3)</f>
        <v>116131.32977707572</v>
      </c>
      <c r="AO83" s="133">
        <f t="shared" si="17"/>
        <v>25.886301776337266</v>
      </c>
      <c r="AP83" s="133" t="e">
        <f>'Production Costs '!$N$22*(1+'Production Costs '!$P$2)^(AL83)</f>
        <v>#REF!</v>
      </c>
      <c r="AQ83" s="133" t="e">
        <f>'Production Costs '!$N$23*(1+'Production Costs '!$P$2)^AL83</f>
        <v>#REF!</v>
      </c>
      <c r="AR83" s="162">
        <f>-'Oil Royalties'!W48</f>
        <v>-12.946542983748291</v>
      </c>
      <c r="AS83" s="162">
        <f>-'Butane Royalties'!AD48</f>
        <v>-3.1675359375662087</v>
      </c>
      <c r="AT83" s="162">
        <f>-'Propane Royalties'!AD48</f>
        <v>-5.1386030013571622</v>
      </c>
      <c r="AU83" s="162">
        <f>-'Ethane Royalties'!AH48</f>
        <v>-0.30585365853658536</v>
      </c>
      <c r="AV83" s="162">
        <f>-'Natural Gas Royalties'!AB48</f>
        <v>-0.10466361575844189</v>
      </c>
      <c r="AW83" s="133" t="e">
        <f>AN83+AM83*(AP83+AQ83)+(AR83*F83)+(AV83*(V83/$AB$3))+(AS83*'Butane Royalties'!K53)+(AT83*'Propane Royalties'!K53)+(AU83*'Ethane Royalties'!K53)</f>
        <v>#REF!</v>
      </c>
      <c r="AX83" s="133" t="e">
        <f t="shared" si="18"/>
        <v>#REF!</v>
      </c>
      <c r="AY83" s="133">
        <f t="shared" si="11"/>
        <v>36744.650768151187</v>
      </c>
      <c r="AZ83" s="133">
        <f t="shared" si="12"/>
        <v>1429529.6229753392</v>
      </c>
      <c r="BA83" s="133" t="e">
        <f t="shared" si="6"/>
        <v>#REF!</v>
      </c>
      <c r="BB83" s="133" t="e">
        <f t="shared" si="19"/>
        <v>#REF!</v>
      </c>
      <c r="BC83" s="133" t="e">
        <f t="shared" si="8"/>
        <v>#REF!</v>
      </c>
      <c r="BD83" s="133" t="e">
        <f t="shared" si="9"/>
        <v>#REF!</v>
      </c>
      <c r="BE83" s="133" t="e">
        <f t="shared" si="13"/>
        <v>#REF!</v>
      </c>
      <c r="BF83" s="133"/>
    </row>
    <row r="84" spans="2:58">
      <c r="B84" s="109" t="e">
        <f>'[1]Oil Production'!#REF!</f>
        <v>#REF!</v>
      </c>
      <c r="C84" s="65"/>
      <c r="D84" s="116">
        <f>'[1]Oil Production'!A45</f>
        <v>39</v>
      </c>
      <c r="E84" s="65">
        <f>'[1]Oil Production'!B45</f>
        <v>53.04591437205319</v>
      </c>
      <c r="F84" s="65">
        <f>'[1]Oil Production'!C45</f>
        <v>1613.4798954832845</v>
      </c>
      <c r="G84" s="65">
        <f>'[1]Oil Production'!D45</f>
        <v>99859.121727271369</v>
      </c>
      <c r="H84" s="95"/>
      <c r="K84" s="109">
        <f>'Liquids Type Curve'!A61</f>
        <v>3.255224132119988</v>
      </c>
      <c r="L84" s="116">
        <f>'Liquids Type Curve'!B61</f>
        <v>39.062689585439855</v>
      </c>
      <c r="M84" s="65">
        <f>'Liquids Type Curve'!C61</f>
        <v>22.372410659219039</v>
      </c>
      <c r="N84" s="65">
        <f>'Liquids Type Curve'!D61</f>
        <v>680.49415755124573</v>
      </c>
      <c r="O84" s="65">
        <f>'Liquids Type Curve'!E61</f>
        <v>70500.861784471519</v>
      </c>
      <c r="P84" s="250"/>
      <c r="S84" s="112">
        <f>'Gas Type Curve'!A68</f>
        <v>3.2500000000000013</v>
      </c>
      <c r="T84" s="128">
        <f>'Gas Type Curve'!B68</f>
        <v>39.000000000000014</v>
      </c>
      <c r="U84" s="94">
        <f>'Gas Type Curve'!C68</f>
        <v>417.95782263159776</v>
      </c>
      <c r="V84" s="94">
        <f>'Gas Type Curve'!D68</f>
        <v>12712.8837717111</v>
      </c>
      <c r="W84" s="94">
        <f>'Gas Type Curve'!E68</f>
        <v>1144118.5100422939</v>
      </c>
      <c r="X84" s="250"/>
      <c r="AK84" s="146">
        <f t="shared" si="14"/>
        <v>39</v>
      </c>
      <c r="AL84" s="146" t="e">
        <f t="shared" si="22"/>
        <v>#REF!</v>
      </c>
      <c r="AM84" s="146">
        <f t="shared" si="16"/>
        <v>4412.7880149863804</v>
      </c>
      <c r="AN84" s="133">
        <f>'Price Deck'!E43*F84+N84*'Price Deck'!T43+(V84*'Price Deck'!K43/$AB$3)</f>
        <v>114352.40393524744</v>
      </c>
      <c r="AO84" s="133">
        <f t="shared" si="17"/>
        <v>25.913867502108047</v>
      </c>
      <c r="AP84" s="133" t="e">
        <f>'Production Costs '!$N$22*(1+'Production Costs '!$P$2)^(AL84)</f>
        <v>#REF!</v>
      </c>
      <c r="AQ84" s="133" t="e">
        <f>'Production Costs '!$N$23*(1+'Production Costs '!$P$2)^AL84</f>
        <v>#REF!</v>
      </c>
      <c r="AR84" s="162">
        <f>-'Oil Royalties'!W49</f>
        <v>-12.890829632669609</v>
      </c>
      <c r="AS84" s="162">
        <f>-'Butane Royalties'!AD49</f>
        <v>-3.1646341463414633</v>
      </c>
      <c r="AT84" s="162">
        <f>-'Propane Royalties'!AD49</f>
        <v>-5.0765372079815538</v>
      </c>
      <c r="AU84" s="162">
        <f>-'Ethane Royalties'!AH49</f>
        <v>-0.30585365853658542</v>
      </c>
      <c r="AV84" s="162">
        <f>-'Natural Gas Royalties'!AB49</f>
        <v>-0.10335696458568286</v>
      </c>
      <c r="AW84" s="133" t="e">
        <f>AN84+AM84*(AP84+AQ84)+(AR84*F84)+(AV84*(V84/$AB$3))+(AS84*'Butane Royalties'!K54)+(AT84*'Propane Royalties'!K54)+(AU84*'Ethane Royalties'!K54)</f>
        <v>#REF!</v>
      </c>
      <c r="AX84" s="133" t="e">
        <f t="shared" si="18"/>
        <v>#REF!</v>
      </c>
      <c r="AY84" s="133">
        <f t="shared" si="11"/>
        <v>35823.834394127021</v>
      </c>
      <c r="AZ84" s="133">
        <f t="shared" si="12"/>
        <v>1393705.7885812121</v>
      </c>
      <c r="BA84" s="133" t="e">
        <f t="shared" si="6"/>
        <v>#REF!</v>
      </c>
      <c r="BB84" s="133" t="e">
        <f t="shared" si="19"/>
        <v>#REF!</v>
      </c>
      <c r="BC84" s="133" t="e">
        <f t="shared" si="8"/>
        <v>#REF!</v>
      </c>
      <c r="BD84" s="133" t="e">
        <f t="shared" si="9"/>
        <v>#REF!</v>
      </c>
      <c r="BE84" s="133" t="e">
        <f t="shared" si="13"/>
        <v>#REF!</v>
      </c>
      <c r="BF84" s="133"/>
    </row>
    <row r="85" spans="2:58">
      <c r="B85" s="109" t="e">
        <f>'[1]Oil Production'!#REF!</f>
        <v>#REF!</v>
      </c>
      <c r="C85" s="65"/>
      <c r="D85" s="116">
        <f>'[1]Oil Production'!A46</f>
        <v>40</v>
      </c>
      <c r="E85" s="65">
        <f>'[1]Oil Production'!B46</f>
        <v>52.489763238489772</v>
      </c>
      <c r="F85" s="65">
        <f>'[1]Oil Production'!C46</f>
        <v>1596.5636318373972</v>
      </c>
      <c r="G85" s="65">
        <f>'[1]Oil Production'!D46</f>
        <v>101455.68535910877</v>
      </c>
      <c r="H85" s="95"/>
      <c r="K85" s="109">
        <f>'Liquids Type Curve'!A62</f>
        <v>3.3385574654533214</v>
      </c>
      <c r="L85" s="116">
        <f>'Liquids Type Curve'!B62</f>
        <v>40.062689585439855</v>
      </c>
      <c r="M85" s="65">
        <f>'Liquids Type Curve'!C62</f>
        <v>21.851458886857582</v>
      </c>
      <c r="N85" s="65">
        <f>'Liquids Type Curve'!D62</f>
        <v>664.64854114191814</v>
      </c>
      <c r="O85" s="65">
        <f>'Liquids Type Curve'!E62</f>
        <v>71165.510325613432</v>
      </c>
      <c r="P85" s="250"/>
      <c r="S85" s="112">
        <f>'Gas Type Curve'!A69</f>
        <v>3.3333333333333348</v>
      </c>
      <c r="T85" s="128">
        <f>'Gas Type Curve'!B69</f>
        <v>40.000000000000014</v>
      </c>
      <c r="U85" s="94">
        <f>'Gas Type Curve'!C69</f>
        <v>410.55089550779479</v>
      </c>
      <c r="V85" s="94">
        <f>'Gas Type Curve'!D69</f>
        <v>12487.589738362092</v>
      </c>
      <c r="W85" s="94">
        <f>'Gas Type Curve'!E69</f>
        <v>1156606.0997806559</v>
      </c>
      <c r="X85" s="250"/>
      <c r="AK85" s="146">
        <f t="shared" si="14"/>
        <v>40</v>
      </c>
      <c r="AL85" s="146" t="e">
        <f t="shared" si="22"/>
        <v>#REF!</v>
      </c>
      <c r="AM85" s="146">
        <f t="shared" si="16"/>
        <v>4342.4771293729973</v>
      </c>
      <c r="AN85" s="133">
        <f>'Price Deck'!E44*F85+N85*'Price Deck'!T44+(V85*'Price Deck'!K44/$AB$3)</f>
        <v>112841.38144424994</v>
      </c>
      <c r="AO85" s="133">
        <f t="shared" si="17"/>
        <v>25.985486643321231</v>
      </c>
      <c r="AP85" s="133" t="e">
        <f>'Production Costs '!$N$22*(1+'Production Costs '!$P$2)^(AL85)</f>
        <v>#REF!</v>
      </c>
      <c r="AQ85" s="133" t="e">
        <f>'Production Costs '!$N$23*(1+'Production Costs '!$P$2)^AL85</f>
        <v>#REF!</v>
      </c>
      <c r="AR85" s="162">
        <f>-'Oil Royalties'!W50</f>
        <v>-12.857457779466079</v>
      </c>
      <c r="AS85" s="162">
        <f>-'Butane Royalties'!AD50</f>
        <v>-3.1646341463414642</v>
      </c>
      <c r="AT85" s="162">
        <f>-'Propane Royalties'!AD50</f>
        <v>-5.0178948271737172</v>
      </c>
      <c r="AU85" s="162">
        <f>-'Ethane Royalties'!AH50</f>
        <v>-0.30585365853658542</v>
      </c>
      <c r="AV85" s="162">
        <f>-'Natural Gas Royalties'!AB50</f>
        <v>-0.10531694134482142</v>
      </c>
      <c r="AW85" s="133" t="e">
        <f>AN85+AM85*(AP85+AQ85)+(AR85*F85)+(AV85*(V85/$AB$3))+(AS85*'Butane Royalties'!K55)+(AT85*'Propane Royalties'!K55)+(AU85*'Ethane Royalties'!K55)</f>
        <v>#REF!</v>
      </c>
      <c r="AX85" s="133" t="e">
        <f t="shared" si="18"/>
        <v>#REF!</v>
      </c>
      <c r="AY85" s="133">
        <f t="shared" si="11"/>
        <v>34926.093563806375</v>
      </c>
      <c r="AZ85" s="133">
        <f t="shared" si="12"/>
        <v>1358779.6950174058</v>
      </c>
      <c r="BA85" s="133" t="e">
        <f t="shared" si="6"/>
        <v>#REF!</v>
      </c>
      <c r="BB85" s="133" t="e">
        <f t="shared" si="19"/>
        <v>#REF!</v>
      </c>
      <c r="BC85" s="133" t="e">
        <f t="shared" si="8"/>
        <v>#REF!</v>
      </c>
      <c r="BD85" s="133" t="e">
        <f t="shared" si="9"/>
        <v>#REF!</v>
      </c>
      <c r="BE85" s="133" t="e">
        <f t="shared" si="13"/>
        <v>#REF!</v>
      </c>
      <c r="BF85" s="133"/>
    </row>
    <row r="86" spans="2:58">
      <c r="B86" s="109" t="e">
        <f>'[1]Oil Production'!#REF!</f>
        <v>#REF!</v>
      </c>
      <c r="C86" s="65"/>
      <c r="D86" s="116">
        <f>'[1]Oil Production'!A47</f>
        <v>41</v>
      </c>
      <c r="E86" s="65">
        <f>'[1]Oil Production'!B47</f>
        <v>51.952962802900331</v>
      </c>
      <c r="F86" s="65">
        <f>'[1]Oil Production'!C47</f>
        <v>1580.2359519215518</v>
      </c>
      <c r="G86" s="65">
        <f>'[1]Oil Production'!D47</f>
        <v>103035.92131103032</v>
      </c>
      <c r="H86" s="95"/>
      <c r="K86" s="109">
        <f>'Liquids Type Curve'!A63</f>
        <v>3.4218907987866549</v>
      </c>
      <c r="L86" s="116">
        <f>'Liquids Type Curve'!B63</f>
        <v>41.062689585439855</v>
      </c>
      <c r="M86" s="65">
        <f>'Liquids Type Curve'!C63</f>
        <v>21.355039462147872</v>
      </c>
      <c r="N86" s="65">
        <f>'Liquids Type Curve'!D63</f>
        <v>649.54911697366447</v>
      </c>
      <c r="O86" s="65">
        <f>'Liquids Type Curve'!E63</f>
        <v>71815.059442587095</v>
      </c>
      <c r="P86" s="250"/>
      <c r="S86" s="112">
        <f>'Gas Type Curve'!A70</f>
        <v>3.4166666666666683</v>
      </c>
      <c r="T86" s="128">
        <f>'Gas Type Curve'!B70</f>
        <v>41.000000000000021</v>
      </c>
      <c r="U86" s="94">
        <f>'Gas Type Curve'!C70</f>
        <v>403.45333414741845</v>
      </c>
      <c r="V86" s="94">
        <f>'Gas Type Curve'!D70</f>
        <v>12271.705580317312</v>
      </c>
      <c r="W86" s="94">
        <f>'Gas Type Curve'!E70</f>
        <v>1168877.8053609733</v>
      </c>
      <c r="X86" s="250"/>
      <c r="AK86" s="146">
        <f t="shared" si="14"/>
        <v>41</v>
      </c>
      <c r="AL86" s="146" t="e">
        <f t="shared" si="22"/>
        <v>#REF!</v>
      </c>
      <c r="AM86" s="146">
        <f t="shared" si="16"/>
        <v>4275.069332281435</v>
      </c>
      <c r="AN86" s="133">
        <f>'Price Deck'!E45*F86+N86*'Price Deck'!T45+(V86*'Price Deck'!K45/$AB$3)</f>
        <v>111348.68388579255</v>
      </c>
      <c r="AO86" s="133">
        <f t="shared" si="17"/>
        <v>26.046053345846012</v>
      </c>
      <c r="AP86" s="133" t="e">
        <f>'Production Costs '!$N$22*(1+'Production Costs '!$P$2)^(AL86)</f>
        <v>#REF!</v>
      </c>
      <c r="AQ86" s="133" t="e">
        <f>'Production Costs '!$N$23*(1+'Production Costs '!$P$2)^AL86</f>
        <v>#REF!</v>
      </c>
      <c r="AR86" s="162">
        <f>-'Oil Royalties'!W51</f>
        <v>-12.807478971065963</v>
      </c>
      <c r="AS86" s="162">
        <f>-'Butane Royalties'!AD51</f>
        <v>-3.1646341463414638</v>
      </c>
      <c r="AT86" s="162">
        <f>-'Propane Royalties'!AD51</f>
        <v>-4.9623972506760907</v>
      </c>
      <c r="AU86" s="162">
        <f>-'Ethane Royalties'!AH51</f>
        <v>-0.30585365853658542</v>
      </c>
      <c r="AV86" s="162">
        <f>-'Natural Gas Royalties'!AB51</f>
        <v>-0.10747291577987386</v>
      </c>
      <c r="AW86" s="133" t="e">
        <f>AN86+AM86*(AP86+AQ86)+(AR86*F86)+(AV86*(V86/$AB$3))+(AS86*'Butane Royalties'!K56)+(AT86*'Propane Royalties'!K56)+(AU86*'Ethane Royalties'!K56)</f>
        <v>#REF!</v>
      </c>
      <c r="AX86" s="133" t="e">
        <f t="shared" si="18"/>
        <v>#REF!</v>
      </c>
      <c r="AY86" s="133">
        <f t="shared" si="11"/>
        <v>34050.850006936642</v>
      </c>
      <c r="AZ86" s="133">
        <f t="shared" si="12"/>
        <v>1324728.8450104692</v>
      </c>
      <c r="BA86" s="133" t="e">
        <f t="shared" si="6"/>
        <v>#REF!</v>
      </c>
      <c r="BB86" s="133" t="e">
        <f t="shared" si="19"/>
        <v>#REF!</v>
      </c>
      <c r="BC86" s="133" t="e">
        <f t="shared" si="8"/>
        <v>#REF!</v>
      </c>
      <c r="BD86" s="133" t="e">
        <f t="shared" si="9"/>
        <v>#REF!</v>
      </c>
      <c r="BE86" s="133" t="e">
        <f t="shared" si="13"/>
        <v>#REF!</v>
      </c>
      <c r="BF86" s="133"/>
    </row>
    <row r="87" spans="2:58">
      <c r="B87" s="109" t="e">
        <f>'[1]Oil Production'!#REF!</f>
        <v>#REF!</v>
      </c>
      <c r="C87" s="65"/>
      <c r="D87" s="116">
        <f>'[1]Oil Production'!A48</f>
        <v>42</v>
      </c>
      <c r="E87" s="65">
        <f>'[1]Oil Production'!B48</f>
        <v>51.434391903013996</v>
      </c>
      <c r="F87" s="65">
        <f>'[1]Oil Production'!C48</f>
        <v>1564.4627537166757</v>
      </c>
      <c r="G87" s="65">
        <f>'[1]Oil Production'!D48</f>
        <v>104600.38406474701</v>
      </c>
      <c r="H87" s="95"/>
      <c r="K87" s="109">
        <f>'Liquids Type Curve'!A64</f>
        <v>3.5052241321199884</v>
      </c>
      <c r="L87" s="116">
        <f>'Liquids Type Curve'!B64</f>
        <v>42.062689585439863</v>
      </c>
      <c r="M87" s="65">
        <f>'Liquids Type Curve'!C64</f>
        <v>20.881440894774173</v>
      </c>
      <c r="N87" s="65">
        <f>'Liquids Type Curve'!D64</f>
        <v>635.14382721604773</v>
      </c>
      <c r="O87" s="65">
        <f>'Liquids Type Curve'!E64</f>
        <v>72450.20326980314</v>
      </c>
      <c r="P87" s="250"/>
      <c r="S87" s="112">
        <f>'Gas Type Curve'!A71</f>
        <v>3.5000000000000018</v>
      </c>
      <c r="T87" s="128">
        <f>'Gas Type Curve'!B71</f>
        <v>42.000000000000021</v>
      </c>
      <c r="U87" s="94">
        <f>'Gas Type Curve'!C71</f>
        <v>396.64513371321368</v>
      </c>
      <c r="V87" s="94">
        <f>'Gas Type Curve'!D71</f>
        <v>12064.62281711025</v>
      </c>
      <c r="W87" s="94">
        <f>'Gas Type Curve'!E71</f>
        <v>1180942.4281780836</v>
      </c>
      <c r="X87" s="250"/>
      <c r="AK87" s="146">
        <f t="shared" si="14"/>
        <v>42</v>
      </c>
      <c r="AL87" s="146" t="e">
        <f t="shared" si="22"/>
        <v>#REF!</v>
      </c>
      <c r="AM87" s="146">
        <f t="shared" si="16"/>
        <v>4210.3770504510985</v>
      </c>
      <c r="AN87" s="133">
        <f>'Price Deck'!E46*F87+N87*'Price Deck'!T46+(V87*'Price Deck'!K46/$AB$3)</f>
        <v>109878.87672978165</v>
      </c>
      <c r="AO87" s="133">
        <f t="shared" si="17"/>
        <v>26.097158381102535</v>
      </c>
      <c r="AP87" s="133" t="e">
        <f>'Production Costs '!$N$22*(1+'Production Costs '!$P$2)^(AL87)</f>
        <v>#REF!</v>
      </c>
      <c r="AQ87" s="133" t="e">
        <f>'Production Costs '!$N$23*(1+'Production Costs '!$P$2)^AL87</f>
        <v>#REF!</v>
      </c>
      <c r="AR87" s="162">
        <f>-'Oil Royalties'!W52</f>
        <v>-12.774212413069337</v>
      </c>
      <c r="AS87" s="162">
        <f>-'Butane Royalties'!AD52</f>
        <v>-3.1646341463414638</v>
      </c>
      <c r="AT87" s="162">
        <f>-'Propane Royalties'!AD52</f>
        <v>-4.9097954562783084</v>
      </c>
      <c r="AU87" s="162">
        <f>-'Ethane Royalties'!AH52</f>
        <v>-0.30585365853658542</v>
      </c>
      <c r="AV87" s="162">
        <f>-'Natural Gas Royalties'!AB52</f>
        <v>-0.10766891345578775</v>
      </c>
      <c r="AW87" s="133" t="e">
        <f>AN87+AM87*(AP87+AQ87)+(AR87*F87)+(AV87*(V87/$AB$3))+(AS87*'Butane Royalties'!K57)+(AT87*'Propane Royalties'!K57)+(AU87*'Ethane Royalties'!K57)</f>
        <v>#REF!</v>
      </c>
      <c r="AX87" s="133" t="e">
        <f t="shared" si="18"/>
        <v>#REF!</v>
      </c>
      <c r="AY87" s="133">
        <f t="shared" si="11"/>
        <v>33197.539944645752</v>
      </c>
      <c r="AZ87" s="133">
        <f t="shared" si="12"/>
        <v>1291531.3050658235</v>
      </c>
      <c r="BA87" s="133" t="e">
        <f t="shared" si="6"/>
        <v>#REF!</v>
      </c>
      <c r="BB87" s="133" t="e">
        <f t="shared" si="19"/>
        <v>#REF!</v>
      </c>
      <c r="BC87" s="133" t="e">
        <f t="shared" si="8"/>
        <v>#REF!</v>
      </c>
      <c r="BD87" s="133" t="e">
        <f t="shared" si="9"/>
        <v>#REF!</v>
      </c>
      <c r="BE87" s="133" t="e">
        <f t="shared" si="13"/>
        <v>#REF!</v>
      </c>
      <c r="BF87" s="133"/>
    </row>
    <row r="88" spans="2:58">
      <c r="B88" s="109" t="e">
        <f>'[1]Oil Production'!#REF!</f>
        <v>#REF!</v>
      </c>
      <c r="C88" s="65"/>
      <c r="D88" s="116">
        <f>'[1]Oil Production'!A49</f>
        <v>43</v>
      </c>
      <c r="E88" s="65">
        <f>'[1]Oil Production'!B49</f>
        <v>50.933019071192632</v>
      </c>
      <c r="F88" s="65">
        <f>'[1]Oil Production'!C49</f>
        <v>1549.2126634154426</v>
      </c>
      <c r="G88" s="65">
        <f>'[1]Oil Production'!D49</f>
        <v>106149.59672816245</v>
      </c>
      <c r="H88" s="95"/>
      <c r="K88" s="109">
        <f>'Liquids Type Curve'!A65</f>
        <v>3.5885574654533219</v>
      </c>
      <c r="L88" s="116">
        <f>'Liquids Type Curve'!B65</f>
        <v>43.062689585439863</v>
      </c>
      <c r="M88" s="65">
        <f>'Liquids Type Curve'!C65</f>
        <v>20.42910809746995</v>
      </c>
      <c r="N88" s="65">
        <f>'Liquids Type Curve'!D65</f>
        <v>621.38537129804433</v>
      </c>
      <c r="O88" s="65">
        <f>'Liquids Type Curve'!E65</f>
        <v>73071.588641101189</v>
      </c>
      <c r="P88" s="250"/>
      <c r="S88" s="112">
        <f>'Gas Type Curve'!A72</f>
        <v>3.5833333333333353</v>
      </c>
      <c r="T88" s="128">
        <f>'Gas Type Curve'!B72</f>
        <v>43.000000000000021</v>
      </c>
      <c r="U88" s="94">
        <f>'Gas Type Curve'!C72</f>
        <v>390.1080196438661</v>
      </c>
      <c r="V88" s="94">
        <f>'Gas Type Curve'!D72</f>
        <v>11865.785597500928</v>
      </c>
      <c r="W88" s="94">
        <f>'Gas Type Curve'!E72</f>
        <v>1192808.2137755845</v>
      </c>
      <c r="X88" s="250"/>
      <c r="AK88" s="146">
        <f t="shared" si="14"/>
        <v>43</v>
      </c>
      <c r="AL88" s="146" t="e">
        <f t="shared" si="22"/>
        <v>#REF!</v>
      </c>
      <c r="AM88" s="146">
        <f t="shared" si="16"/>
        <v>4148.228967630308</v>
      </c>
      <c r="AN88" s="133">
        <f>'Price Deck'!E47*F88+N88*'Price Deck'!T47+(V88*'Price Deck'!K47/$AB$3)</f>
        <v>108441.5216475838</v>
      </c>
      <c r="AO88" s="133">
        <f t="shared" si="17"/>
        <v>26.141643215401256</v>
      </c>
      <c r="AP88" s="133" t="e">
        <f>'Production Costs '!$N$22*(1+'Production Costs '!$P$2)^(AL88)</f>
        <v>#REF!</v>
      </c>
      <c r="AQ88" s="133" t="e">
        <f>'Production Costs '!$N$23*(1+'Production Costs '!$P$2)^AL88</f>
        <v>#REF!</v>
      </c>
      <c r="AR88" s="162">
        <f>-'Oil Royalties'!W53</f>
        <v>-12.740987973155468</v>
      </c>
      <c r="AS88" s="162">
        <f>-'Butane Royalties'!AD53</f>
        <v>-3.1646341463414638</v>
      </c>
      <c r="AT88" s="162">
        <f>-'Propane Royalties'!AD53</f>
        <v>-4.8598661706024684</v>
      </c>
      <c r="AU88" s="162">
        <f>-'Ethane Royalties'!AH53</f>
        <v>-0.30585365853658542</v>
      </c>
      <c r="AV88" s="162">
        <f>-'Natural Gas Royalties'!AB53</f>
        <v>-0.10734225066259795</v>
      </c>
      <c r="AW88" s="133" t="e">
        <f>AN88+AM88*(AP88+AQ88)+(AR88*F88)+(AV88*(V88/$AB$3))+(AS88*'Butane Royalties'!K58)+(AT88*'Propane Royalties'!K58)+(AU88*'Ethane Royalties'!K58)</f>
        <v>#REF!</v>
      </c>
      <c r="AX88" s="133" t="e">
        <f t="shared" si="18"/>
        <v>#REF!</v>
      </c>
      <c r="AY88" s="133">
        <f t="shared" si="11"/>
        <v>32365.613726290001</v>
      </c>
      <c r="AZ88" s="133">
        <f t="shared" si="12"/>
        <v>1259165.6913395335</v>
      </c>
      <c r="BA88" s="133" t="e">
        <f t="shared" si="6"/>
        <v>#REF!</v>
      </c>
      <c r="BB88" s="133" t="e">
        <f t="shared" si="19"/>
        <v>#REF!</v>
      </c>
      <c r="BC88" s="133" t="e">
        <f t="shared" si="8"/>
        <v>#REF!</v>
      </c>
      <c r="BD88" s="133" t="e">
        <f t="shared" si="9"/>
        <v>#REF!</v>
      </c>
      <c r="BE88" s="133" t="e">
        <f t="shared" si="13"/>
        <v>#REF!</v>
      </c>
      <c r="BF88" s="133"/>
    </row>
    <row r="89" spans="2:58">
      <c r="B89" s="109" t="e">
        <f>'[1]Oil Production'!#REF!</f>
        <v>#REF!</v>
      </c>
      <c r="C89" s="65"/>
      <c r="D89" s="116">
        <f>'[1]Oil Production'!A50</f>
        <v>44</v>
      </c>
      <c r="E89" s="65">
        <f>'[1]Oil Production'!B50</f>
        <v>50.447893470317936</v>
      </c>
      <c r="F89" s="65">
        <f>'[1]Oil Production'!C50</f>
        <v>1534.4567597221705</v>
      </c>
      <c r="G89" s="65">
        <f>'[1]Oil Production'!D50</f>
        <v>107684.05348788462</v>
      </c>
      <c r="H89" s="95"/>
      <c r="K89" s="109">
        <f>'Liquids Type Curve'!A66</f>
        <v>3.6718907987866554</v>
      </c>
      <c r="L89" s="116">
        <f>'Liquids Type Curve'!B66</f>
        <v>44.062689585439863</v>
      </c>
      <c r="M89" s="65">
        <f>'Liquids Type Curve'!C66</f>
        <v>19.996624865488887</v>
      </c>
      <c r="N89" s="65">
        <f>'Liquids Type Curve'!D66</f>
        <v>608.23067299195361</v>
      </c>
      <c r="O89" s="65">
        <f>'Liquids Type Curve'!E66</f>
        <v>73679.81931409314</v>
      </c>
      <c r="P89" s="250"/>
      <c r="S89" s="112">
        <f>'Gas Type Curve'!A73</f>
        <v>3.6666666666666687</v>
      </c>
      <c r="T89" s="128">
        <f>'Gas Type Curve'!B73</f>
        <v>44.000000000000028</v>
      </c>
      <c r="U89" s="94">
        <f>'Gas Type Curve'!C73</f>
        <v>383.8252619492992</v>
      </c>
      <c r="V89" s="94">
        <f>'Gas Type Curve'!D73</f>
        <v>11674.685050957851</v>
      </c>
      <c r="W89" s="94">
        <f>'Gas Type Curve'!E73</f>
        <v>1204482.8988265423</v>
      </c>
      <c r="X89" s="250"/>
      <c r="AK89" s="146">
        <f t="shared" si="14"/>
        <v>44</v>
      </c>
      <c r="AL89" s="146" t="e">
        <f t="shared" si="22"/>
        <v>#REF!</v>
      </c>
      <c r="AM89" s="146">
        <f t="shared" si="16"/>
        <v>4088.4682745404325</v>
      </c>
      <c r="AN89" s="133">
        <f>'Price Deck'!E48*F89+N89*'Price Deck'!T48+(V89*'Price Deck'!K48/$AB$3)</f>
        <v>107133.6964745399</v>
      </c>
      <c r="AO89" s="133">
        <f t="shared" si="17"/>
        <v>26.203871298617905</v>
      </c>
      <c r="AP89" s="133" t="e">
        <f>'Production Costs '!$N$22*(1+'Production Costs '!$P$2)^(AL89)</f>
        <v>#REF!</v>
      </c>
      <c r="AQ89" s="133" t="e">
        <f>'Production Costs '!$N$23*(1+'Production Costs '!$P$2)^AL89</f>
        <v>#REF!</v>
      </c>
      <c r="AR89" s="162">
        <f>-'Oil Royalties'!W54</f>
        <v>-12.713333113429361</v>
      </c>
      <c r="AS89" s="162">
        <f>-'Butane Royalties'!AD54</f>
        <v>-3.1646341463414638</v>
      </c>
      <c r="AT89" s="162">
        <f>-'Propane Royalties'!AD54</f>
        <v>-4.8124086151331964</v>
      </c>
      <c r="AU89" s="162">
        <f>-'Ethane Royalties'!AH54</f>
        <v>-0.30585365853658547</v>
      </c>
      <c r="AV89" s="162">
        <f>-'Natural Gas Royalties'!AB54</f>
        <v>-0.10864890183535704</v>
      </c>
      <c r="AW89" s="133" t="e">
        <f>AN89+AM89*(AP89+AQ89)+(AR89*F89)+(AV89*(V89/$AB$3))+(AS89*'Butane Royalties'!K59)+(AT89*'Propane Royalties'!K59)+(AU89*'Ethane Royalties'!K59)</f>
        <v>#REF!</v>
      </c>
      <c r="AX89" s="133" t="e">
        <f t="shared" si="18"/>
        <v>#REF!</v>
      </c>
      <c r="AY89" s="133">
        <f t="shared" si="11"/>
        <v>31554.535475402368</v>
      </c>
      <c r="AZ89" s="133">
        <f t="shared" si="12"/>
        <v>1227611.1558641312</v>
      </c>
      <c r="BA89" s="133" t="e">
        <f t="shared" si="6"/>
        <v>#REF!</v>
      </c>
      <c r="BB89" s="133" t="e">
        <f t="shared" si="19"/>
        <v>#REF!</v>
      </c>
      <c r="BC89" s="133" t="e">
        <f t="shared" si="8"/>
        <v>#REF!</v>
      </c>
      <c r="BD89" s="133" t="e">
        <f t="shared" si="9"/>
        <v>#REF!</v>
      </c>
      <c r="BE89" s="133" t="e">
        <f t="shared" ref="BE89:BE120" si="23">BD89/(1+$AC$3)^AL89</f>
        <v>#REF!</v>
      </c>
      <c r="BF89" s="133"/>
    </row>
    <row r="90" spans="2:58">
      <c r="B90" s="109" t="e">
        <f>'[1]Oil Production'!#REF!</f>
        <v>#REF!</v>
      </c>
      <c r="C90" s="65"/>
      <c r="D90" s="116">
        <f>'[1]Oil Production'!A51</f>
        <v>45</v>
      </c>
      <c r="E90" s="65">
        <f>'[1]Oil Production'!B51</f>
        <v>49.978136927959021</v>
      </c>
      <c r="F90" s="65">
        <f>'[1]Oil Production'!C51</f>
        <v>1520.1683315587536</v>
      </c>
      <c r="G90" s="65">
        <f>'[1]Oil Production'!D51</f>
        <v>109204.22181944338</v>
      </c>
      <c r="H90" s="95"/>
      <c r="K90" s="109">
        <f>'Liquids Type Curve'!A67</f>
        <v>3.7552241321199888</v>
      </c>
      <c r="L90" s="116">
        <f>'Liquids Type Curve'!B67</f>
        <v>45.06268958543987</v>
      </c>
      <c r="M90" s="65">
        <f>'Liquids Type Curve'!C67</f>
        <v>19.582698664276563</v>
      </c>
      <c r="N90" s="65">
        <f>'Liquids Type Curve'!D67</f>
        <v>595.64041770507879</v>
      </c>
      <c r="O90" s="65">
        <f>'Liquids Type Curve'!E67</f>
        <v>74275.459731798212</v>
      </c>
      <c r="P90" s="250"/>
      <c r="S90" s="112">
        <f>'Gas Type Curve'!A74</f>
        <v>3.7500000000000022</v>
      </c>
      <c r="T90" s="128">
        <f>'Gas Type Curve'!B74</f>
        <v>45.000000000000028</v>
      </c>
      <c r="U90" s="94">
        <f>'Gas Type Curve'!C74</f>
        <v>377.78151313351913</v>
      </c>
      <c r="V90" s="94">
        <f>'Gas Type Curve'!D74</f>
        <v>11490.854357811208</v>
      </c>
      <c r="W90" s="94">
        <f>'Gas Type Curve'!E74</f>
        <v>1215973.7531843535</v>
      </c>
      <c r="X90" s="250"/>
      <c r="AK90" s="146">
        <f t="shared" si="14"/>
        <v>45</v>
      </c>
      <c r="AL90" s="146" t="e">
        <f t="shared" si="22"/>
        <v>#REF!</v>
      </c>
      <c r="AM90" s="146">
        <f t="shared" si="16"/>
        <v>4030.9511422323667</v>
      </c>
      <c r="AN90" s="133">
        <f>'Price Deck'!E49*F90+N90*'Price Deck'!T49+(V90*'Price Deck'!K49/$AB$3)</f>
        <v>105983.86922784876</v>
      </c>
      <c r="AO90" s="133">
        <f t="shared" si="17"/>
        <v>26.292521414475445</v>
      </c>
      <c r="AP90" s="133" t="e">
        <f>'Production Costs '!$N$22*(1+'Production Costs '!$P$2)^(AL90)</f>
        <v>#REF!</v>
      </c>
      <c r="AQ90" s="133" t="e">
        <f>'Production Costs '!$N$23*(1+'Production Costs '!$P$2)^AL90</f>
        <v>#REF!</v>
      </c>
      <c r="AR90" s="162">
        <f>-'Oil Royalties'!W55</f>
        <v>-12.685707502371828</v>
      </c>
      <c r="AS90" s="162">
        <f>-'Butane Royalties'!AD55</f>
        <v>-3.1646341463414638</v>
      </c>
      <c r="AT90" s="162">
        <f>-'Propane Royalties'!AD55</f>
        <v>-4.7672417344844389</v>
      </c>
      <c r="AU90" s="162">
        <f>-'Ethane Royalties'!AH55</f>
        <v>-0.30585365853658542</v>
      </c>
      <c r="AV90" s="162">
        <f>-'Natural Gas Royalties'!AB55</f>
        <v>-0.11289551814682401</v>
      </c>
      <c r="AW90" s="133" t="e">
        <f>AN90+AM90*(AP90+AQ90)+(AR90*F90)+(AV90*(V90/$AB$3))+(AS90*'Butane Royalties'!K60)+(AT90*'Propane Royalties'!K60)+(AU90*'Ethane Royalties'!K60)</f>
        <v>#REF!</v>
      </c>
      <c r="AX90" s="133" t="e">
        <f t="shared" si="18"/>
        <v>#REF!</v>
      </c>
      <c r="AY90" s="133">
        <f t="shared" si="11"/>
        <v>30763.782744513403</v>
      </c>
      <c r="AZ90" s="133">
        <f t="shared" si="12"/>
        <v>1196847.3731196178</v>
      </c>
      <c r="BA90" s="133" t="e">
        <f t="shared" si="6"/>
        <v>#REF!</v>
      </c>
      <c r="BB90" s="133" t="e">
        <f t="shared" si="19"/>
        <v>#REF!</v>
      </c>
      <c r="BC90" s="133" t="e">
        <f t="shared" si="8"/>
        <v>#REF!</v>
      </c>
      <c r="BD90" s="133" t="e">
        <f t="shared" si="9"/>
        <v>#REF!</v>
      </c>
      <c r="BE90" s="133" t="e">
        <f t="shared" si="23"/>
        <v>#REF!</v>
      </c>
      <c r="BF90" s="133"/>
    </row>
    <row r="91" spans="2:58">
      <c r="B91" s="109" t="e">
        <f>'[1]Oil Production'!#REF!</f>
        <v>#REF!</v>
      </c>
      <c r="C91" s="65"/>
      <c r="D91" s="116">
        <f>'[1]Oil Production'!A52</f>
        <v>46</v>
      </c>
      <c r="E91" s="65">
        <f>'[1]Oil Production'!B52</f>
        <v>49.522936914620296</v>
      </c>
      <c r="F91" s="65">
        <f>'[1]Oil Production'!C52</f>
        <v>1506.3226644863673</v>
      </c>
      <c r="G91" s="65">
        <f>'[1]Oil Production'!D52</f>
        <v>110710.54448392974</v>
      </c>
      <c r="H91" s="95"/>
      <c r="K91" s="109">
        <f>'Liquids Type Curve'!A68</f>
        <v>3.8385574654533223</v>
      </c>
      <c r="L91" s="116">
        <f>'Liquids Type Curve'!B68</f>
        <v>46.06268958543987</v>
      </c>
      <c r="M91" s="65">
        <f>'Liquids Type Curve'!C68</f>
        <v>19.186147377712356</v>
      </c>
      <c r="N91" s="65">
        <f>'Liquids Type Curve'!D68</f>
        <v>583.57864940541754</v>
      </c>
      <c r="O91" s="65">
        <f>'Liquids Type Curve'!E68</f>
        <v>74859.038381203631</v>
      </c>
      <c r="P91" s="250"/>
      <c r="S91" s="112">
        <f>'Gas Type Curve'!A75</f>
        <v>3.8333333333333357</v>
      </c>
      <c r="T91" s="128">
        <f>'Gas Type Curve'!B75</f>
        <v>46.000000000000028</v>
      </c>
      <c r="U91" s="94">
        <f>'Gas Type Curve'!C75</f>
        <v>371.96266628902703</v>
      </c>
      <c r="V91" s="94">
        <f>'Gas Type Curve'!D75</f>
        <v>11313.864432957906</v>
      </c>
      <c r="W91" s="94">
        <f>'Gas Type Curve'!E75</f>
        <v>1227287.6176173114</v>
      </c>
      <c r="X91" s="250"/>
      <c r="AK91" s="146">
        <f t="shared" si="14"/>
        <v>46</v>
      </c>
      <c r="AL91" s="146" t="e">
        <f t="shared" si="22"/>
        <v>#REF!</v>
      </c>
      <c r="AM91" s="146">
        <f t="shared" si="16"/>
        <v>3975.5453860514358</v>
      </c>
      <c r="AN91" s="133">
        <f>'Price Deck'!E50*F91+N91*'Price Deck'!T50+(V91*'Price Deck'!K50/$AB$3)</f>
        <v>105089.63471163467</v>
      </c>
      <c r="AO91" s="133">
        <f t="shared" si="17"/>
        <v>26.434017098723427</v>
      </c>
      <c r="AP91" s="133" t="e">
        <f>'Production Costs '!$N$22*(1+'Production Costs '!$P$2)^(AL91)</f>
        <v>#REF!</v>
      </c>
      <c r="AQ91" s="133" t="e">
        <f>'Production Costs '!$N$23*(1+'Production Costs '!$P$2)^AL91</f>
        <v>#REF!</v>
      </c>
      <c r="AR91" s="162">
        <f>-'Oil Royalties'!W56</f>
        <v>-12.647080784654509</v>
      </c>
      <c r="AS91" s="162">
        <f>-'Butane Royalties'!AD56</f>
        <v>-3.1646341463414638</v>
      </c>
      <c r="AT91" s="162">
        <f>-'Propane Royalties'!AD56</f>
        <v>-4.7242018254234708</v>
      </c>
      <c r="AU91" s="162">
        <f>-'Ethane Royalties'!AH56</f>
        <v>-0.30585365853658547</v>
      </c>
      <c r="AV91" s="162">
        <f>-'Natural Gas Royalties'!AB56</f>
        <v>-0.12367539032208624</v>
      </c>
      <c r="AW91" s="133" t="e">
        <f>AN91+AM91*(AP91+AQ91)+(AR91*F91)+(AV91*(V91/$AB$3))+(AS91*'Butane Royalties'!K61)+(AT91*'Propane Royalties'!K61)+(AU91*'Ethane Royalties'!K61)</f>
        <v>#REF!</v>
      </c>
      <c r="AX91" s="133" t="e">
        <f t="shared" si="18"/>
        <v>#REF!</v>
      </c>
      <c r="AY91" s="133">
        <f t="shared" si="11"/>
        <v>29992.846178622203</v>
      </c>
      <c r="AZ91" s="133">
        <f t="shared" si="12"/>
        <v>1166854.5269409956</v>
      </c>
      <c r="BA91" s="133" t="e">
        <f t="shared" si="6"/>
        <v>#REF!</v>
      </c>
      <c r="BB91" s="133" t="e">
        <f t="shared" si="19"/>
        <v>#REF!</v>
      </c>
      <c r="BC91" s="133" t="e">
        <f t="shared" si="8"/>
        <v>#REF!</v>
      </c>
      <c r="BD91" s="133" t="e">
        <f t="shared" si="9"/>
        <v>#REF!</v>
      </c>
      <c r="BE91" s="133" t="e">
        <f t="shared" si="23"/>
        <v>#REF!</v>
      </c>
      <c r="BF91" s="133"/>
    </row>
    <row r="92" spans="2:58">
      <c r="B92" s="109" t="e">
        <f>'[1]Oil Production'!#REF!</f>
        <v>#REF!</v>
      </c>
      <c r="C92" s="65"/>
      <c r="D92" s="116">
        <f>'[1]Oil Production'!A53</f>
        <v>47</v>
      </c>
      <c r="E92" s="65">
        <f>'[1]Oil Production'!B53</f>
        <v>49.081540336358316</v>
      </c>
      <c r="F92" s="65">
        <f>'[1]Oil Production'!C53</f>
        <v>1492.8968518975655</v>
      </c>
      <c r="G92" s="65">
        <f>'[1]Oil Production'!D53</f>
        <v>112203.4413358273</v>
      </c>
      <c r="H92" s="95"/>
      <c r="K92" s="109">
        <f>'Liquids Type Curve'!A69</f>
        <v>3.9218907987866558</v>
      </c>
      <c r="L92" s="116">
        <f>'Liquids Type Curve'!B69</f>
        <v>47.06268958543987</v>
      </c>
      <c r="M92" s="65">
        <f>'Liquids Type Curve'!C69</f>
        <v>18.805887727924883</v>
      </c>
      <c r="N92" s="65">
        <f>'Liquids Type Curve'!D69</f>
        <v>572.01241839104853</v>
      </c>
      <c r="O92" s="65">
        <f>'Liquids Type Curve'!E69</f>
        <v>75431.050799594683</v>
      </c>
      <c r="P92" s="250"/>
      <c r="S92" s="112">
        <f>'Gas Type Curve'!A76</f>
        <v>3.9166666666666692</v>
      </c>
      <c r="T92" s="128">
        <f>'Gas Type Curve'!B76</f>
        <v>47.000000000000028</v>
      </c>
      <c r="U92" s="94">
        <f>'Gas Type Curve'!C76</f>
        <v>366.35573047530625</v>
      </c>
      <c r="V92" s="94">
        <f>'Gas Type Curve'!D76</f>
        <v>11143.320135290565</v>
      </c>
      <c r="W92" s="94">
        <f>'Gas Type Curve'!E76</f>
        <v>1238430.9377526019</v>
      </c>
      <c r="X92" s="250"/>
      <c r="AK92" s="146">
        <f t="shared" si="14"/>
        <v>47</v>
      </c>
      <c r="AL92" s="146" t="e">
        <f t="shared" si="22"/>
        <v>#REF!</v>
      </c>
      <c r="AM92" s="146">
        <f t="shared" si="16"/>
        <v>3922.1292928370417</v>
      </c>
      <c r="AN92" s="133">
        <f>'Price Deck'!E51*F92+N92*'Price Deck'!T51+(V92*'Price Deck'!K51/$AB$3)</f>
        <v>105059.25352677707</v>
      </c>
      <c r="AO92" s="133">
        <f t="shared" si="17"/>
        <v>26.786280023620353</v>
      </c>
      <c r="AP92" s="133" t="e">
        <f>'Production Costs '!$N$22*(1+'Production Costs '!$P$2)^(AL92)</f>
        <v>#REF!</v>
      </c>
      <c r="AQ92" s="133" t="e">
        <f>'Production Costs '!$N$23*(1+'Production Costs '!$P$2)^AL92</f>
        <v>#REF!</v>
      </c>
      <c r="AR92" s="162">
        <f>-'Oil Royalties'!W57</f>
        <v>-12.608511394327612</v>
      </c>
      <c r="AS92" s="162">
        <f>-'Butane Royalties'!AD57</f>
        <v>-4.0964413266182511</v>
      </c>
      <c r="AT92" s="162">
        <f>-'Propane Royalties'!AD57</f>
        <v>-4.949896451927752</v>
      </c>
      <c r="AU92" s="162">
        <f>-'Ethane Royalties'!AH57</f>
        <v>-0.32195121951219519</v>
      </c>
      <c r="AV92" s="162">
        <f>-'Natural Gas Royalties'!AB57</f>
        <v>-0.1467366793752751</v>
      </c>
      <c r="AW92" s="133" t="e">
        <f>AN92+AM92*(AP92+AQ92)+(AR92*F92)+(AV92*(V92/$AB$3))+(AS92*'Butane Royalties'!K62)+(AT92*'Propane Royalties'!K62)+(AU92*'Ethane Royalties'!K62)</f>
        <v>#REF!</v>
      </c>
      <c r="AX92" s="133" t="e">
        <f t="shared" si="18"/>
        <v>#REF!</v>
      </c>
      <c r="AY92" s="133">
        <f t="shared" si="11"/>
        <v>29241.229187100773</v>
      </c>
      <c r="AZ92" s="133">
        <f t="shared" si="12"/>
        <v>1137613.2977538949</v>
      </c>
      <c r="BA92" s="133" t="e">
        <f t="shared" si="6"/>
        <v>#REF!</v>
      </c>
      <c r="BB92" s="133" t="e">
        <f t="shared" si="19"/>
        <v>#REF!</v>
      </c>
      <c r="BC92" s="133" t="e">
        <f t="shared" si="8"/>
        <v>#REF!</v>
      </c>
      <c r="BD92" s="133" t="e">
        <f t="shared" si="9"/>
        <v>#REF!</v>
      </c>
      <c r="BE92" s="133" t="e">
        <f t="shared" si="23"/>
        <v>#REF!</v>
      </c>
      <c r="BF92" s="133"/>
    </row>
    <row r="93" spans="2:58">
      <c r="B93" s="109" t="e">
        <f>'[1]Oil Production'!#REF!</f>
        <v>#REF!</v>
      </c>
      <c r="C93" s="65"/>
      <c r="D93" s="116">
        <f>'[1]Oil Production'!A54</f>
        <v>48</v>
      </c>
      <c r="E93" s="65">
        <f>'[1]Oil Production'!B54</f>
        <v>48.653248032224063</v>
      </c>
      <c r="F93" s="65">
        <f>'[1]Oil Production'!C54</f>
        <v>1479.8696276468154</v>
      </c>
      <c r="G93" s="65">
        <f>'[1]Oil Production'!D54</f>
        <v>113683.31096347411</v>
      </c>
      <c r="H93" s="95"/>
      <c r="K93" s="109">
        <f>'Liquids Type Curve'!A70</f>
        <v>4.0052241321199888</v>
      </c>
      <c r="L93" s="116">
        <f>'Liquids Type Curve'!B70</f>
        <v>48.06268958543987</v>
      </c>
      <c r="M93" s="65">
        <f>'Liquids Type Curve'!C70</f>
        <v>18.440925125414772</v>
      </c>
      <c r="N93" s="65">
        <f>'Liquids Type Curve'!D70</f>
        <v>560.91147256469935</v>
      </c>
      <c r="O93" s="65">
        <f>'Liquids Type Curve'!E70</f>
        <v>75991.962272159377</v>
      </c>
      <c r="P93" s="250"/>
      <c r="S93" s="112">
        <f>'Gas Type Curve'!A77</f>
        <v>4.0000000000000027</v>
      </c>
      <c r="T93" s="128">
        <f>'Gas Type Curve'!B77</f>
        <v>48.000000000000028</v>
      </c>
      <c r="U93" s="94">
        <f>'Gas Type Curve'!C77</f>
        <v>360.94872095893885</v>
      </c>
      <c r="V93" s="94">
        <f>'Gas Type Curve'!D77</f>
        <v>10978.856929167723</v>
      </c>
      <c r="W93" s="94">
        <f>'Gas Type Curve'!E77</f>
        <v>1249409.7946817696</v>
      </c>
      <c r="X93" s="250"/>
      <c r="AK93" s="146">
        <f t="shared" si="14"/>
        <v>48</v>
      </c>
      <c r="AL93" s="146" t="e">
        <f>$B$93</f>
        <v>#REF!</v>
      </c>
      <c r="AM93" s="146">
        <f t="shared" si="16"/>
        <v>3870.5905884061353</v>
      </c>
      <c r="AN93" s="133">
        <f>'Price Deck'!E52*F93+N93*'Price Deck'!T52+(V93*'Price Deck'!K52/$AB$3)</f>
        <v>103712.71555615979</v>
      </c>
      <c r="AO93" s="133">
        <f t="shared" si="17"/>
        <v>26.795062197179448</v>
      </c>
      <c r="AP93" s="133" t="e">
        <f>'Production Costs '!$N$22*(1+'Production Costs '!$P$2)^(AL93)</f>
        <v>#REF!</v>
      </c>
      <c r="AQ93" s="133" t="e">
        <f>'Production Costs '!$N$23*(1+'Production Costs '!$P$2)^AL93</f>
        <v>#REF!</v>
      </c>
      <c r="AR93" s="162">
        <f>-'Oil Royalties'!W58</f>
        <v>-12.575497544827556</v>
      </c>
      <c r="AS93" s="162">
        <f>-'Butane Royalties'!AD58</f>
        <v>-4.0499744507940392</v>
      </c>
      <c r="AT93" s="162">
        <f>-'Propane Royalties'!AD58</f>
        <v>-4.9097281551794545</v>
      </c>
      <c r="AU93" s="162">
        <f>-'Ethane Royalties'!AH58</f>
        <v>-0.32195121951219524</v>
      </c>
      <c r="AV93" s="162">
        <f>-'Natural Gas Royalties'!AB58</f>
        <v>-0.13407389211738382</v>
      </c>
      <c r="AW93" s="133" t="e">
        <f>AN93+AM93*(AP93+AQ93)+(AR93*F93)+(AV93*(V93/$AB$3))+(AS93*'Butane Royalties'!K63)+(AT93*'Propane Royalties'!K63)+(AU93*'Ethane Royalties'!K63)</f>
        <v>#REF!</v>
      </c>
      <c r="AX93" s="133" t="e">
        <f t="shared" si="18"/>
        <v>#REF!</v>
      </c>
      <c r="AY93" s="133">
        <f t="shared" si="11"/>
        <v>28508.447623820448</v>
      </c>
      <c r="AZ93" s="133">
        <f t="shared" si="12"/>
        <v>1109104.8501300744</v>
      </c>
      <c r="BA93" s="133" t="e">
        <f t="shared" si="6"/>
        <v>#REF!</v>
      </c>
      <c r="BB93" s="133" t="e">
        <f t="shared" si="19"/>
        <v>#REF!</v>
      </c>
      <c r="BC93" s="133" t="e">
        <f t="shared" si="8"/>
        <v>#REF!</v>
      </c>
      <c r="BD93" s="133" t="e">
        <f t="shared" si="9"/>
        <v>#REF!</v>
      </c>
      <c r="BE93" s="133" t="e">
        <f t="shared" si="23"/>
        <v>#REF!</v>
      </c>
      <c r="BF93" s="133"/>
    </row>
    <row r="94" spans="2:58">
      <c r="B94" s="109" t="e">
        <f>'[1]Oil Production'!#REF!</f>
        <v>#REF!</v>
      </c>
      <c r="C94" s="65" t="e">
        <f>B93</f>
        <v>#REF!</v>
      </c>
      <c r="D94" s="116">
        <f>'[1]Oil Production'!A55</f>
        <v>49</v>
      </c>
      <c r="E94" s="65">
        <f>'[1]Oil Production'!B55</f>
        <v>48.23740988366928</v>
      </c>
      <c r="F94" s="65">
        <f>'[1]Oil Production'!C55</f>
        <v>1467.2212172949407</v>
      </c>
      <c r="G94" s="65">
        <f>'[1]Oil Production'!D55</f>
        <v>115150.53218076905</v>
      </c>
      <c r="H94" s="95" t="e">
        <f>IF(C94&gt;0,((E94-E82)/(E82)),0)</f>
        <v>#REF!</v>
      </c>
      <c r="K94" s="109">
        <f>'Liquids Type Curve'!A71</f>
        <v>4.0885574654533219</v>
      </c>
      <c r="L94" s="116">
        <f>'Liquids Type Curve'!B71</f>
        <v>49.062689585439863</v>
      </c>
      <c r="M94" s="65">
        <f>'Liquids Type Curve'!C71</f>
        <v>18.090344747252011</v>
      </c>
      <c r="N94" s="65">
        <f>'Liquids Type Curve'!D71</f>
        <v>550.24798606224874</v>
      </c>
      <c r="O94" s="65">
        <f>'Liquids Type Curve'!E71</f>
        <v>76542.210258221632</v>
      </c>
      <c r="P94" s="250" t="e">
        <f t="shared" ref="P94:P142" si="24">IF(C94&gt;0,((M94-M82)/M82))</f>
        <v>#REF!</v>
      </c>
      <c r="S94" s="112">
        <f>'Gas Type Curve'!A78</f>
        <v>4.0833333333333357</v>
      </c>
      <c r="T94" s="128">
        <f>'Gas Type Curve'!B78</f>
        <v>49.000000000000028</v>
      </c>
      <c r="U94" s="94">
        <f>'Gas Type Curve'!C78</f>
        <v>355.73056227506743</v>
      </c>
      <c r="V94" s="94">
        <f>'Gas Type Curve'!D78</f>
        <v>10820.137935866635</v>
      </c>
      <c r="W94" s="94">
        <f>'Gas Type Curve'!E78</f>
        <v>1260229.9326176362</v>
      </c>
      <c r="X94" s="250" t="e">
        <f t="shared" si="20"/>
        <v>#REF!</v>
      </c>
      <c r="AK94" s="146">
        <f t="shared" si="14"/>
        <v>49</v>
      </c>
      <c r="AL94" s="146" t="e">
        <f t="shared" ref="AL94:AL104" si="25">$B$93</f>
        <v>#REF!</v>
      </c>
      <c r="AM94" s="146">
        <f t="shared" si="16"/>
        <v>3820.8255260016285</v>
      </c>
      <c r="AN94" s="133">
        <f>'Price Deck'!E53*F94+N94*'Price Deck'!T53+(V94*'Price Deck'!K53/$AB$3)</f>
        <v>102284.0110917612</v>
      </c>
      <c r="AO94" s="133">
        <f t="shared" si="17"/>
        <v>26.770133939823769</v>
      </c>
      <c r="AP94" s="133" t="e">
        <f>'Production Costs '!$N$22*(1+'Production Costs '!$P$2)^(AL94)</f>
        <v>#REF!</v>
      </c>
      <c r="AQ94" s="133" t="e">
        <f>'Production Costs '!$N$23*(1+'Production Costs '!$P$2)^AL94</f>
        <v>#REF!</v>
      </c>
      <c r="AR94" s="162">
        <f>-'Oil Royalties'!W59</f>
        <v>-12.548018177112949</v>
      </c>
      <c r="AS94" s="162">
        <f>-'Butane Royalties'!AD59</f>
        <v>-4.0055466649772962</v>
      </c>
      <c r="AT94" s="162">
        <f>-'Propane Royalties'!AD59</f>
        <v>-4.8713225500488715</v>
      </c>
      <c r="AU94" s="162">
        <f>-'Ethane Royalties'!AH59</f>
        <v>-0.32195121951219519</v>
      </c>
      <c r="AV94" s="162">
        <f>-'Natural Gas Royalties'!AB59</f>
        <v>-0.1215194158870338</v>
      </c>
      <c r="AW94" s="133" t="e">
        <f>AN94+AM94*(AP94+AQ94)+(AR94*F94)+(AV94*(V94/$AB$3))+(AS94*'Butane Royalties'!K64)+(AT94*'Propane Royalties'!K64)+(AU94*'Ethane Royalties'!K64)</f>
        <v>#REF!</v>
      </c>
      <c r="AX94" s="133" t="e">
        <f t="shared" si="18"/>
        <v>#REF!</v>
      </c>
      <c r="AY94" s="133">
        <f t="shared" si="11"/>
        <v>27794.029475294254</v>
      </c>
      <c r="AZ94" s="133">
        <f t="shared" si="12"/>
        <v>1081310.8206547801</v>
      </c>
      <c r="BA94" s="133" t="e">
        <f t="shared" si="6"/>
        <v>#REF!</v>
      </c>
      <c r="BB94" s="133" t="e">
        <f t="shared" si="19"/>
        <v>#REF!</v>
      </c>
      <c r="BC94" s="133" t="e">
        <f t="shared" si="8"/>
        <v>#REF!</v>
      </c>
      <c r="BD94" s="133" t="e">
        <f t="shared" si="9"/>
        <v>#REF!</v>
      </c>
      <c r="BE94" s="133" t="e">
        <f t="shared" si="23"/>
        <v>#REF!</v>
      </c>
      <c r="BF94" s="133"/>
    </row>
    <row r="95" spans="2:58">
      <c r="B95" s="109" t="e">
        <f>'[1]Oil Production'!#REF!</f>
        <v>#REF!</v>
      </c>
      <c r="C95" s="65"/>
      <c r="D95" s="116">
        <f>'[1]Oil Production'!A56</f>
        <v>50</v>
      </c>
      <c r="E95" s="65">
        <f>'[1]Oil Production'!B56</f>
        <v>47.833420456912485</v>
      </c>
      <c r="F95" s="65">
        <f>'[1]Oil Production'!C56</f>
        <v>1454.9332055644215</v>
      </c>
      <c r="G95" s="65">
        <f>'[1]Oil Production'!D56</f>
        <v>116605.46538633347</v>
      </c>
      <c r="H95" s="95"/>
      <c r="K95" s="109">
        <f>'Liquids Type Curve'!A72</f>
        <v>4.1718907987866549</v>
      </c>
      <c r="L95" s="116">
        <f>'Liquids Type Curve'!B72</f>
        <v>50.062689585439855</v>
      </c>
      <c r="M95" s="65">
        <f>'Liquids Type Curve'!C72</f>
        <v>17.753303673180092</v>
      </c>
      <c r="N95" s="65">
        <f>'Liquids Type Curve'!D72</f>
        <v>539.99632005922786</v>
      </c>
      <c r="O95" s="65">
        <f>'Liquids Type Curve'!E72</f>
        <v>77082.206578280864</v>
      </c>
      <c r="P95" s="250"/>
      <c r="S95" s="112">
        <f>'Gas Type Curve'!A79</f>
        <v>4.1666666666666687</v>
      </c>
      <c r="T95" s="128">
        <f>'Gas Type Curve'!B79</f>
        <v>50.000000000000028</v>
      </c>
      <c r="U95" s="94">
        <f>'Gas Type Curve'!C79</f>
        <v>350.69100238533537</v>
      </c>
      <c r="V95" s="94">
        <f>'Gas Type Curve'!D79</f>
        <v>10666.851322553952</v>
      </c>
      <c r="W95" s="94">
        <f>'Gas Type Curve'!E79</f>
        <v>1270896.7839401902</v>
      </c>
      <c r="X95" s="250"/>
      <c r="AK95" s="146">
        <f t="shared" si="14"/>
        <v>50</v>
      </c>
      <c r="AL95" s="146" t="e">
        <f t="shared" si="25"/>
        <v>#REF!</v>
      </c>
      <c r="AM95" s="146">
        <f t="shared" si="16"/>
        <v>3772.7380793826414</v>
      </c>
      <c r="AN95" s="133">
        <f>'Price Deck'!E54*F95+N95*'Price Deck'!T54+(V95*'Price Deck'!K54/$AB$3)</f>
        <v>100655.67934183431</v>
      </c>
      <c r="AO95" s="133">
        <f t="shared" si="17"/>
        <v>26.67974219888206</v>
      </c>
      <c r="AP95" s="133" t="e">
        <f>'Production Costs '!$N$22*(1+'Production Costs '!$P$2)^(AL95)</f>
        <v>#REF!</v>
      </c>
      <c r="AQ95" s="133" t="e">
        <f>'Production Costs '!$N$23*(1+'Production Costs '!$P$2)^AL95</f>
        <v>#REF!</v>
      </c>
      <c r="AR95" s="162">
        <f>-'Oil Royalties'!W60</f>
        <v>-12.526055741982642</v>
      </c>
      <c r="AS95" s="162">
        <f>-'Butane Royalties'!AD60</f>
        <v>-3.963025190729244</v>
      </c>
      <c r="AT95" s="162">
        <f>-'Propane Royalties'!AD60</f>
        <v>-4.8345648561976136</v>
      </c>
      <c r="AU95" s="162">
        <f>-'Ethane Royalties'!AH60</f>
        <v>-0.32195121951219519</v>
      </c>
      <c r="AV95" s="162">
        <f>-'Natural Gas Royalties'!AB60</f>
        <v>-0.10727691810396001</v>
      </c>
      <c r="AW95" s="133" t="e">
        <f>AN95+AM95*(AP95+AQ95)+(AR95*F95)+(AV95*(V95/$AB$3))+(AS95*'Butane Royalties'!K65)+(AT95*'Propane Royalties'!K65)+(AU95*'Ethane Royalties'!K65)</f>
        <v>#REF!</v>
      </c>
      <c r="AX95" s="133" t="e">
        <f t="shared" si="18"/>
        <v>#REF!</v>
      </c>
      <c r="AY95" s="133">
        <f t="shared" si="11"/>
        <v>27097.514556634462</v>
      </c>
      <c r="AZ95" s="133">
        <f t="shared" si="12"/>
        <v>1054213.3060981457</v>
      </c>
      <c r="BA95" s="133" t="e">
        <f t="shared" si="6"/>
        <v>#REF!</v>
      </c>
      <c r="BB95" s="133" t="e">
        <f t="shared" si="19"/>
        <v>#REF!</v>
      </c>
      <c r="BC95" s="133" t="e">
        <f t="shared" si="8"/>
        <v>#REF!</v>
      </c>
      <c r="BD95" s="133" t="e">
        <f t="shared" si="9"/>
        <v>#REF!</v>
      </c>
      <c r="BE95" s="133" t="e">
        <f t="shared" si="23"/>
        <v>#REF!</v>
      </c>
      <c r="BF95" s="133"/>
    </row>
    <row r="96" spans="2:58">
      <c r="B96" s="109" t="e">
        <f>'[1]Oil Production'!#REF!</f>
        <v>#REF!</v>
      </c>
      <c r="C96" s="65"/>
      <c r="D96" s="116">
        <f>'[1]Oil Production'!A57</f>
        <v>51</v>
      </c>
      <c r="E96" s="65">
        <f>'[1]Oil Production'!B57</f>
        <v>47.440715110817322</v>
      </c>
      <c r="F96" s="65">
        <f>'[1]Oil Production'!C57</f>
        <v>1442.988417954027</v>
      </c>
      <c r="G96" s="65">
        <f>'[1]Oil Production'!D57</f>
        <v>118048.45380428749</v>
      </c>
      <c r="H96" s="95"/>
      <c r="K96" s="109">
        <f>'Liquids Type Curve'!A73</f>
        <v>4.255224132119988</v>
      </c>
      <c r="L96" s="116">
        <f>'Liquids Type Curve'!B73</f>
        <v>51.062689585439855</v>
      </c>
      <c r="M96" s="65">
        <f>'Liquids Type Curve'!C73</f>
        <v>17.429023935911417</v>
      </c>
      <c r="N96" s="65">
        <f>'Liquids Type Curve'!D73</f>
        <v>530.13281138397224</v>
      </c>
      <c r="O96" s="65">
        <f>'Liquids Type Curve'!E73</f>
        <v>77612.339389664834</v>
      </c>
      <c r="P96" s="250"/>
      <c r="S96" s="112">
        <f>'Gas Type Curve'!A80</f>
        <v>4.2500000000000018</v>
      </c>
      <c r="T96" s="128">
        <f>'Gas Type Curve'!B80</f>
        <v>51.000000000000021</v>
      </c>
      <c r="U96" s="94">
        <f>'Gas Type Curve'!C80</f>
        <v>345.82053646884077</v>
      </c>
      <c r="V96" s="94">
        <f>'Gas Type Curve'!D80</f>
        <v>10518.707984260574</v>
      </c>
      <c r="W96" s="94">
        <f>'Gas Type Curve'!E80</f>
        <v>1281415.4919244507</v>
      </c>
      <c r="X96" s="250"/>
      <c r="AK96" s="146">
        <f t="shared" si="14"/>
        <v>51</v>
      </c>
      <c r="AL96" s="146" t="e">
        <f t="shared" si="25"/>
        <v>#REF!</v>
      </c>
      <c r="AM96" s="146">
        <f t="shared" si="16"/>
        <v>3726.2392267147616</v>
      </c>
      <c r="AN96" s="133">
        <f>'Price Deck'!E55*F96+N96*'Price Deck'!T55+(V96*'Price Deck'!K55/$AB$3)</f>
        <v>99584.932315343525</v>
      </c>
      <c r="AO96" s="133">
        <f t="shared" si="17"/>
        <v>26.725319083483154</v>
      </c>
      <c r="AP96" s="133" t="e">
        <f>'Production Costs '!$N$22*(1+'Production Costs '!$P$2)^(AL96)</f>
        <v>#REF!</v>
      </c>
      <c r="AQ96" s="133" t="e">
        <f>'Production Costs '!$N$23*(1+'Production Costs '!$P$2)^AL96</f>
        <v>#REF!</v>
      </c>
      <c r="AR96" s="162">
        <f>-'Oil Royalties'!W61</f>
        <v>-12.509596200075718</v>
      </c>
      <c r="AS96" s="162">
        <f>-'Butane Royalties'!AD61</f>
        <v>-3.9222885925861775</v>
      </c>
      <c r="AT96" s="162">
        <f>-'Propane Royalties'!AD61</f>
        <v>-4.7993500987235542</v>
      </c>
      <c r="AU96" s="162">
        <f>-'Ethane Royalties'!AH61</f>
        <v>-0.32195121951219513</v>
      </c>
      <c r="AV96" s="162">
        <f>-'Natural Gas Royalties'!AB61</f>
        <v>-0.10714625298668413</v>
      </c>
      <c r="AW96" s="133" t="e">
        <f>AN96+AM96*(AP96+AQ96)+(AR96*F96)+(AV96*(V96/$AB$3))+(AS96*'Butane Royalties'!K66)+(AT96*'Propane Royalties'!K66)+(AU96*'Ethane Royalties'!K66)</f>
        <v>#REF!</v>
      </c>
      <c r="AX96" s="133" t="e">
        <f t="shared" si="18"/>
        <v>#REF!</v>
      </c>
      <c r="AY96" s="133">
        <f t="shared" si="11"/>
        <v>26418.454215129343</v>
      </c>
      <c r="AZ96" s="133">
        <f t="shared" si="12"/>
        <v>1027794.8518830163</v>
      </c>
      <c r="BA96" s="133" t="e">
        <f t="shared" si="6"/>
        <v>#REF!</v>
      </c>
      <c r="BB96" s="133" t="e">
        <f t="shared" si="19"/>
        <v>#REF!</v>
      </c>
      <c r="BC96" s="133" t="e">
        <f t="shared" si="8"/>
        <v>#REF!</v>
      </c>
      <c r="BD96" s="133" t="e">
        <f t="shared" si="9"/>
        <v>#REF!</v>
      </c>
      <c r="BE96" s="133" t="e">
        <f t="shared" si="23"/>
        <v>#REF!</v>
      </c>
      <c r="BF96" s="133"/>
    </row>
    <row r="97" spans="2:58">
      <c r="B97" s="109" t="e">
        <f>'[1]Oil Production'!#REF!</f>
        <v>#REF!</v>
      </c>
      <c r="C97" s="65"/>
      <c r="D97" s="116">
        <f>'[1]Oil Production'!A58</f>
        <v>52</v>
      </c>
      <c r="E97" s="65">
        <f>'[1]Oil Production'!B58</f>
        <v>47.058766512510793</v>
      </c>
      <c r="F97" s="65">
        <f>'[1]Oil Production'!C58</f>
        <v>1431.3708147555367</v>
      </c>
      <c r="G97" s="65">
        <f>'[1]Oil Production'!D58</f>
        <v>119479.82461904302</v>
      </c>
      <c r="H97" s="95"/>
      <c r="K97" s="109">
        <f>'Liquids Type Curve'!A74</f>
        <v>4.338557465453321</v>
      </c>
      <c r="L97" s="116">
        <f>'Liquids Type Curve'!B74</f>
        <v>52.062689585439855</v>
      </c>
      <c r="M97" s="65">
        <f>'Liquids Type Curve'!C74</f>
        <v>17.116786363808739</v>
      </c>
      <c r="N97" s="65">
        <f>'Liquids Type Curve'!D74</f>
        <v>520.63558523251584</v>
      </c>
      <c r="O97" s="65">
        <f>'Liquids Type Curve'!E74</f>
        <v>78132.974974897355</v>
      </c>
      <c r="P97" s="250"/>
      <c r="S97" s="112">
        <f>'Gas Type Curve'!A81</f>
        <v>4.3333333333333348</v>
      </c>
      <c r="T97" s="128">
        <f>'Gas Type Curve'!B81</f>
        <v>52.000000000000014</v>
      </c>
      <c r="U97" s="94">
        <f>'Gas Type Curve'!C81</f>
        <v>341.11033910016198</v>
      </c>
      <c r="V97" s="94">
        <f>'Gas Type Curve'!D81</f>
        <v>10375.439480963261</v>
      </c>
      <c r="W97" s="94">
        <f>'Gas Type Curve'!E81</f>
        <v>1291790.9314054139</v>
      </c>
      <c r="X97" s="250"/>
      <c r="AK97" s="146">
        <f t="shared" si="14"/>
        <v>52</v>
      </c>
      <c r="AL97" s="146" t="e">
        <f t="shared" si="25"/>
        <v>#REF!</v>
      </c>
      <c r="AM97" s="146">
        <f t="shared" si="16"/>
        <v>3681.2463134819295</v>
      </c>
      <c r="AN97" s="133">
        <f>'Price Deck'!E56*F97+N97*'Price Deck'!T56+(V97*'Price Deck'!K56/$AB$3)</f>
        <v>98636.792397023528</v>
      </c>
      <c r="AO97" s="133">
        <f t="shared" si="17"/>
        <v>26.794401677438234</v>
      </c>
      <c r="AP97" s="133" t="e">
        <f>'Production Costs '!$N$22*(1+'Production Costs '!$P$2)^(AL97)</f>
        <v>#REF!</v>
      </c>
      <c r="AQ97" s="133" t="e">
        <f>'Production Costs '!$N$23*(1+'Production Costs '!$P$2)^AL97</f>
        <v>#REF!</v>
      </c>
      <c r="AR97" s="162">
        <f>-'Oil Royalties'!W62</f>
        <v>-12.49314718768948</v>
      </c>
      <c r="AS97" s="162">
        <f>-'Butane Royalties'!AD62</f>
        <v>-3.8832255884597058</v>
      </c>
      <c r="AT97" s="162">
        <f>-'Propane Royalties'!AD62</f>
        <v>-4.7655820798111552</v>
      </c>
      <c r="AU97" s="162">
        <f>-'Ethane Royalties'!AH62</f>
        <v>-0.32195121951219513</v>
      </c>
      <c r="AV97" s="162">
        <f>-'Natural Gas Royalties'!AB62</f>
        <v>-0.10962889021492633</v>
      </c>
      <c r="AW97" s="133" t="e">
        <f>AN97+AM97*(AP97+AQ97)+(AR97*F97)+(AV97*(V97/$AB$3))+(AS97*'Butane Royalties'!K67)+(AT97*'Propane Royalties'!K67)+(AU97*'Ethane Royalties'!K67)</f>
        <v>#REF!</v>
      </c>
      <c r="AX97" s="133" t="e">
        <f t="shared" si="18"/>
        <v>#REF!</v>
      </c>
      <c r="AY97" s="133">
        <f t="shared" si="11"/>
        <v>25756.411041248259</v>
      </c>
      <c r="AZ97" s="133">
        <f t="shared" si="12"/>
        <v>1002038.4408417681</v>
      </c>
      <c r="BA97" s="133" t="e">
        <f t="shared" si="6"/>
        <v>#REF!</v>
      </c>
      <c r="BB97" s="133" t="e">
        <f t="shared" si="19"/>
        <v>#REF!</v>
      </c>
      <c r="BC97" s="133" t="e">
        <f t="shared" si="8"/>
        <v>#REF!</v>
      </c>
      <c r="BD97" s="133" t="e">
        <f t="shared" si="9"/>
        <v>#REF!</v>
      </c>
      <c r="BE97" s="133" t="e">
        <f t="shared" si="23"/>
        <v>#REF!</v>
      </c>
      <c r="BF97" s="133"/>
    </row>
    <row r="98" spans="2:58">
      <c r="B98" s="109" t="e">
        <f>'[1]Oil Production'!#REF!</f>
        <v>#REF!</v>
      </c>
      <c r="C98" s="65"/>
      <c r="D98" s="116">
        <f>'[1]Oil Production'!A59</f>
        <v>53</v>
      </c>
      <c r="E98" s="65">
        <f>'[1]Oil Production'!B59</f>
        <v>46.687081511099564</v>
      </c>
      <c r="F98" s="65">
        <f>'[1]Oil Production'!C59</f>
        <v>1420.0653959626118</v>
      </c>
      <c r="G98" s="65">
        <f>'[1]Oil Production'!D59</f>
        <v>120899.89001500563</v>
      </c>
      <c r="H98" s="95"/>
      <c r="K98" s="109">
        <f>'Liquids Type Curve'!A75</f>
        <v>4.421890798786654</v>
      </c>
      <c r="L98" s="116">
        <f>'Liquids Type Curve'!B75</f>
        <v>53.062689585439848</v>
      </c>
      <c r="M98" s="65">
        <f>'Liquids Type Curve'!C75</f>
        <v>16.815925112367772</v>
      </c>
      <c r="N98" s="65">
        <f>'Liquids Type Curve'!D75</f>
        <v>511.48438883451973</v>
      </c>
      <c r="O98" s="65">
        <f>'Liquids Type Curve'!E75</f>
        <v>78644.459363731876</v>
      </c>
      <c r="P98" s="250"/>
      <c r="S98" s="112">
        <f>'Gas Type Curve'!A82</f>
        <v>4.4166666666666679</v>
      </c>
      <c r="T98" s="128">
        <f>'Gas Type Curve'!B82</f>
        <v>53.000000000000014</v>
      </c>
      <c r="U98" s="94">
        <f>'Gas Type Curve'!C82</f>
        <v>336.55220375018519</v>
      </c>
      <c r="V98" s="94">
        <f>'Gas Type Curve'!D82</f>
        <v>10236.796197401467</v>
      </c>
      <c r="W98" s="94">
        <f>'Gas Type Curve'!E82</f>
        <v>1302027.7276028153</v>
      </c>
      <c r="X98" s="250"/>
      <c r="AK98" s="146">
        <f t="shared" si="14"/>
        <v>53</v>
      </c>
      <c r="AL98" s="146" t="e">
        <f t="shared" si="25"/>
        <v>#REF!</v>
      </c>
      <c r="AM98" s="146">
        <f t="shared" si="16"/>
        <v>3637.6824843640425</v>
      </c>
      <c r="AN98" s="133">
        <f>'Price Deck'!E57*F98+N98*'Price Deck'!T57+(V98*'Price Deck'!K57/$AB$3)</f>
        <v>97721.327575307485</v>
      </c>
      <c r="AO98" s="133">
        <f t="shared" si="17"/>
        <v>26.863622098780183</v>
      </c>
      <c r="AP98" s="133" t="e">
        <f>'Production Costs '!$N$22*(1+'Production Costs '!$P$2)^(AL98)</f>
        <v>#REF!</v>
      </c>
      <c r="AQ98" s="133" t="e">
        <f>'Production Costs '!$N$23*(1+'Production Costs '!$P$2)^AL98</f>
        <v>#REF!</v>
      </c>
      <c r="AR98" s="162">
        <f>-'Oil Royalties'!W63</f>
        <v>-12.476708704823938</v>
      </c>
      <c r="AS98" s="162">
        <f>-'Butane Royalties'!AD63</f>
        <v>-3.8457340069684047</v>
      </c>
      <c r="AT98" s="162">
        <f>-'Propane Royalties'!AD63</f>
        <v>-4.7331724773966801</v>
      </c>
      <c r="AU98" s="162">
        <f>-'Ethane Royalties'!AH63</f>
        <v>-0.32195121951219513</v>
      </c>
      <c r="AV98" s="162">
        <f>-'Natural Gas Royalties'!AB63</f>
        <v>-0.11224219256044446</v>
      </c>
      <c r="AW98" s="133" t="e">
        <f>AN98+AM98*(AP98+AQ98)+(AR98*F98)+(AV98*(V98/$AB$3))+(AS98*'Butane Royalties'!K68)+(AT98*'Propane Royalties'!K68)+(AU98*'Ethane Royalties'!K68)</f>
        <v>#REF!</v>
      </c>
      <c r="AX98" s="133" t="e">
        <f t="shared" si="18"/>
        <v>#REF!</v>
      </c>
      <c r="AY98" s="133">
        <f t="shared" si="11"/>
        <v>25110.95858688897</v>
      </c>
      <c r="AZ98" s="133">
        <f t="shared" si="12"/>
        <v>976927.48225487908</v>
      </c>
      <c r="BA98" s="133" t="e">
        <f t="shared" si="6"/>
        <v>#REF!</v>
      </c>
      <c r="BB98" s="133" t="e">
        <f t="shared" si="19"/>
        <v>#REF!</v>
      </c>
      <c r="BC98" s="133" t="e">
        <f t="shared" si="8"/>
        <v>#REF!</v>
      </c>
      <c r="BD98" s="133" t="e">
        <f t="shared" si="9"/>
        <v>#REF!</v>
      </c>
      <c r="BE98" s="133" t="e">
        <f t="shared" si="23"/>
        <v>#REF!</v>
      </c>
      <c r="BF98" s="133"/>
    </row>
    <row r="99" spans="2:58">
      <c r="B99" s="109" t="e">
        <f>'[1]Oil Production'!#REF!</f>
        <v>#REF!</v>
      </c>
      <c r="C99" s="65"/>
      <c r="D99" s="116">
        <f>'[1]Oil Production'!A60</f>
        <v>54</v>
      </c>
      <c r="E99" s="65">
        <f>'[1]Oil Production'!B60</f>
        <v>46.325198326697745</v>
      </c>
      <c r="F99" s="65">
        <f>'[1]Oil Production'!C60</f>
        <v>1409.0581157703898</v>
      </c>
      <c r="G99" s="65">
        <f>'[1]Oil Production'!D60</f>
        <v>122308.94813077601</v>
      </c>
      <c r="H99" s="95"/>
      <c r="K99" s="109">
        <f>'Liquids Type Curve'!A76</f>
        <v>4.5052241321199871</v>
      </c>
      <c r="L99" s="116">
        <f>'Liquids Type Curve'!B76</f>
        <v>54.062689585439841</v>
      </c>
      <c r="M99" s="65">
        <f>'Liquids Type Curve'!C76</f>
        <v>16.525822796123915</v>
      </c>
      <c r="N99" s="65">
        <f>'Liquids Type Curve'!D76</f>
        <v>502.66044338210241</v>
      </c>
      <c r="O99" s="65">
        <f>'Liquids Type Curve'!E76</f>
        <v>79147.119807113981</v>
      </c>
      <c r="P99" s="250"/>
      <c r="S99" s="112">
        <f>'Gas Type Curve'!A83</f>
        <v>4.5000000000000009</v>
      </c>
      <c r="T99" s="128">
        <f>'Gas Type Curve'!B83</f>
        <v>54.000000000000014</v>
      </c>
      <c r="U99" s="94">
        <f>'Gas Type Curve'!C83</f>
        <v>332.13848869777303</v>
      </c>
      <c r="V99" s="94">
        <f>'Gas Type Curve'!D83</f>
        <v>10102.545697890597</v>
      </c>
      <c r="W99" s="94">
        <f>'Gas Type Curve'!E83</f>
        <v>1312130.2733007059</v>
      </c>
      <c r="X99" s="250"/>
      <c r="AK99" s="146">
        <f t="shared" si="14"/>
        <v>54</v>
      </c>
      <c r="AL99" s="146" t="e">
        <f t="shared" si="25"/>
        <v>#REF!</v>
      </c>
      <c r="AM99" s="146">
        <f t="shared" si="16"/>
        <v>3595.4761754675919</v>
      </c>
      <c r="AN99" s="133">
        <f>'Price Deck'!E58*F99+N99*'Price Deck'!T58+(V99*'Price Deck'!K58/$AB$3)</f>
        <v>96788.588514044823</v>
      </c>
      <c r="AO99" s="133">
        <f t="shared" si="17"/>
        <v>26.919546616508303</v>
      </c>
      <c r="AP99" s="133" t="e">
        <f>'Production Costs '!$N$22*(1+'Production Costs '!$P$2)^(AL99)</f>
        <v>#REF!</v>
      </c>
      <c r="AQ99" s="133" t="e">
        <f>'Production Costs '!$N$23*(1+'Production Costs '!$P$2)^AL99</f>
        <v>#REF!</v>
      </c>
      <c r="AR99" s="162">
        <f>-'Oil Royalties'!W64</f>
        <v>-12.460280751479084</v>
      </c>
      <c r="AS99" s="162">
        <f>-'Butane Royalties'!AD64</f>
        <v>-3.809719870926132</v>
      </c>
      <c r="AT99" s="162">
        <f>-'Propane Royalties'!AD64</f>
        <v>-4.7020400528895516</v>
      </c>
      <c r="AU99" s="162">
        <f>-'Ethane Royalties'!AH64</f>
        <v>-0.32195121951219513</v>
      </c>
      <c r="AV99" s="162">
        <f>-'Natural Gas Royalties'!AB64</f>
        <v>-0.11354884373320349</v>
      </c>
      <c r="AW99" s="133" t="e">
        <f>AN99+AM99*(AP99+AQ99)+(AR99*F99)+(AV99*(V99/$AB$3))+(AS99*'Butane Royalties'!K69)+(AT99*'Propane Royalties'!K69)+(AU99*'Ethane Royalties'!K69)</f>
        <v>#REF!</v>
      </c>
      <c r="AX99" s="133" t="e">
        <f t="shared" si="18"/>
        <v>#REF!</v>
      </c>
      <c r="AY99" s="133">
        <f t="shared" si="11"/>
        <v>24481.681090685583</v>
      </c>
      <c r="AZ99" s="133">
        <f t="shared" si="12"/>
        <v>952445.80116419354</v>
      </c>
      <c r="BA99" s="133" t="e">
        <f t="shared" si="6"/>
        <v>#REF!</v>
      </c>
      <c r="BB99" s="133" t="e">
        <f t="shared" si="19"/>
        <v>#REF!</v>
      </c>
      <c r="BC99" s="133" t="e">
        <f t="shared" si="8"/>
        <v>#REF!</v>
      </c>
      <c r="BD99" s="133" t="e">
        <f t="shared" si="9"/>
        <v>#REF!</v>
      </c>
      <c r="BE99" s="133" t="e">
        <f t="shared" si="23"/>
        <v>#REF!</v>
      </c>
      <c r="BF99" s="133"/>
    </row>
    <row r="100" spans="2:58">
      <c r="B100" s="109" t="e">
        <f>'[1]Oil Production'!#REF!</f>
        <v>#REF!</v>
      </c>
      <c r="C100" s="65"/>
      <c r="D100" s="116">
        <f>'[1]Oil Production'!A61</f>
        <v>55</v>
      </c>
      <c r="E100" s="65">
        <f>'[1]Oil Production'!B61</f>
        <v>45.972684017781383</v>
      </c>
      <c r="F100" s="65">
        <f>'[1]Oil Production'!C61</f>
        <v>1398.3358055408505</v>
      </c>
      <c r="G100" s="65">
        <f>'[1]Oil Production'!D61</f>
        <v>123707.28393631686</v>
      </c>
      <c r="H100" s="95"/>
      <c r="K100" s="109">
        <f>'Liquids Type Curve'!A77</f>
        <v>4.5885574654533201</v>
      </c>
      <c r="L100" s="116">
        <f>'Liquids Type Curve'!B77</f>
        <v>55.062689585439841</v>
      </c>
      <c r="M100" s="65">
        <f>'Liquids Type Curve'!C77</f>
        <v>16.245906145345117</v>
      </c>
      <c r="N100" s="65">
        <f>'Liquids Type Curve'!D77</f>
        <v>494.146311920914</v>
      </c>
      <c r="O100" s="65">
        <f>'Liquids Type Curve'!E77</f>
        <v>79641.266119034888</v>
      </c>
      <c r="P100" s="250"/>
      <c r="S100" s="112">
        <f>'Gas Type Curve'!A84</f>
        <v>4.5833333333333339</v>
      </c>
      <c r="T100" s="128">
        <f>'Gas Type Curve'!B84</f>
        <v>55.000000000000007</v>
      </c>
      <c r="U100" s="94">
        <f>'Gas Type Curve'!C84</f>
        <v>327.86206856844638</v>
      </c>
      <c r="V100" s="94">
        <f>'Gas Type Curve'!D84</f>
        <v>9972.4712522902446</v>
      </c>
      <c r="W100" s="94">
        <f>'Gas Type Curve'!E84</f>
        <v>1322102.7445529962</v>
      </c>
      <c r="X100" s="250"/>
      <c r="AK100" s="146">
        <f t="shared" si="14"/>
        <v>55</v>
      </c>
      <c r="AL100" s="146" t="e">
        <f t="shared" si="25"/>
        <v>#REF!</v>
      </c>
      <c r="AM100" s="146">
        <f t="shared" si="16"/>
        <v>3554.560659510139</v>
      </c>
      <c r="AN100" s="133">
        <f>'Price Deck'!E59*F100+N100*'Price Deck'!T59+(V100*'Price Deck'!K59/$AB$3)</f>
        <v>95891.808172805046</v>
      </c>
      <c r="AO100" s="133">
        <f t="shared" si="17"/>
        <v>26.977119638189009</v>
      </c>
      <c r="AP100" s="133" t="e">
        <f>'Production Costs '!$N$22*(1+'Production Costs '!$P$2)^(AL100)</f>
        <v>#REF!</v>
      </c>
      <c r="AQ100" s="133" t="e">
        <f>'Production Costs '!$N$23*(1+'Production Costs '!$P$2)^AL100</f>
        <v>#REF!</v>
      </c>
      <c r="AR100" s="162">
        <f>-'Oil Royalties'!W65</f>
        <v>-12.460280751479083</v>
      </c>
      <c r="AS100" s="162">
        <f>-'Butane Royalties'!AD65</f>
        <v>-3.7750965895061319</v>
      </c>
      <c r="AT100" s="162">
        <f>-'Propane Royalties'!AD65</f>
        <v>-4.6721099528385039</v>
      </c>
      <c r="AU100" s="162">
        <f>-'Ethane Royalties'!AH65</f>
        <v>-0.32195121951219513</v>
      </c>
      <c r="AV100" s="162">
        <f>-'Natural Gas Royalties'!AB65</f>
        <v>-0.11387550652639328</v>
      </c>
      <c r="AW100" s="133" t="e">
        <f>AN100+AM100*(AP100+AQ100)+(AR100*F100)+(AV100*(V100/$AB$3))+(AS100*'Butane Royalties'!K70)+(AT100*'Propane Royalties'!K70)+(AU100*'Ethane Royalties'!K70)</f>
        <v>#REF!</v>
      </c>
      <c r="AX100" s="133" t="e">
        <f t="shared" si="18"/>
        <v>#REF!</v>
      </c>
      <c r="AY100" s="133">
        <f t="shared" si="11"/>
        <v>23868.173210200282</v>
      </c>
      <c r="AZ100" s="133">
        <f t="shared" si="12"/>
        <v>928577.62795399327</v>
      </c>
      <c r="BA100" s="133" t="e">
        <f t="shared" si="6"/>
        <v>#REF!</v>
      </c>
      <c r="BB100" s="133" t="e">
        <f t="shared" si="19"/>
        <v>#REF!</v>
      </c>
      <c r="BC100" s="133" t="e">
        <f t="shared" si="8"/>
        <v>#REF!</v>
      </c>
      <c r="BD100" s="133" t="e">
        <f t="shared" si="9"/>
        <v>#REF!</v>
      </c>
      <c r="BE100" s="133" t="e">
        <f t="shared" si="23"/>
        <v>#REF!</v>
      </c>
      <c r="BF100" s="133"/>
    </row>
    <row r="101" spans="2:58">
      <c r="B101" s="109" t="e">
        <f>'[1]Oil Production'!#REF!</f>
        <v>#REF!</v>
      </c>
      <c r="C101" s="65"/>
      <c r="D101" s="116">
        <f>'[1]Oil Production'!A62</f>
        <v>56</v>
      </c>
      <c r="E101" s="65">
        <f>'[1]Oil Production'!B62</f>
        <v>45.629132194808591</v>
      </c>
      <c r="F101" s="65">
        <f>'[1]Oil Production'!C62</f>
        <v>1387.8861042587614</v>
      </c>
      <c r="G101" s="65">
        <f>'[1]Oil Production'!D62</f>
        <v>125095.17004057563</v>
      </c>
      <c r="H101" s="95"/>
      <c r="K101" s="109">
        <f>'Liquids Type Curve'!A78</f>
        <v>4.6718907987866531</v>
      </c>
      <c r="L101" s="116">
        <f>'Liquids Type Curve'!B78</f>
        <v>56.062689585439841</v>
      </c>
      <c r="M101" s="65">
        <f>'Liquids Type Curve'!C78</f>
        <v>15.975642122581485</v>
      </c>
      <c r="N101" s="65">
        <f>'Liquids Type Curve'!D78</f>
        <v>485.92578122852018</v>
      </c>
      <c r="O101" s="65">
        <f>'Liquids Type Curve'!E78</f>
        <v>80127.191900263409</v>
      </c>
      <c r="P101" s="250"/>
      <c r="S101" s="112">
        <f>'Gas Type Curve'!A85</f>
        <v>4.666666666666667</v>
      </c>
      <c r="T101" s="128">
        <f>'Gas Type Curve'!B85</f>
        <v>56</v>
      </c>
      <c r="U101" s="94">
        <f>'Gas Type Curve'!C85</f>
        <v>323.71629082440023</v>
      </c>
      <c r="V101" s="94">
        <f>'Gas Type Curve'!D85</f>
        <v>9846.3705125755077</v>
      </c>
      <c r="W101" s="94">
        <f>'Gas Type Curve'!E85</f>
        <v>1331949.1150655719</v>
      </c>
      <c r="X101" s="250"/>
      <c r="AK101" s="146">
        <f t="shared" si="14"/>
        <v>56</v>
      </c>
      <c r="AL101" s="146" t="e">
        <f t="shared" si="25"/>
        <v>#REF!</v>
      </c>
      <c r="AM101" s="146">
        <f t="shared" si="16"/>
        <v>3514.8736375831995</v>
      </c>
      <c r="AN101" s="133">
        <f>'Price Deck'!E60*F101+N101*'Price Deck'!T60+(V101*'Price Deck'!K60/$AB$3)</f>
        <v>95074.172785035611</v>
      </c>
      <c r="AO101" s="133">
        <f t="shared" si="17"/>
        <v>27.049101216170005</v>
      </c>
      <c r="AP101" s="133" t="e">
        <f>'Production Costs '!$N$22*(1+'Production Costs '!$P$2)^(AL101)</f>
        <v>#REF!</v>
      </c>
      <c r="AQ101" s="133" t="e">
        <f>'Production Costs '!$N$23*(1+'Production Costs '!$P$2)^AL101</f>
        <v>#REF!</v>
      </c>
      <c r="AR101" s="162">
        <f>-'Oil Royalties'!W66</f>
        <v>-12.460280751479084</v>
      </c>
      <c r="AS101" s="162">
        <f>-'Butane Royalties'!AD66</f>
        <v>-3.7417842443174241</v>
      </c>
      <c r="AT101" s="162">
        <f>-'Propane Royalties'!AD66</f>
        <v>-4.643313091780235</v>
      </c>
      <c r="AU101" s="162">
        <f>-'Ethane Royalties'!AH66</f>
        <v>-0.32195121951219519</v>
      </c>
      <c r="AV101" s="162">
        <f>-'Natural Gas Royalties'!AB66</f>
        <v>-0.11583548328553187</v>
      </c>
      <c r="AW101" s="133" t="e">
        <f>AN101+AM101*(AP101+AQ101)+(AR101*F101)+(AV101*(V101/$AB$3))+(AS101*'Butane Royalties'!K71)+(AT101*'Propane Royalties'!K71)+(AU101*'Ethane Royalties'!K71)</f>
        <v>#REF!</v>
      </c>
      <c r="AX101" s="133" t="e">
        <f t="shared" si="18"/>
        <v>#REF!</v>
      </c>
      <c r="AY101" s="133">
        <f t="shared" si="11"/>
        <v>23270.039760826283</v>
      </c>
      <c r="AZ101" s="133">
        <f t="shared" si="12"/>
        <v>905307.588193167</v>
      </c>
      <c r="BA101" s="133" t="e">
        <f t="shared" si="6"/>
        <v>#REF!</v>
      </c>
      <c r="BB101" s="133" t="e">
        <f t="shared" si="19"/>
        <v>#REF!</v>
      </c>
      <c r="BC101" s="133" t="e">
        <f t="shared" si="8"/>
        <v>#REF!</v>
      </c>
      <c r="BD101" s="133" t="e">
        <f t="shared" si="9"/>
        <v>#REF!</v>
      </c>
      <c r="BE101" s="133" t="e">
        <f t="shared" si="23"/>
        <v>#REF!</v>
      </c>
      <c r="BF101" s="133"/>
    </row>
    <row r="102" spans="2:58">
      <c r="B102" s="109" t="e">
        <f>'[1]Oil Production'!#REF!</f>
        <v>#REF!</v>
      </c>
      <c r="C102" s="65"/>
      <c r="D102" s="116">
        <f>'[1]Oil Production'!A63</f>
        <v>57</v>
      </c>
      <c r="E102" s="65">
        <f>'[1]Oil Production'!B63</f>
        <v>45.29416095223808</v>
      </c>
      <c r="F102" s="65">
        <f>'[1]Oil Production'!C63</f>
        <v>1377.6973956305751</v>
      </c>
      <c r="G102" s="65">
        <f>'[1]Oil Production'!D63</f>
        <v>126472.8674362062</v>
      </c>
      <c r="H102" s="95"/>
      <c r="K102" s="109">
        <f>'Liquids Type Curve'!A79</f>
        <v>4.7552241321199862</v>
      </c>
      <c r="L102" s="116">
        <f>'Liquids Type Curve'!B79</f>
        <v>57.062689585439834</v>
      </c>
      <c r="M102" s="65">
        <f>'Liquids Type Curve'!C79</f>
        <v>15.714534443173346</v>
      </c>
      <c r="N102" s="65">
        <f>'Liquids Type Curve'!D79</f>
        <v>477.98375597985597</v>
      </c>
      <c r="O102" s="65">
        <f>'Liquids Type Curve'!E79</f>
        <v>80605.175656243271</v>
      </c>
      <c r="P102" s="250"/>
      <c r="S102" s="112">
        <f>'Gas Type Curve'!A86</f>
        <v>4.75</v>
      </c>
      <c r="T102" s="128">
        <f>'Gas Type Curve'!B86</f>
        <v>57</v>
      </c>
      <c r="U102" s="94">
        <f>'Gas Type Curve'!C86</f>
        <v>319.69493662177456</v>
      </c>
      <c r="V102" s="94">
        <f>'Gas Type Curve'!D86</f>
        <v>9724.0543222456436</v>
      </c>
      <c r="W102" s="94">
        <f>'Gas Type Curve'!E86</f>
        <v>1341673.1693878174</v>
      </c>
      <c r="X102" s="250"/>
      <c r="AK102" s="146">
        <f t="shared" si="14"/>
        <v>57</v>
      </c>
      <c r="AL102" s="146" t="e">
        <f t="shared" si="25"/>
        <v>#REF!</v>
      </c>
      <c r="AM102" s="146">
        <f t="shared" si="16"/>
        <v>3476.3568719847049</v>
      </c>
      <c r="AN102" s="133">
        <f>'Price Deck'!E61*F102+N102*'Price Deck'!T61+(V102*'Price Deck'!K61/$AB$3)</f>
        <v>94369.577492703189</v>
      </c>
      <c r="AO102" s="133">
        <f t="shared" si="17"/>
        <v>27.146113292685676</v>
      </c>
      <c r="AP102" s="133" t="e">
        <f>'Production Costs '!$N$22*(1+'Production Costs '!$P$2)^(AL102)</f>
        <v>#REF!</v>
      </c>
      <c r="AQ102" s="133" t="e">
        <f>'Production Costs '!$N$23*(1+'Production Costs '!$P$2)^AL102</f>
        <v>#REF!</v>
      </c>
      <c r="AR102" s="162">
        <f>-'Oil Royalties'!W67</f>
        <v>-12.46575556598062</v>
      </c>
      <c r="AS102" s="162">
        <f>-'Butane Royalties'!AD67</f>
        <v>-3.7097089568807902</v>
      </c>
      <c r="AT102" s="162">
        <f>-'Propane Royalties'!AD67</f>
        <v>-4.615585605453937</v>
      </c>
      <c r="AU102" s="162">
        <f>-'Ethane Royalties'!AH67</f>
        <v>-0.32195121951219519</v>
      </c>
      <c r="AV102" s="162">
        <f>-'Natural Gas Royalties'!AB67</f>
        <v>-0.12014743215563677</v>
      </c>
      <c r="AW102" s="133" t="e">
        <f>AN102+AM102*(AP102+AQ102)+(AR102*F102)+(AV102*(V102/$AB$3))+(AS102*'Butane Royalties'!K72)+(AT102*'Propane Royalties'!K72)+(AU102*'Ethane Royalties'!K72)</f>
        <v>#REF!</v>
      </c>
      <c r="AX102" s="133" t="e">
        <f t="shared" si="18"/>
        <v>#REF!</v>
      </c>
      <c r="AY102" s="133">
        <f t="shared" si="11"/>
        <v>22686.895461233846</v>
      </c>
      <c r="AZ102" s="133">
        <f t="shared" si="12"/>
        <v>882620.6927319332</v>
      </c>
      <c r="BA102" s="133" t="e">
        <f t="shared" si="6"/>
        <v>#REF!</v>
      </c>
      <c r="BB102" s="133" t="e">
        <f t="shared" si="19"/>
        <v>#REF!</v>
      </c>
      <c r="BC102" s="133" t="e">
        <f t="shared" si="8"/>
        <v>#REF!</v>
      </c>
      <c r="BD102" s="133" t="e">
        <f t="shared" si="9"/>
        <v>#REF!</v>
      </c>
      <c r="BE102" s="133" t="e">
        <f t="shared" si="23"/>
        <v>#REF!</v>
      </c>
      <c r="BF102" s="133"/>
    </row>
    <row r="103" spans="2:58">
      <c r="B103" s="109" t="e">
        <f>'[1]Oil Production'!#REF!</f>
        <v>#REF!</v>
      </c>
      <c r="C103" s="65"/>
      <c r="D103" s="116">
        <f>'[1]Oil Production'!A64</f>
        <v>58</v>
      </c>
      <c r="E103" s="65">
        <f>'[1]Oil Production'!B64</f>
        <v>44.967410994660838</v>
      </c>
      <c r="F103" s="65">
        <f>'[1]Oil Production'!C64</f>
        <v>1367.7587510876006</v>
      </c>
      <c r="G103" s="65">
        <f>'[1]Oil Production'!D64</f>
        <v>127840.6261872938</v>
      </c>
      <c r="H103" s="95"/>
      <c r="K103" s="109">
        <f>'Liquids Type Curve'!A80</f>
        <v>4.8385574654533192</v>
      </c>
      <c r="L103" s="116">
        <f>'Liquids Type Curve'!B80</f>
        <v>58.062689585439827</v>
      </c>
      <c r="M103" s="65">
        <f>'Liquids Type Curve'!C80</f>
        <v>15.462120451460358</v>
      </c>
      <c r="N103" s="65">
        <f>'Liquids Type Curve'!D80</f>
        <v>470.30616373191924</v>
      </c>
      <c r="O103" s="65">
        <f>'Liquids Type Curve'!E80</f>
        <v>81075.48181997519</v>
      </c>
      <c r="P103" s="250"/>
      <c r="S103" s="112">
        <f>'Gas Type Curve'!A87</f>
        <v>4.833333333333333</v>
      </c>
      <c r="T103" s="128">
        <f>'Gas Type Curve'!B87</f>
        <v>58</v>
      </c>
      <c r="U103" s="94">
        <f>'Gas Type Curve'!C87</f>
        <v>315.7921855289016</v>
      </c>
      <c r="V103" s="94">
        <f>'Gas Type Curve'!D87</f>
        <v>9605.3456431707582</v>
      </c>
      <c r="W103" s="94">
        <f>'Gas Type Curve'!E87</f>
        <v>1351278.515030988</v>
      </c>
      <c r="X103" s="250"/>
      <c r="AK103" s="146">
        <f t="shared" si="14"/>
        <v>58</v>
      </c>
      <c r="AL103" s="146" t="e">
        <f t="shared" si="25"/>
        <v>#REF!</v>
      </c>
      <c r="AM103" s="146">
        <f t="shared" si="16"/>
        <v>3438.9558553479792</v>
      </c>
      <c r="AN103" s="133">
        <f>'Price Deck'!E62*F103+N103*'Price Deck'!T62+(V103*'Price Deck'!K62/$AB$3)</f>
        <v>93864.638045482658</v>
      </c>
      <c r="AO103" s="133">
        <f t="shared" si="17"/>
        <v>27.294516706142694</v>
      </c>
      <c r="AP103" s="133" t="e">
        <f>'Production Costs '!$N$22*(1+'Production Costs '!$P$2)^(AL103)</f>
        <v>#REF!</v>
      </c>
      <c r="AQ103" s="133" t="e">
        <f>'Production Costs '!$N$23*(1+'Production Costs '!$P$2)^AL103</f>
        <v>#REF!</v>
      </c>
      <c r="AR103" s="162">
        <f>-'Oil Royalties'!W68</f>
        <v>-12.460280751479086</v>
      </c>
      <c r="AS103" s="162">
        <f>-'Butane Royalties'!AD68</f>
        <v>-3.6788023268633721</v>
      </c>
      <c r="AT103" s="162">
        <f>-'Propane Royalties'!AD68</f>
        <v>-4.588868365183127</v>
      </c>
      <c r="AU103" s="162">
        <f>-'Ethane Royalties'!AH68</f>
        <v>-0.32195121951219513</v>
      </c>
      <c r="AV103" s="162">
        <f>-'Natural Gas Royalties'!AB68</f>
        <v>-0.130927304330899</v>
      </c>
      <c r="AW103" s="133" t="e">
        <f>AN103+AM103*(AP103+AQ103)+(AR103*F103)+(AV103*(V103/$AB$3))+(AS103*'Butane Royalties'!K73)+(AT103*'Propane Royalties'!K73)+(AU103*'Ethane Royalties'!K73)</f>
        <v>#REF!</v>
      </c>
      <c r="AX103" s="133" t="e">
        <f t="shared" si="18"/>
        <v>#REF!</v>
      </c>
      <c r="AY103" s="133">
        <f t="shared" si="11"/>
        <v>22118.364685195407</v>
      </c>
      <c r="AZ103" s="133">
        <f t="shared" si="12"/>
        <v>860502.32804673782</v>
      </c>
      <c r="BA103" s="133" t="e">
        <f t="shared" si="6"/>
        <v>#REF!</v>
      </c>
      <c r="BB103" s="133" t="e">
        <f t="shared" si="19"/>
        <v>#REF!</v>
      </c>
      <c r="BC103" s="133" t="e">
        <f t="shared" si="8"/>
        <v>#REF!</v>
      </c>
      <c r="BD103" s="133" t="e">
        <f t="shared" si="9"/>
        <v>#REF!</v>
      </c>
      <c r="BE103" s="133" t="e">
        <f t="shared" si="23"/>
        <v>#REF!</v>
      </c>
      <c r="BF103" s="133"/>
    </row>
    <row r="104" spans="2:58">
      <c r="B104" s="109" t="e">
        <f>'[1]Oil Production'!#REF!</f>
        <v>#REF!</v>
      </c>
      <c r="C104" s="65"/>
      <c r="D104" s="116">
        <f>'[1]Oil Production'!A65</f>
        <v>59</v>
      </c>
      <c r="E104" s="65">
        <f>'[1]Oil Production'!B65</f>
        <v>44.648543935827298</v>
      </c>
      <c r="F104" s="65">
        <f>'[1]Oil Production'!C65</f>
        <v>1358.0598780480805</v>
      </c>
      <c r="G104" s="65">
        <f>'[1]Oil Production'!D65</f>
        <v>129198.68606534188</v>
      </c>
      <c r="H104" s="95"/>
      <c r="K104" s="109">
        <f>'Liquids Type Curve'!A81</f>
        <v>4.9218907987866523</v>
      </c>
      <c r="L104" s="116">
        <f>'Liquids Type Curve'!B81</f>
        <v>59.062689585439827</v>
      </c>
      <c r="M104" s="65">
        <f>'Liquids Type Curve'!C81</f>
        <v>15.217968310919023</v>
      </c>
      <c r="N104" s="65">
        <f>'Liquids Type Curve'!D81</f>
        <v>462.87986945712032</v>
      </c>
      <c r="O104" s="65">
        <f>'Liquids Type Curve'!E81</f>
        <v>81538.361689432306</v>
      </c>
      <c r="P104" s="250"/>
      <c r="S104" s="112">
        <f>'Gas Type Curve'!A88</f>
        <v>4.9166666666666661</v>
      </c>
      <c r="T104" s="128">
        <f>'Gas Type Curve'!B88</f>
        <v>58.999999999999993</v>
      </c>
      <c r="U104" s="94">
        <f>'Gas Type Curve'!C88</f>
        <v>312.00258366555192</v>
      </c>
      <c r="V104" s="94">
        <f>'Gas Type Curve'!D88</f>
        <v>9490.0785864938716</v>
      </c>
      <c r="W104" s="94">
        <f>'Gas Type Curve'!E88</f>
        <v>1360768.5936174819</v>
      </c>
      <c r="X104" s="250"/>
      <c r="AK104" s="146">
        <f t="shared" si="14"/>
        <v>59</v>
      </c>
      <c r="AL104" s="146" t="e">
        <f t="shared" si="25"/>
        <v>#REF!</v>
      </c>
      <c r="AM104" s="146">
        <f t="shared" si="16"/>
        <v>3402.619511920846</v>
      </c>
      <c r="AN104" s="133">
        <f>'Price Deck'!E63*F104+N104*'Price Deck'!T63+(V104*'Price Deck'!K63/$AB$3)</f>
        <v>93629.968479337811</v>
      </c>
      <c r="AO104" s="133">
        <f t="shared" si="17"/>
        <v>27.517025677220619</v>
      </c>
      <c r="AP104" s="133" t="e">
        <f>'Production Costs '!$N$22*(1+'Production Costs '!$P$2)^(AL104)</f>
        <v>#REF!</v>
      </c>
      <c r="AQ104" s="133" t="e">
        <f>'Production Costs '!$N$23*(1+'Production Costs '!$P$2)^AL104</f>
        <v>#REF!</v>
      </c>
      <c r="AR104" s="162">
        <f>-'Oil Royalties'!W69</f>
        <v>-12.449334632316225</v>
      </c>
      <c r="AS104" s="162">
        <f>-'Butane Royalties'!AD69</f>
        <v>-4.0442632637480527</v>
      </c>
      <c r="AT104" s="162">
        <f>-'Propane Royalties'!AD69</f>
        <v>-4.823875250827653</v>
      </c>
      <c r="AU104" s="162">
        <f>-'Ethane Royalties'!AH69</f>
        <v>-0.33268292682926837</v>
      </c>
      <c r="AV104" s="162">
        <f>-'Natural Gas Royalties'!AB69</f>
        <v>-0.13909387416064314</v>
      </c>
      <c r="AW104" s="133" t="e">
        <f>AN104+AM104*(AP104+AQ104)+(AR104*F104)+(AV104*(V104/$AB$3))+(AS104*'Butane Royalties'!K74)+(AT104*'Propane Royalties'!K74)+(AU104*'Ethane Royalties'!K74)</f>
        <v>#REF!</v>
      </c>
      <c r="AX104" s="133" t="e">
        <f t="shared" si="18"/>
        <v>#REF!</v>
      </c>
      <c r="AY104" s="133">
        <f t="shared" si="11"/>
        <v>21564.081219629883</v>
      </c>
      <c r="AZ104" s="133">
        <f t="shared" si="12"/>
        <v>838938.24682710797</v>
      </c>
      <c r="BA104" s="133" t="e">
        <f t="shared" si="6"/>
        <v>#REF!</v>
      </c>
      <c r="BB104" s="133" t="e">
        <f t="shared" si="19"/>
        <v>#REF!</v>
      </c>
      <c r="BC104" s="133" t="e">
        <f t="shared" si="8"/>
        <v>#REF!</v>
      </c>
      <c r="BD104" s="133" t="e">
        <f t="shared" si="9"/>
        <v>#REF!</v>
      </c>
      <c r="BE104" s="133" t="e">
        <f t="shared" si="23"/>
        <v>#REF!</v>
      </c>
      <c r="BF104" s="133"/>
    </row>
    <row r="105" spans="2:58">
      <c r="B105" s="109" t="e">
        <f>'[1]Oil Production'!#REF!</f>
        <v>#REF!</v>
      </c>
      <c r="C105" s="65"/>
      <c r="D105" s="116">
        <f>'[1]Oil Production'!A66</f>
        <v>60</v>
      </c>
      <c r="E105" s="65">
        <f>'[1]Oil Production'!B66</f>
        <v>44.337240751989029</v>
      </c>
      <c r="F105" s="65">
        <f>'[1]Oil Production'!C66</f>
        <v>1348.5910728729996</v>
      </c>
      <c r="G105" s="65">
        <f>'[1]Oil Production'!D66</f>
        <v>130547.27713821488</v>
      </c>
      <c r="H105" s="95"/>
      <c r="K105" s="109">
        <f>'Liquids Type Curve'!A82</f>
        <v>5.0052241321199853</v>
      </c>
      <c r="L105" s="116">
        <f>'Liquids Type Curve'!B82</f>
        <v>60.062689585439827</v>
      </c>
      <c r="M105" s="65">
        <f>'Liquids Type Curve'!C82</f>
        <v>14.981674471976095</v>
      </c>
      <c r="N105" s="65">
        <f>'Liquids Type Curve'!D82</f>
        <v>455.69259852260626</v>
      </c>
      <c r="O105" s="65">
        <f>'Liquids Type Curve'!E82</f>
        <v>81994.054287954918</v>
      </c>
      <c r="P105" s="250"/>
      <c r="S105" s="112">
        <f>'Gas Type Curve'!A89</f>
        <v>4.9999999999999991</v>
      </c>
      <c r="T105" s="128">
        <f>'Gas Type Curve'!B89</f>
        <v>59.999999999999986</v>
      </c>
      <c r="U105" s="94">
        <f>'Gas Type Curve'!C89</f>
        <v>308.32101487985125</v>
      </c>
      <c r="V105" s="94">
        <f>'Gas Type Curve'!D89</f>
        <v>9378.0975359288095</v>
      </c>
      <c r="W105" s="94">
        <f>'Gas Type Curve'!E89</f>
        <v>1370146.6911534106</v>
      </c>
      <c r="X105" s="250"/>
      <c r="AK105" s="146">
        <f t="shared" si="14"/>
        <v>60</v>
      </c>
      <c r="AL105" s="146" t="e">
        <f>$B$105</f>
        <v>#REF!</v>
      </c>
      <c r="AM105" s="146">
        <f t="shared" si="16"/>
        <v>3367.2999273837404</v>
      </c>
      <c r="AN105" s="133">
        <f>'Price Deck'!E64*F105+N105*'Price Deck'!T64+(V105*'Price Deck'!K64/$AB$3)</f>
        <v>92699.967631837819</v>
      </c>
      <c r="AO105" s="133">
        <f t="shared" si="17"/>
        <v>27.529465634462223</v>
      </c>
      <c r="AP105" s="133" t="e">
        <f>'Production Costs '!$N$22*(1+'Production Costs '!$P$2)^(AL105)</f>
        <v>#REF!</v>
      </c>
      <c r="AQ105" s="133" t="e">
        <f>'Production Costs '!$N$23*(1+'Production Costs '!$P$2)^AL105</f>
        <v>#REF!</v>
      </c>
      <c r="AR105" s="162">
        <f>-'Oil Royalties'!W70</f>
        <v>-12.427456433351445</v>
      </c>
      <c r="AS105" s="162">
        <f>-'Butane Royalties'!AD70</f>
        <v>-4.014944389126117</v>
      </c>
      <c r="AT105" s="162">
        <f>-'Propane Royalties'!AD70</f>
        <v>-4.798429605461795</v>
      </c>
      <c r="AU105" s="162">
        <f>-'Ethane Royalties'!AH70</f>
        <v>-0.33268292682926831</v>
      </c>
      <c r="AV105" s="162">
        <f>-'Natural Gas Royalties'!AB70</f>
        <v>-0.13680723460831479</v>
      </c>
      <c r="AW105" s="133" t="e">
        <f>AN105+AM105*(AP105+AQ105)+(AR105*F105)+(AV105*(V105/$AB$3))+(AS105*'Butane Royalties'!K75)+(AT105*'Propane Royalties'!K75)+(AU105*'Ethane Royalties'!K75)</f>
        <v>#REF!</v>
      </c>
      <c r="AX105" s="133" t="e">
        <f t="shared" si="18"/>
        <v>#REF!</v>
      </c>
      <c r="AY105" s="133">
        <f t="shared" si="11"/>
        <v>21023.688028710432</v>
      </c>
      <c r="AZ105" s="133">
        <f t="shared" si="12"/>
        <v>817914.55879839754</v>
      </c>
      <c r="BA105" s="133" t="e">
        <f t="shared" si="6"/>
        <v>#REF!</v>
      </c>
      <c r="BB105" s="133" t="e">
        <f t="shared" si="19"/>
        <v>#REF!</v>
      </c>
      <c r="BC105" s="133" t="e">
        <f t="shared" si="8"/>
        <v>#REF!</v>
      </c>
      <c r="BD105" s="133" t="e">
        <f t="shared" si="9"/>
        <v>#REF!</v>
      </c>
      <c r="BE105" s="133" t="e">
        <f t="shared" si="23"/>
        <v>#REF!</v>
      </c>
      <c r="BF105" s="133"/>
    </row>
    <row r="106" spans="2:58">
      <c r="B106" s="109" t="e">
        <f>'[1]Oil Production'!#REF!</f>
        <v>#REF!</v>
      </c>
      <c r="C106" s="65" t="e">
        <f>B105</f>
        <v>#REF!</v>
      </c>
      <c r="D106" s="116">
        <f>'[1]Oil Production'!A67</f>
        <v>61</v>
      </c>
      <c r="E106" s="65">
        <f>'[1]Oil Production'!B67</f>
        <v>44.033200373243048</v>
      </c>
      <c r="F106" s="65">
        <f>'[1]Oil Production'!C67</f>
        <v>1339.343178019476</v>
      </c>
      <c r="G106" s="65">
        <f>'[1]Oil Production'!D67</f>
        <v>131886.62031623436</v>
      </c>
      <c r="H106" s="95" t="e">
        <f>IF(C106&gt;0,((E106-E94)/(E94)),0)</f>
        <v>#REF!</v>
      </c>
      <c r="K106" s="109">
        <f>'Liquids Type Curve'!A83</f>
        <v>5.0885574654533183</v>
      </c>
      <c r="L106" s="116">
        <f>'Liquids Type Curve'!B83</f>
        <v>61.06268958543982</v>
      </c>
      <c r="M106" s="65">
        <f>'Liquids Type Curve'!C83</f>
        <v>14.752861385956795</v>
      </c>
      <c r="N106" s="65">
        <f>'Liquids Type Curve'!D83</f>
        <v>448.73286715618588</v>
      </c>
      <c r="O106" s="65">
        <f>'Liquids Type Curve'!E83</f>
        <v>82442.787155111102</v>
      </c>
      <c r="P106" s="250" t="e">
        <f t="shared" si="24"/>
        <v>#REF!</v>
      </c>
      <c r="S106" s="112">
        <f>'Gas Type Curve'!A90</f>
        <v>5.0833333333333321</v>
      </c>
      <c r="T106" s="128">
        <f>'Gas Type Curve'!B90</f>
        <v>60.999999999999986</v>
      </c>
      <c r="U106" s="94">
        <f>'Gas Type Curve'!C90</f>
        <v>304.74267462808564</v>
      </c>
      <c r="V106" s="94">
        <f>'Gas Type Curve'!D90</f>
        <v>9269.2563532709391</v>
      </c>
      <c r="W106" s="94">
        <f>'Gas Type Curve'!E90</f>
        <v>1379415.9475066816</v>
      </c>
      <c r="X106" s="250" t="e">
        <f t="shared" si="20"/>
        <v>#REF!</v>
      </c>
      <c r="AK106" s="146">
        <f t="shared" si="14"/>
        <v>61</v>
      </c>
      <c r="AL106" s="146" t="e">
        <f t="shared" ref="AL106:AL116" si="26">$B$105</f>
        <v>#REF!</v>
      </c>
      <c r="AM106" s="146">
        <f t="shared" si="16"/>
        <v>3332.9521040541517</v>
      </c>
      <c r="AN106" s="133">
        <f>'Price Deck'!E65*F106+N106*'Price Deck'!T65+(V106*'Price Deck'!K65/$AB$3)</f>
        <v>91613.34469217743</v>
      </c>
      <c r="AO106" s="133">
        <f t="shared" si="17"/>
        <v>27.487147079233562</v>
      </c>
      <c r="AP106" s="133" t="e">
        <f>'Production Costs '!$N$22*(1+'Production Costs '!$P$2)^(AL106)</f>
        <v>#REF!</v>
      </c>
      <c r="AQ106" s="133" t="e">
        <f>'Production Costs '!$N$23*(1+'Production Costs '!$P$2)^AL106</f>
        <v>#REF!</v>
      </c>
      <c r="AR106" s="162">
        <f>-'Oil Royalties'!W71</f>
        <v>-12.378298927565167</v>
      </c>
      <c r="AS106" s="162">
        <f>-'Butane Royalties'!AD71</f>
        <v>-3.986636544715358</v>
      </c>
      <c r="AT106" s="162">
        <f>-'Propane Royalties'!AD71</f>
        <v>-4.7738614261153334</v>
      </c>
      <c r="AU106" s="162">
        <f>-'Ethane Royalties'!AH71</f>
        <v>-0.33268292682926831</v>
      </c>
      <c r="AV106" s="162">
        <f>-'Natural Gas Royalties'!AB71</f>
        <v>-0.13086197177226105</v>
      </c>
      <c r="AW106" s="133" t="e">
        <f>AN106+AM106*(AP106+AQ106)+(AR106*F106)+(AV106*(V106/$AB$3))+(AS106*'Butane Royalties'!K76)+(AT106*'Propane Royalties'!K76)+(AU106*'Ethane Royalties'!K76)</f>
        <v>#REF!</v>
      </c>
      <c r="AX106" s="133" t="e">
        <f t="shared" si="18"/>
        <v>#REF!</v>
      </c>
      <c r="AY106" s="133">
        <f t="shared" si="11"/>
        <v>20496.837023883574</v>
      </c>
      <c r="AZ106" s="133">
        <f t="shared" si="12"/>
        <v>797417.72177451395</v>
      </c>
      <c r="BA106" s="133" t="e">
        <f t="shared" si="6"/>
        <v>#REF!</v>
      </c>
      <c r="BB106" s="133" t="e">
        <f t="shared" si="19"/>
        <v>#REF!</v>
      </c>
      <c r="BC106" s="133" t="e">
        <f t="shared" si="8"/>
        <v>#REF!</v>
      </c>
      <c r="BD106" s="133" t="e">
        <f t="shared" si="9"/>
        <v>#REF!</v>
      </c>
      <c r="BE106" s="133" t="e">
        <f t="shared" si="23"/>
        <v>#REF!</v>
      </c>
      <c r="BF106" s="133"/>
    </row>
    <row r="107" spans="2:58">
      <c r="B107" s="109" t="e">
        <f>'[1]Oil Production'!#REF!</f>
        <v>#REF!</v>
      </c>
      <c r="C107" s="65"/>
      <c r="D107" s="116">
        <f>'[1]Oil Production'!A68</f>
        <v>62</v>
      </c>
      <c r="E107" s="65">
        <f>'[1]Oil Production'!B68</f>
        <v>43.73613839852861</v>
      </c>
      <c r="F107" s="65">
        <f>'[1]Oil Production'!C68</f>
        <v>1330.3075429552453</v>
      </c>
      <c r="G107" s="65">
        <f>'[1]Oil Production'!D68</f>
        <v>133216.9278591896</v>
      </c>
      <c r="H107" s="95"/>
      <c r="K107" s="109">
        <f>'Liquids Type Curve'!A84</f>
        <v>5.1718907987866514</v>
      </c>
      <c r="L107" s="116">
        <f>'Liquids Type Curve'!B84</f>
        <v>62.062689585439813</v>
      </c>
      <c r="M107" s="65">
        <f>'Liquids Type Curve'!C84</f>
        <v>14.531175437660563</v>
      </c>
      <c r="N107" s="65">
        <f>'Liquids Type Curve'!D84</f>
        <v>441.98991956217549</v>
      </c>
      <c r="O107" s="65">
        <f>'Liquids Type Curve'!E84</f>
        <v>82884.777074673271</v>
      </c>
      <c r="P107" s="250"/>
      <c r="S107" s="112">
        <f>'Gas Type Curve'!A91</f>
        <v>5.1666666666666652</v>
      </c>
      <c r="T107" s="128">
        <f>'Gas Type Curve'!B91</f>
        <v>61.999999999999986</v>
      </c>
      <c r="U107" s="94">
        <f>'Gas Type Curve'!C91</f>
        <v>301.26304626433074</v>
      </c>
      <c r="V107" s="94">
        <f>'Gas Type Curve'!D91</f>
        <v>9163.4176572067263</v>
      </c>
      <c r="W107" s="94">
        <f>'Gas Type Curve'!E91</f>
        <v>1388579.3651638883</v>
      </c>
      <c r="X107" s="250"/>
      <c r="AK107" s="146">
        <f t="shared" si="14"/>
        <v>62</v>
      </c>
      <c r="AL107" s="146" t="e">
        <f t="shared" si="26"/>
        <v>#REF!</v>
      </c>
      <c r="AM107" s="146">
        <f t="shared" si="16"/>
        <v>3299.5337387185418</v>
      </c>
      <c r="AN107" s="133">
        <f>'Price Deck'!E66*F107+N107*'Price Deck'!T66+(V107*'Price Deck'!K66/$AB$3)</f>
        <v>90365.687277436416</v>
      </c>
      <c r="AO107" s="133">
        <f t="shared" si="17"/>
        <v>27.387411202084643</v>
      </c>
      <c r="AP107" s="133" t="e">
        <f>'Production Costs '!$N$22*(1+'Production Costs '!$P$2)^(AL107)</f>
        <v>#REF!</v>
      </c>
      <c r="AQ107" s="133" t="e">
        <f>'Production Costs '!$N$23*(1+'Production Costs '!$P$2)^AL107</f>
        <v>#REF!</v>
      </c>
      <c r="AR107" s="162">
        <f>-'Oil Royalties'!W72</f>
        <v>-12.372842832211514</v>
      </c>
      <c r="AS107" s="162">
        <f>-'Butane Royalties'!AD72</f>
        <v>-3.9592877489431442</v>
      </c>
      <c r="AT107" s="162">
        <f>-'Propane Royalties'!AD72</f>
        <v>-4.750125598346469</v>
      </c>
      <c r="AU107" s="162">
        <f>-'Ethane Royalties'!AH72</f>
        <v>-0.33268292682926831</v>
      </c>
      <c r="AV107" s="162">
        <f>-'Natural Gas Royalties'!AB72</f>
        <v>-0.11531282281642823</v>
      </c>
      <c r="AW107" s="133" t="e">
        <f>AN107+AM107*(AP107+AQ107)+(AR107*F107)+(AV107*(V107/$AB$3))+(AS107*'Butane Royalties'!K77)+(AT107*'Propane Royalties'!K77)+(AU107*'Ethane Royalties'!K77)</f>
        <v>#REF!</v>
      </c>
      <c r="AX107" s="133" t="e">
        <f t="shared" si="18"/>
        <v>#REF!</v>
      </c>
      <c r="AY107" s="133">
        <f t="shared" si="11"/>
        <v>19983.188839651662</v>
      </c>
      <c r="AZ107" s="133">
        <f t="shared" si="12"/>
        <v>777434.53293486231</v>
      </c>
      <c r="BA107" s="133" t="e">
        <f t="shared" si="6"/>
        <v>#REF!</v>
      </c>
      <c r="BB107" s="133" t="e">
        <f t="shared" si="19"/>
        <v>#REF!</v>
      </c>
      <c r="BC107" s="133" t="e">
        <f t="shared" si="8"/>
        <v>#REF!</v>
      </c>
      <c r="BD107" s="133" t="e">
        <f t="shared" si="9"/>
        <v>#REF!</v>
      </c>
      <c r="BE107" s="133" t="e">
        <f t="shared" si="23"/>
        <v>#REF!</v>
      </c>
      <c r="BF107" s="133"/>
    </row>
    <row r="108" spans="2:58">
      <c r="B108" s="109" t="e">
        <f>'[1]Oil Production'!#REF!</f>
        <v>#REF!</v>
      </c>
      <c r="C108" s="65"/>
      <c r="D108" s="116">
        <f>'[1]Oil Production'!A69</f>
        <v>63</v>
      </c>
      <c r="E108" s="65">
        <f>'[1]Oil Production'!B69</f>
        <v>43.445785921622686</v>
      </c>
      <c r="F108" s="65">
        <f>'[1]Oil Production'!C69</f>
        <v>1321.4759884493567</v>
      </c>
      <c r="G108" s="65">
        <f>'[1]Oil Production'!D69</f>
        <v>134538.40384763895</v>
      </c>
      <c r="H108" s="95"/>
      <c r="K108" s="109">
        <f>'Liquids Type Curve'!A85</f>
        <v>5.2552241321199844</v>
      </c>
      <c r="L108" s="116">
        <f>'Liquids Type Curve'!B85</f>
        <v>63.062689585439813</v>
      </c>
      <c r="M108" s="65">
        <f>'Liquids Type Curve'!C85</f>
        <v>14.316285072518946</v>
      </c>
      <c r="N108" s="65">
        <f>'Liquids Type Curve'!D85</f>
        <v>435.45367095578462</v>
      </c>
      <c r="O108" s="65">
        <f>'Liquids Type Curve'!E85</f>
        <v>83320.230745629058</v>
      </c>
      <c r="P108" s="250"/>
      <c r="S108" s="112">
        <f>'Gas Type Curve'!A92</f>
        <v>5.2499999999999982</v>
      </c>
      <c r="T108" s="128">
        <f>'Gas Type Curve'!B92</f>
        <v>62.999999999999979</v>
      </c>
      <c r="U108" s="94">
        <f>'Gas Type Curve'!C92</f>
        <v>297.87787948276542</v>
      </c>
      <c r="V108" s="94">
        <f>'Gas Type Curve'!D92</f>
        <v>9060.4521676007826</v>
      </c>
      <c r="W108" s="94">
        <f>'Gas Type Curve'!E92</f>
        <v>1397639.8173314892</v>
      </c>
      <c r="X108" s="250"/>
      <c r="AK108" s="146">
        <f t="shared" si="14"/>
        <v>63</v>
      </c>
      <c r="AL108" s="146" t="e">
        <f t="shared" si="26"/>
        <v>#REF!</v>
      </c>
      <c r="AM108" s="146">
        <f t="shared" si="16"/>
        <v>3267.0050206719384</v>
      </c>
      <c r="AN108" s="133">
        <f>'Price Deck'!E67*F108+N108*'Price Deck'!T67+(V108*'Price Deck'!K67/$AB$3)</f>
        <v>89557.67060114471</v>
      </c>
      <c r="AO108" s="133">
        <f t="shared" si="17"/>
        <v>27.412774095683826</v>
      </c>
      <c r="AP108" s="133" t="e">
        <f>'Production Costs '!$N$22*(1+'Production Costs '!$P$2)^(AL108)</f>
        <v>#REF!</v>
      </c>
      <c r="AQ108" s="133" t="e">
        <f>'Production Costs '!$N$23*(1+'Production Costs '!$P$2)^AL108</f>
        <v>#REF!</v>
      </c>
      <c r="AR108" s="162">
        <f>-'Oil Royalties'!W73</f>
        <v>-12.356481565831034</v>
      </c>
      <c r="AS108" s="162">
        <f>-'Butane Royalties'!AD73</f>
        <v>-3.9328495425868382</v>
      </c>
      <c r="AT108" s="162">
        <f>-'Propane Royalties'!AD73</f>
        <v>-4.7271800647362312</v>
      </c>
      <c r="AU108" s="162">
        <f>-'Ethane Royalties'!AH73</f>
        <v>-0.33268292682926837</v>
      </c>
      <c r="AV108" s="162">
        <f>-'Natural Gas Royalties'!AB73</f>
        <v>-0.11420216931958305</v>
      </c>
      <c r="AW108" s="133" t="e">
        <f>AN108+AM108*(AP108+AQ108)+(AR108*F108)+(AV108*(V108/$AB$3))+(AS108*'Butane Royalties'!K78)+(AT108*'Propane Royalties'!K78)+(AU108*'Ethane Royalties'!K78)</f>
        <v>#REF!</v>
      </c>
      <c r="AX108" s="133" t="e">
        <f t="shared" si="18"/>
        <v>#REF!</v>
      </c>
      <c r="AY108" s="133">
        <f t="shared" si="11"/>
        <v>19482.412614974153</v>
      </c>
      <c r="AZ108" s="133">
        <f t="shared" si="12"/>
        <v>757952.12031988811</v>
      </c>
      <c r="BA108" s="133" t="e">
        <f t="shared" si="6"/>
        <v>#REF!</v>
      </c>
      <c r="BB108" s="133" t="e">
        <f t="shared" si="19"/>
        <v>#REF!</v>
      </c>
      <c r="BC108" s="133" t="e">
        <f t="shared" si="8"/>
        <v>#REF!</v>
      </c>
      <c r="BD108" s="133" t="e">
        <f t="shared" si="9"/>
        <v>#REF!</v>
      </c>
      <c r="BE108" s="133" t="e">
        <f t="shared" si="23"/>
        <v>#REF!</v>
      </c>
      <c r="BF108" s="133"/>
    </row>
    <row r="109" spans="2:58">
      <c r="B109" s="109" t="e">
        <f>'[1]Oil Production'!#REF!</f>
        <v>#REF!</v>
      </c>
      <c r="C109" s="65"/>
      <c r="D109" s="116">
        <f>'[1]Oil Production'!A70</f>
        <v>64</v>
      </c>
      <c r="E109" s="65">
        <f>'[1]Oil Production'!B70</f>
        <v>43.161888456954287</v>
      </c>
      <c r="F109" s="65">
        <f>'[1]Oil Production'!C70</f>
        <v>1312.8407738990263</v>
      </c>
      <c r="G109" s="65">
        <f>'[1]Oil Production'!D70</f>
        <v>135851.24462153798</v>
      </c>
      <c r="H109" s="95"/>
      <c r="K109" s="109">
        <f>'Liquids Type Curve'!A86</f>
        <v>5.3385574654533174</v>
      </c>
      <c r="L109" s="116">
        <f>'Liquids Type Curve'!B86</f>
        <v>64.062689585439813</v>
      </c>
      <c r="M109" s="65">
        <f>'Liquids Type Curve'!C86</f>
        <v>14.107879097268537</v>
      </c>
      <c r="N109" s="65">
        <f>'Liquids Type Curve'!D86</f>
        <v>429.11465587525134</v>
      </c>
      <c r="O109" s="65">
        <f>'Liquids Type Curve'!E86</f>
        <v>83749.34540150431</v>
      </c>
      <c r="P109" s="250"/>
      <c r="S109" s="112">
        <f>'Gas Type Curve'!A93</f>
        <v>5.3333333333333313</v>
      </c>
      <c r="T109" s="128">
        <f>'Gas Type Curve'!B93</f>
        <v>63.999999999999972</v>
      </c>
      <c r="U109" s="94">
        <f>'Gas Type Curve'!C93</f>
        <v>294.58317068657556</v>
      </c>
      <c r="V109" s="94">
        <f>'Gas Type Curve'!D93</f>
        <v>8960.2381083833407</v>
      </c>
      <c r="W109" s="94">
        <f>'Gas Type Curve'!E93</f>
        <v>1406600.0554398724</v>
      </c>
      <c r="X109" s="250"/>
      <c r="AK109" s="146">
        <f t="shared" si="14"/>
        <v>64</v>
      </c>
      <c r="AL109" s="146" t="e">
        <f t="shared" si="26"/>
        <v>#REF!</v>
      </c>
      <c r="AM109" s="146">
        <f t="shared" si="16"/>
        <v>3235.3284478381679</v>
      </c>
      <c r="AN109" s="133">
        <f>'Price Deck'!E68*F109+N109*'Price Deck'!T68+(V109*'Price Deck'!K68/$AB$3)</f>
        <v>88924.542209613981</v>
      </c>
      <c r="AO109" s="133">
        <f t="shared" si="17"/>
        <v>27.485475939555059</v>
      </c>
      <c r="AP109" s="133" t="e">
        <f>'Production Costs '!$N$22*(1+'Production Costs '!$P$2)^(AL109)</f>
        <v>#REF!</v>
      </c>
      <c r="AQ109" s="133" t="e">
        <f>'Production Costs '!$N$23*(1+'Production Costs '!$P$2)^AL109</f>
        <v>#REF!</v>
      </c>
      <c r="AR109" s="162">
        <f>-'Oil Royalties'!W74</f>
        <v>-12.367387906804613</v>
      </c>
      <c r="AS109" s="162">
        <f>-'Butane Royalties'!AD74</f>
        <v>-3.9072766944647537</v>
      </c>
      <c r="AT109" s="162">
        <f>-'Propane Royalties'!AD74</f>
        <v>-4.7049855694597076</v>
      </c>
      <c r="AU109" s="162">
        <f>-'Ethane Royalties'!AH74</f>
        <v>-0.33268292682926831</v>
      </c>
      <c r="AV109" s="162">
        <f>-'Natural Gas Royalties'!AB74</f>
        <v>-0.11609681352008368</v>
      </c>
      <c r="AW109" s="133" t="e">
        <f>AN109+AM109*(AP109+AQ109)+(AR109*F109)+(AV109*(V109/$AB$3))+(AS109*'Butane Royalties'!K79)+(AT109*'Propane Royalties'!K79)+(AU109*'Ethane Royalties'!K79)</f>
        <v>#REF!</v>
      </c>
      <c r="AX109" s="133" t="e">
        <f t="shared" si="18"/>
        <v>#REF!</v>
      </c>
      <c r="AY109" s="133">
        <f t="shared" si="11"/>
        <v>18994.185780147014</v>
      </c>
      <c r="AZ109" s="133">
        <f t="shared" si="12"/>
        <v>738957.93453974114</v>
      </c>
      <c r="BA109" s="133" t="e">
        <f t="shared" si="6"/>
        <v>#REF!</v>
      </c>
      <c r="BB109" s="133" t="e">
        <f t="shared" si="19"/>
        <v>#REF!</v>
      </c>
      <c r="BC109" s="133" t="e">
        <f t="shared" si="8"/>
        <v>#REF!</v>
      </c>
      <c r="BD109" s="133" t="e">
        <f t="shared" si="9"/>
        <v>#REF!</v>
      </c>
      <c r="BE109" s="133" t="e">
        <f t="shared" si="23"/>
        <v>#REF!</v>
      </c>
      <c r="BF109" s="133"/>
    </row>
    <row r="110" spans="2:58">
      <c r="B110" s="109" t="e">
        <f>'[1]Oil Production'!#REF!</f>
        <v>#REF!</v>
      </c>
      <c r="C110" s="65"/>
      <c r="D110" s="116">
        <f>'[1]Oil Production'!A71</f>
        <v>65</v>
      </c>
      <c r="E110" s="65">
        <f>'[1]Oil Production'!B71</f>
        <v>42.884204955338795</v>
      </c>
      <c r="F110" s="65">
        <f>'[1]Oil Production'!C71</f>
        <v>1304.394567391555</v>
      </c>
      <c r="G110" s="65">
        <f>'[1]Oil Production'!D71</f>
        <v>137155.63918892952</v>
      </c>
      <c r="H110" s="95"/>
      <c r="K110" s="109">
        <f>'Liquids Type Curve'!A87</f>
        <v>5.4218907987866505</v>
      </c>
      <c r="L110" s="116">
        <f>'Liquids Type Curve'!B87</f>
        <v>65.062689585439813</v>
      </c>
      <c r="M110" s="65">
        <f>'Liquids Type Curve'!C87</f>
        <v>13.905665135642371</v>
      </c>
      <c r="N110" s="65">
        <f>'Liquids Type Curve'!D87</f>
        <v>422.96398120912215</v>
      </c>
      <c r="O110" s="65">
        <f>'Liquids Type Curve'!E87</f>
        <v>84172.309382713429</v>
      </c>
      <c r="P110" s="250"/>
      <c r="S110" s="112">
        <f>'Gas Type Curve'!A94</f>
        <v>5.4166666666666643</v>
      </c>
      <c r="T110" s="128">
        <f>'Gas Type Curve'!B94</f>
        <v>64.999999999999972</v>
      </c>
      <c r="U110" s="94">
        <f>'Gas Type Curve'!C94</f>
        <v>291.3751450842135</v>
      </c>
      <c r="V110" s="94">
        <f>'Gas Type Curve'!D94</f>
        <v>8862.6606629781618</v>
      </c>
      <c r="W110" s="94">
        <f>'Gas Type Curve'!E94</f>
        <v>1415462.7161028506</v>
      </c>
      <c r="X110" s="250"/>
      <c r="AK110" s="146">
        <f t="shared" si="14"/>
        <v>65</v>
      </c>
      <c r="AL110" s="146" t="e">
        <f t="shared" si="26"/>
        <v>#REF!</v>
      </c>
      <c r="AM110" s="146">
        <f t="shared" si="16"/>
        <v>3204.4686590970377</v>
      </c>
      <c r="AN110" s="133">
        <f>'Price Deck'!E69*F110+N110*'Price Deck'!T69+(V110*'Price Deck'!K69/$AB$3)</f>
        <v>88285.090197757221</v>
      </c>
      <c r="AO110" s="133">
        <f t="shared" si="17"/>
        <v>27.550617462626203</v>
      </c>
      <c r="AP110" s="133" t="e">
        <f>'Production Costs '!$N$22*(1+'Production Costs '!$P$2)^(AL110)</f>
        <v>#REF!</v>
      </c>
      <c r="AQ110" s="133" t="e">
        <f>'Production Costs '!$N$23*(1+'Production Costs '!$P$2)^AL110</f>
        <v>#REF!</v>
      </c>
      <c r="AR110" s="162">
        <f>-'Oil Royalties'!W75</f>
        <v>-12.367387906804614</v>
      </c>
      <c r="AS110" s="162">
        <f>-'Butane Royalties'!AD75</f>
        <v>-3.8825269362112587</v>
      </c>
      <c r="AT110" s="162">
        <f>-'Propane Royalties'!AD75</f>
        <v>-4.683505428099231</v>
      </c>
      <c r="AU110" s="162">
        <f>-'Ethane Royalties'!AH75</f>
        <v>-0.33268292682926831</v>
      </c>
      <c r="AV110" s="162">
        <f>-'Natural Gas Royalties'!AB75</f>
        <v>-0.11812212283786024</v>
      </c>
      <c r="AW110" s="133" t="e">
        <f>AN110+AM110*(AP110+AQ110)+(AR110*F110)+(AV110*(V110/$AB$3))+(AS110*'Butane Royalties'!K80)+(AT110*'Propane Royalties'!K80)+(AU110*'Ethane Royalties'!K80)</f>
        <v>#REF!</v>
      </c>
      <c r="AX110" s="133" t="e">
        <f t="shared" si="18"/>
        <v>#REF!</v>
      </c>
      <c r="AY110" s="133">
        <f t="shared" si="11"/>
        <v>18518.193849022824</v>
      </c>
      <c r="AZ110" s="133">
        <f t="shared" si="12"/>
        <v>720439.74069071829</v>
      </c>
      <c r="BA110" s="133" t="e">
        <f t="shared" si="6"/>
        <v>#REF!</v>
      </c>
      <c r="BB110" s="133" t="e">
        <f t="shared" si="19"/>
        <v>#REF!</v>
      </c>
      <c r="BC110" s="133" t="e">
        <f t="shared" si="8"/>
        <v>#REF!</v>
      </c>
      <c r="BD110" s="133" t="e">
        <f t="shared" si="9"/>
        <v>#REF!</v>
      </c>
      <c r="BE110" s="133" t="e">
        <f t="shared" si="23"/>
        <v>#REF!</v>
      </c>
      <c r="BF110" s="133"/>
    </row>
    <row r="111" spans="2:58">
      <c r="B111" s="109" t="e">
        <f>'[1]Oil Production'!#REF!</f>
        <v>#REF!</v>
      </c>
      <c r="C111" s="65"/>
      <c r="D111" s="116">
        <f>'[1]Oil Production'!A72</f>
        <v>66</v>
      </c>
      <c r="E111" s="65">
        <f>'[1]Oil Production'!B72</f>
        <v>42.612506900851024</v>
      </c>
      <c r="F111" s="65">
        <f>'[1]Oil Production'!C72</f>
        <v>1296.1304182342187</v>
      </c>
      <c r="G111" s="65">
        <f>'[1]Oil Production'!D72</f>
        <v>138451.76960716373</v>
      </c>
      <c r="H111" s="95"/>
      <c r="K111" s="109">
        <f>'Liquids Type Curve'!A88</f>
        <v>5.5052241321199835</v>
      </c>
      <c r="L111" s="116">
        <f>'Liquids Type Curve'!B88</f>
        <v>66.062689585439799</v>
      </c>
      <c r="M111" s="65">
        <f>'Liquids Type Curve'!C88</f>
        <v>13.709368222804653</v>
      </c>
      <c r="N111" s="65">
        <f>'Liquids Type Curve'!D88</f>
        <v>416.99328344364153</v>
      </c>
      <c r="O111" s="65">
        <f>'Liquids Type Curve'!E88</f>
        <v>84589.302666157077</v>
      </c>
      <c r="P111" s="250"/>
      <c r="S111" s="112">
        <f>'Gas Type Curve'!A95</f>
        <v>5.4999999999999973</v>
      </c>
      <c r="T111" s="128">
        <f>'Gas Type Curve'!B95</f>
        <v>65.999999999999972</v>
      </c>
      <c r="U111" s="94">
        <f>'Gas Type Curve'!C95</f>
        <v>288.25024033709803</v>
      </c>
      <c r="V111" s="94">
        <f>'Gas Type Curve'!D95</f>
        <v>8767.6114769200649</v>
      </c>
      <c r="W111" s="94">
        <f>'Gas Type Curve'!E95</f>
        <v>1424230.3275797707</v>
      </c>
      <c r="X111" s="250"/>
      <c r="AK111" s="146">
        <f t="shared" si="14"/>
        <v>66</v>
      </c>
      <c r="AL111" s="146" t="e">
        <f t="shared" si="26"/>
        <v>#REF!</v>
      </c>
      <c r="AM111" s="146">
        <f t="shared" si="16"/>
        <v>3174.392281164538</v>
      </c>
      <c r="AN111" s="133">
        <f>'Price Deck'!E70*F111+N111*'Price Deck'!T70+(V111*'Price Deck'!K70/$AB$3)</f>
        <v>87600.863347586564</v>
      </c>
      <c r="AO111" s="133">
        <f t="shared" si="17"/>
        <v>27.596105203308348</v>
      </c>
      <c r="AP111" s="133" t="e">
        <f>'Production Costs '!$N$22*(1+'Production Costs '!$P$2)^(AL111)</f>
        <v>#REF!</v>
      </c>
      <c r="AQ111" s="133" t="e">
        <f>'Production Costs '!$N$23*(1+'Production Costs '!$P$2)^AL111</f>
        <v>#REF!</v>
      </c>
      <c r="AR111" s="162">
        <f>-'Oil Royalties'!W76</f>
        <v>-12.356481565831034</v>
      </c>
      <c r="AS111" s="162">
        <f>-'Butane Royalties'!AD76</f>
        <v>-3.8585607228324084</v>
      </c>
      <c r="AT111" s="162">
        <f>-'Propane Royalties'!AD76</f>
        <v>-4.662705319832301</v>
      </c>
      <c r="AU111" s="162">
        <f>-'Ethane Royalties'!AH76</f>
        <v>-0.33268292682926837</v>
      </c>
      <c r="AV111" s="162">
        <f>-'Natural Gas Royalties'!AB76</f>
        <v>-0.11897144610015359</v>
      </c>
      <c r="AW111" s="133" t="e">
        <f>AN111+AM111*(AP111+AQ111)+(AR111*F111)+(AV111*(V111/$AB$3))+(AS111*'Butane Royalties'!K81)+(AT111*'Propane Royalties'!K81)+(AU111*'Ethane Royalties'!K81)</f>
        <v>#REF!</v>
      </c>
      <c r="AX111" s="133" t="e">
        <f t="shared" si="18"/>
        <v>#REF!</v>
      </c>
      <c r="AY111" s="133">
        <f t="shared" si="11"/>
        <v>18054.130216437869</v>
      </c>
      <c r="AZ111" s="133">
        <f t="shared" si="12"/>
        <v>702385.61047428043</v>
      </c>
      <c r="BA111" s="133" t="e">
        <f t="shared" ref="BA111:BA174" si="27">AW111-AY111</f>
        <v>#REF!</v>
      </c>
      <c r="BB111" s="133" t="e">
        <f t="shared" si="19"/>
        <v>#REF!</v>
      </c>
      <c r="BC111" s="133" t="e">
        <f t="shared" ref="BC111:BC174" si="28">BA111*$AD$3</f>
        <v>#REF!</v>
      </c>
      <c r="BD111" s="133" t="e">
        <f t="shared" ref="BD111:BD174" si="29">BB111-BC111</f>
        <v>#REF!</v>
      </c>
      <c r="BE111" s="133" t="e">
        <f t="shared" si="23"/>
        <v>#REF!</v>
      </c>
      <c r="BF111" s="133"/>
    </row>
    <row r="112" spans="2:58">
      <c r="B112" s="109" t="e">
        <f>'[1]Oil Production'!#REF!</f>
        <v>#REF!</v>
      </c>
      <c r="C112" s="65"/>
      <c r="D112" s="116">
        <f>'[1]Oil Production'!A73</f>
        <v>67</v>
      </c>
      <c r="E112" s="65">
        <f>'[1]Oil Production'!B73</f>
        <v>42.346577481032071</v>
      </c>
      <c r="F112" s="65">
        <f>'[1]Oil Production'!C73</f>
        <v>1288.0417317147255</v>
      </c>
      <c r="G112" s="65">
        <f>'[1]Oil Production'!D73</f>
        <v>139739.81133887847</v>
      </c>
      <c r="H112" s="95"/>
      <c r="K112" s="109">
        <f>'Liquids Type Curve'!A89</f>
        <v>5.5885574654533166</v>
      </c>
      <c r="L112" s="116">
        <f>'Liquids Type Curve'!B89</f>
        <v>67.062689585439799</v>
      </c>
      <c r="M112" s="65">
        <f>'Liquids Type Curve'!C89</f>
        <v>13.518729524179966</v>
      </c>
      <c r="N112" s="65">
        <f>'Liquids Type Curve'!D89</f>
        <v>411.19468969380728</v>
      </c>
      <c r="O112" s="65">
        <f>'Liquids Type Curve'!E89</f>
        <v>85000.497355850879</v>
      </c>
      <c r="P112" s="250"/>
      <c r="S112" s="112">
        <f>'Gas Type Curve'!A96</f>
        <v>5.5833333333333304</v>
      </c>
      <c r="T112" s="128">
        <f>'Gas Type Curve'!B96</f>
        <v>66.999999999999972</v>
      </c>
      <c r="U112" s="94">
        <f>'Gas Type Curve'!C96</f>
        <v>285.20509160311786</v>
      </c>
      <c r="V112" s="94">
        <f>'Gas Type Curve'!D96</f>
        <v>8674.9882029281689</v>
      </c>
      <c r="W112" s="94">
        <f>'Gas Type Curve'!E96</f>
        <v>1432905.3157826988</v>
      </c>
      <c r="X112" s="250"/>
      <c r="AK112" s="146">
        <f t="shared" si="14"/>
        <v>67</v>
      </c>
      <c r="AL112" s="146" t="e">
        <f t="shared" si="26"/>
        <v>#REF!</v>
      </c>
      <c r="AM112" s="146">
        <f t="shared" si="16"/>
        <v>3145.0677885632276</v>
      </c>
      <c r="AN112" s="133">
        <f>'Price Deck'!E71*F112+N112*'Price Deck'!T71+(V112*'Price Deck'!K71/$AB$3)</f>
        <v>86920.915267059725</v>
      </c>
      <c r="AO112" s="133">
        <f t="shared" si="17"/>
        <v>27.637215192353011</v>
      </c>
      <c r="AP112" s="133" t="e">
        <f>'Production Costs '!$N$22*(1+'Production Costs '!$P$2)^(AL112)</f>
        <v>#REF!</v>
      </c>
      <c r="AQ112" s="133" t="e">
        <f>'Production Costs '!$N$23*(1+'Production Costs '!$P$2)^AL112</f>
        <v>#REF!</v>
      </c>
      <c r="AR112" s="162">
        <f>-'Oil Royalties'!W77</f>
        <v>-12.351030150264361</v>
      </c>
      <c r="AS112" s="162">
        <f>-'Butane Royalties'!AD77</f>
        <v>-3.8353410161609447</v>
      </c>
      <c r="AT112" s="162">
        <f>-'Propane Royalties'!AD77</f>
        <v>-4.6425530994936901</v>
      </c>
      <c r="AU112" s="162">
        <f>-'Ethane Royalties'!AH77</f>
        <v>-0.33268292682926837</v>
      </c>
      <c r="AV112" s="162">
        <f>-'Natural Gas Royalties'!AB77</f>
        <v>-0.1189714461001536</v>
      </c>
      <c r="AW112" s="133" t="e">
        <f>AN112+AM112*(AP112+AQ112)+(AR112*F112)+(AV112*(V112/$AB$3))+(AS112*'Butane Royalties'!K82)+(AT112*'Propane Royalties'!K82)+(AU112*'Ethane Royalties'!K82)</f>
        <v>#REF!</v>
      </c>
      <c r="AX112" s="133" t="e">
        <f t="shared" si="18"/>
        <v>#REF!</v>
      </c>
      <c r="AY112" s="133">
        <f t="shared" ref="AY112:AY175" si="30">AZ111*$AD$3/12</f>
        <v>17601.695960715679</v>
      </c>
      <c r="AZ112" s="133">
        <f t="shared" si="12"/>
        <v>684783.91451356479</v>
      </c>
      <c r="BA112" s="133" t="e">
        <f t="shared" si="27"/>
        <v>#REF!</v>
      </c>
      <c r="BB112" s="133" t="e">
        <f t="shared" si="19"/>
        <v>#REF!</v>
      </c>
      <c r="BC112" s="133" t="e">
        <f t="shared" si="28"/>
        <v>#REF!</v>
      </c>
      <c r="BD112" s="133" t="e">
        <f t="shared" si="29"/>
        <v>#REF!</v>
      </c>
      <c r="BE112" s="133" t="e">
        <f t="shared" si="23"/>
        <v>#REF!</v>
      </c>
      <c r="BF112" s="133"/>
    </row>
    <row r="113" spans="2:58">
      <c r="B113" s="109" t="e">
        <f>'[1]Oil Production'!#REF!</f>
        <v>#REF!</v>
      </c>
      <c r="C113" s="65"/>
      <c r="D113" s="116">
        <f>'[1]Oil Production'!A74</f>
        <v>68</v>
      </c>
      <c r="E113" s="65">
        <f>'[1]Oil Production'!B74</f>
        <v>42.086210823479924</v>
      </c>
      <c r="F113" s="65">
        <f>'[1]Oil Production'!C74</f>
        <v>1280.1222458808477</v>
      </c>
      <c r="G113" s="65">
        <f>'[1]Oil Production'!D74</f>
        <v>141019.9335847593</v>
      </c>
      <c r="H113" s="95"/>
      <c r="K113" s="109">
        <f>'Liquids Type Curve'!A90</f>
        <v>5.6718907987866496</v>
      </c>
      <c r="L113" s="116">
        <f>'Liquids Type Curve'!B90</f>
        <v>68.062689585439799</v>
      </c>
      <c r="M113" s="65">
        <f>'Liquids Type Curve'!C90</f>
        <v>13.333505166001077</v>
      </c>
      <c r="N113" s="65">
        <f>'Liquids Type Curve'!D90</f>
        <v>405.56078213253278</v>
      </c>
      <c r="O113" s="65">
        <f>'Liquids Type Curve'!E90</f>
        <v>85406.058137983418</v>
      </c>
      <c r="P113" s="250"/>
      <c r="S113" s="112">
        <f>'Gas Type Curve'!A97</f>
        <v>5.6666666666666634</v>
      </c>
      <c r="T113" s="128">
        <f>'Gas Type Curve'!B97</f>
        <v>67.999999999999957</v>
      </c>
      <c r="U113" s="94">
        <f>'Gas Type Curve'!C97</f>
        <v>282.23651783798016</v>
      </c>
      <c r="V113" s="94">
        <f>'Gas Type Curve'!D97</f>
        <v>8584.6940842385629</v>
      </c>
      <c r="W113" s="94">
        <f>'Gas Type Curve'!E97</f>
        <v>1441490.0098669373</v>
      </c>
      <c r="X113" s="250"/>
      <c r="AK113" s="146">
        <f t="shared" si="14"/>
        <v>68</v>
      </c>
      <c r="AL113" s="146" t="e">
        <f t="shared" si="26"/>
        <v>#REF!</v>
      </c>
      <c r="AM113" s="146">
        <f t="shared" si="16"/>
        <v>3116.4653753864741</v>
      </c>
      <c r="AN113" s="133">
        <f>'Price Deck'!E72*F113+N113*'Price Deck'!T72+(V113*'Price Deck'!K72/$AB$3)</f>
        <v>86310.595824634031</v>
      </c>
      <c r="AO113" s="133">
        <f t="shared" si="17"/>
        <v>27.695027997521269</v>
      </c>
      <c r="AP113" s="133" t="e">
        <f>'Production Costs '!$N$22*(1+'Production Costs '!$P$2)^(AL113)</f>
        <v>#REF!</v>
      </c>
      <c r="AQ113" s="133" t="e">
        <f>'Production Costs '!$N$23*(1+'Production Costs '!$P$2)^AL113</f>
        <v>#REF!</v>
      </c>
      <c r="AR113" s="162">
        <f>-'Oil Royalties'!W78</f>
        <v>-12.351030150264361</v>
      </c>
      <c r="AS113" s="162">
        <f>-'Butane Royalties'!AD78</f>
        <v>-3.8128330886921034</v>
      </c>
      <c r="AT113" s="162">
        <f>-'Propane Royalties'!AD78</f>
        <v>-4.6230186273259211</v>
      </c>
      <c r="AU113" s="162">
        <f>-'Ethane Royalties'!AH78</f>
        <v>-0.33268292682926831</v>
      </c>
      <c r="AV113" s="162">
        <f>-'Natural Gas Royalties'!AB78</f>
        <v>-0.12040876239018859</v>
      </c>
      <c r="AW113" s="133" t="e">
        <f>AN113+AM113*(AP113+AQ113)+(AR113*F113)+(AV113*(V113/$AB$3))+(AS113*'Butane Royalties'!K83)+(AT113*'Propane Royalties'!K83)+(AU113*'Ethane Royalties'!K83)</f>
        <v>#REF!</v>
      </c>
      <c r="AX113" s="133" t="e">
        <f t="shared" si="18"/>
        <v>#REF!</v>
      </c>
      <c r="AY113" s="133">
        <f t="shared" si="30"/>
        <v>17160.59965111977</v>
      </c>
      <c r="AZ113" s="133">
        <f t="shared" si="12"/>
        <v>667623.314862445</v>
      </c>
      <c r="BA113" s="133" t="e">
        <f t="shared" si="27"/>
        <v>#REF!</v>
      </c>
      <c r="BB113" s="133" t="e">
        <f t="shared" si="19"/>
        <v>#REF!</v>
      </c>
      <c r="BC113" s="133" t="e">
        <f t="shared" si="28"/>
        <v>#REF!</v>
      </c>
      <c r="BD113" s="133" t="e">
        <f t="shared" si="29"/>
        <v>#REF!</v>
      </c>
      <c r="BE113" s="133" t="e">
        <f t="shared" si="23"/>
        <v>#REF!</v>
      </c>
      <c r="BF113" s="133"/>
    </row>
    <row r="114" spans="2:58">
      <c r="B114" s="109" t="e">
        <f>'[1]Oil Production'!#REF!</f>
        <v>#REF!</v>
      </c>
      <c r="C114" s="65"/>
      <c r="D114" s="116">
        <f>'[1]Oil Production'!A75</f>
        <v>69</v>
      </c>
      <c r="E114" s="65">
        <f>'[1]Oil Production'!B75</f>
        <v>41.831211292624211</v>
      </c>
      <c r="F114" s="65">
        <f>'[1]Oil Production'!C75</f>
        <v>1272.3660101506532</v>
      </c>
      <c r="G114" s="65">
        <f>'[1]Oil Production'!D75</f>
        <v>142292.29959490994</v>
      </c>
      <c r="H114" s="95"/>
      <c r="K114" s="109">
        <f>'Liquids Type Curve'!A91</f>
        <v>5.7552241321199826</v>
      </c>
      <c r="L114" s="116">
        <f>'Liquids Type Curve'!B91</f>
        <v>69.062689585439784</v>
      </c>
      <c r="M114" s="65">
        <f>'Liquids Type Curve'!C91</f>
        <v>13.153465166356179</v>
      </c>
      <c r="N114" s="65">
        <f>'Liquids Type Curve'!D91</f>
        <v>400.08456547666714</v>
      </c>
      <c r="O114" s="65">
        <f>'Liquids Type Curve'!E91</f>
        <v>85806.142703460078</v>
      </c>
      <c r="P114" s="250"/>
      <c r="S114" s="112">
        <f>'Gas Type Curve'!A98</f>
        <v>5.7499999999999964</v>
      </c>
      <c r="T114" s="128">
        <f>'Gas Type Curve'!B98</f>
        <v>68.999999999999957</v>
      </c>
      <c r="U114" s="94">
        <f>'Gas Type Curve'!C98</f>
        <v>279.34150923188241</v>
      </c>
      <c r="V114" s="94">
        <f>'Gas Type Curve'!D98</f>
        <v>8496.6375724697573</v>
      </c>
      <c r="W114" s="94">
        <f>'Gas Type Curve'!E98</f>
        <v>1449986.647439407</v>
      </c>
      <c r="X114" s="250"/>
      <c r="AK114" s="146">
        <f t="shared" si="14"/>
        <v>69</v>
      </c>
      <c r="AL114" s="146" t="e">
        <f t="shared" si="26"/>
        <v>#REF!</v>
      </c>
      <c r="AM114" s="146">
        <f t="shared" si="16"/>
        <v>3088.5568377056134</v>
      </c>
      <c r="AN114" s="133">
        <f>'Price Deck'!E73*F114+N114*'Price Deck'!T73+(V114*'Price Deck'!K73/$AB$3)</f>
        <v>85822.864830975712</v>
      </c>
      <c r="AO114" s="133">
        <f t="shared" si="17"/>
        <v>27.787367803381816</v>
      </c>
      <c r="AP114" s="133" t="e">
        <f>'Production Costs '!$N$22*(1+'Production Costs '!$P$2)^(AL114)</f>
        <v>#REF!</v>
      </c>
      <c r="AQ114" s="133" t="e">
        <f>'Production Costs '!$N$23*(1+'Production Costs '!$P$2)^AL114</f>
        <v>#REF!</v>
      </c>
      <c r="AR114" s="162">
        <f>-'Oil Royalties'!W79</f>
        <v>-12.367387906804614</v>
      </c>
      <c r="AS114" s="162">
        <f>-'Butane Royalties'!AD79</f>
        <v>-3.7910043455936551</v>
      </c>
      <c r="AT114" s="162">
        <f>-'Propane Royalties'!AD79</f>
        <v>-4.604073614503017</v>
      </c>
      <c r="AU114" s="162">
        <f>-'Ethane Royalties'!AH79</f>
        <v>-0.33268292682926826</v>
      </c>
      <c r="AV114" s="162">
        <f>-'Natural Gas Royalties'!AB79</f>
        <v>-0.12432871590846573</v>
      </c>
      <c r="AW114" s="133" t="e">
        <f>AN114+AM114*(AP114+AQ114)+(AR114*F114)+(AV114*(V114/$AB$3))+(AS114*'Butane Royalties'!K84)+(AT114*'Propane Royalties'!K84)+(AU114*'Ethane Royalties'!K84)</f>
        <v>#REF!</v>
      </c>
      <c r="AX114" s="133" t="e">
        <f t="shared" si="18"/>
        <v>#REF!</v>
      </c>
      <c r="AY114" s="133">
        <f t="shared" si="30"/>
        <v>16730.557160131644</v>
      </c>
      <c r="AZ114" s="133">
        <f t="shared" ref="AZ114:AZ177" si="31">AZ113-AY114</f>
        <v>650892.75770231336</v>
      </c>
      <c r="BA114" s="133" t="e">
        <f t="shared" si="27"/>
        <v>#REF!</v>
      </c>
      <c r="BB114" s="133" t="e">
        <f t="shared" si="19"/>
        <v>#REF!</v>
      </c>
      <c r="BC114" s="133" t="e">
        <f t="shared" si="28"/>
        <v>#REF!</v>
      </c>
      <c r="BD114" s="133" t="e">
        <f t="shared" si="29"/>
        <v>#REF!</v>
      </c>
      <c r="BE114" s="133" t="e">
        <f t="shared" si="23"/>
        <v>#REF!</v>
      </c>
      <c r="BF114" s="133"/>
    </row>
    <row r="115" spans="2:58">
      <c r="B115" s="109" t="e">
        <f>'[1]Oil Production'!#REF!</f>
        <v>#REF!</v>
      </c>
      <c r="C115" s="65"/>
      <c r="D115" s="116">
        <f>'[1]Oil Production'!A76</f>
        <v>70</v>
      </c>
      <c r="E115" s="65">
        <f>'[1]Oil Production'!B76</f>
        <v>41.581392841144748</v>
      </c>
      <c r="F115" s="65">
        <f>'[1]Oil Production'!C76</f>
        <v>1264.7673655848196</v>
      </c>
      <c r="G115" s="65">
        <f>'[1]Oil Production'!D76</f>
        <v>143557.06696049476</v>
      </c>
      <c r="H115" s="95"/>
      <c r="K115" s="109">
        <f>'Liquids Type Curve'!A92</f>
        <v>5.8385574654533157</v>
      </c>
      <c r="L115" s="116">
        <f>'Liquids Type Curve'!B92</f>
        <v>70.062689585439784</v>
      </c>
      <c r="M115" s="65">
        <f>'Liquids Type Curve'!C92</f>
        <v>12.978392456787006</v>
      </c>
      <c r="N115" s="65">
        <f>'Liquids Type Curve'!D92</f>
        <v>394.75943722727146</v>
      </c>
      <c r="O115" s="65">
        <f>'Liquids Type Curve'!E92</f>
        <v>86200.902140687351</v>
      </c>
      <c r="P115" s="250"/>
      <c r="S115" s="112">
        <f>'Gas Type Curve'!A99</f>
        <v>5.8333333333333295</v>
      </c>
      <c r="T115" s="128">
        <f>'Gas Type Curve'!B99</f>
        <v>69.999999999999957</v>
      </c>
      <c r="U115" s="94">
        <f>'Gas Type Curve'!C99</f>
        <v>276.51721567251184</v>
      </c>
      <c r="V115" s="94">
        <f>'Gas Type Curve'!D99</f>
        <v>8410.7319767055687</v>
      </c>
      <c r="W115" s="94">
        <f>'Gas Type Curve'!E99</f>
        <v>1458397.3794161126</v>
      </c>
      <c r="X115" s="250"/>
      <c r="AK115" s="146">
        <f t="shared" si="14"/>
        <v>70</v>
      </c>
      <c r="AL115" s="146" t="e">
        <f t="shared" si="26"/>
        <v>#REF!</v>
      </c>
      <c r="AM115" s="146">
        <f t="shared" si="16"/>
        <v>3061.3154655963526</v>
      </c>
      <c r="AN115" s="133">
        <f>'Price Deck'!E74*F115+N115*'Price Deck'!T74+(V115*'Price Deck'!K74/$AB$3)</f>
        <v>85533.486013821399</v>
      </c>
      <c r="AO115" s="133">
        <f t="shared" si="17"/>
        <v>27.940108419097292</v>
      </c>
      <c r="AP115" s="133" t="e">
        <f>'Production Costs '!$N$22*(1+'Production Costs '!$P$2)^(AL115)</f>
        <v>#REF!</v>
      </c>
      <c r="AQ115" s="133" t="e">
        <f>'Production Costs '!$N$23*(1+'Production Costs '!$P$2)^AL115</f>
        <v>#REF!</v>
      </c>
      <c r="AR115" s="162">
        <f>-'Oil Royalties'!W80</f>
        <v>-12.38921462811269</v>
      </c>
      <c r="AS115" s="162">
        <f>-'Butane Royalties'!AD80</f>
        <v>-3.76982416295276</v>
      </c>
      <c r="AT115" s="162">
        <f>-'Propane Royalties'!AD80</f>
        <v>-4.585691482746121</v>
      </c>
      <c r="AU115" s="162">
        <f>-'Ethane Royalties'!AH80</f>
        <v>-0.33268292682926831</v>
      </c>
      <c r="AV115" s="162">
        <f>-'Natural Gas Royalties'!AB80</f>
        <v>-0.13445526249734846</v>
      </c>
      <c r="AW115" s="133" t="e">
        <f>AN115+AM115*(AP115+AQ115)+(AR115*F115)+(AV115*(V115/$AB$3))+(AS115*'Butane Royalties'!K85)+(AT115*'Propane Royalties'!K85)+(AU115*'Ethane Royalties'!K85)</f>
        <v>#REF!</v>
      </c>
      <c r="AX115" s="133" t="e">
        <f t="shared" si="18"/>
        <v>#REF!</v>
      </c>
      <c r="AY115" s="133">
        <f t="shared" si="30"/>
        <v>16311.29148043305</v>
      </c>
      <c r="AZ115" s="133">
        <f t="shared" si="31"/>
        <v>634581.46622188028</v>
      </c>
      <c r="BA115" s="133" t="e">
        <f t="shared" si="27"/>
        <v>#REF!</v>
      </c>
      <c r="BB115" s="133" t="e">
        <f t="shared" si="19"/>
        <v>#REF!</v>
      </c>
      <c r="BC115" s="133" t="e">
        <f t="shared" si="28"/>
        <v>#REF!</v>
      </c>
      <c r="BD115" s="133" t="e">
        <f t="shared" si="29"/>
        <v>#REF!</v>
      </c>
      <c r="BE115" s="133" t="e">
        <f t="shared" si="23"/>
        <v>#REF!</v>
      </c>
      <c r="BF115" s="133"/>
    </row>
    <row r="116" spans="2:58">
      <c r="B116" s="109" t="e">
        <f>'[1]Oil Production'!#REF!</f>
        <v>#REF!</v>
      </c>
      <c r="C116" s="65"/>
      <c r="D116" s="116">
        <f>'[1]Oil Production'!A77</f>
        <v>71</v>
      </c>
      <c r="E116" s="65">
        <f>'[1]Oil Production'!B77</f>
        <v>41.336578411075351</v>
      </c>
      <c r="F116" s="65">
        <f>'[1]Oil Production'!C77</f>
        <v>1257.3209266702086</v>
      </c>
      <c r="G116" s="65">
        <f>'[1]Oil Production'!D77</f>
        <v>144814.38788716498</v>
      </c>
      <c r="H116" s="95"/>
      <c r="K116" s="109">
        <f>'Liquids Type Curve'!A93</f>
        <v>5.9218907987866487</v>
      </c>
      <c r="L116" s="116">
        <f>'Liquids Type Curve'!B93</f>
        <v>71.062689585439784</v>
      </c>
      <c r="M116" s="65">
        <f>'Liquids Type Curve'!C93</f>
        <v>12.808081985600456</v>
      </c>
      <c r="N116" s="65">
        <f>'Liquids Type Curve'!D93</f>
        <v>389.57916039534723</v>
      </c>
      <c r="O116" s="65">
        <f>'Liquids Type Curve'!E93</f>
        <v>86590.481301082691</v>
      </c>
      <c r="P116" s="250"/>
      <c r="S116" s="112">
        <f>'Gas Type Curve'!A100</f>
        <v>5.9166666666666625</v>
      </c>
      <c r="T116" s="128">
        <f>'Gas Type Curve'!B100</f>
        <v>70.999999999999943</v>
      </c>
      <c r="U116" s="94">
        <f>'Gas Type Curve'!C100</f>
        <v>273.76093613722043</v>
      </c>
      <c r="V116" s="94">
        <f>'Gas Type Curve'!D100</f>
        <v>8326.8951408404555</v>
      </c>
      <c r="W116" s="94">
        <f>'Gas Type Curve'!E100</f>
        <v>1466724.274556953</v>
      </c>
      <c r="X116" s="250"/>
      <c r="AK116" s="146">
        <f t="shared" si="14"/>
        <v>71</v>
      </c>
      <c r="AL116" s="146" t="e">
        <f t="shared" si="26"/>
        <v>#REF!</v>
      </c>
      <c r="AM116" s="146">
        <f t="shared" si="16"/>
        <v>3034.7159438722983</v>
      </c>
      <c r="AN116" s="133">
        <f>'Price Deck'!E75*F116+N116*'Price Deck'!T75+(V116*'Price Deck'!K75/$AB$3)</f>
        <v>85477.802937217144</v>
      </c>
      <c r="AO116" s="133">
        <f t="shared" si="17"/>
        <v>28.166656951802693</v>
      </c>
      <c r="AP116" s="133" t="e">
        <f>'Production Costs '!$N$22*(1+'Production Costs '!$P$2)^(AL116)</f>
        <v>#REF!</v>
      </c>
      <c r="AQ116" s="133" t="e">
        <f>'Production Costs '!$N$23*(1+'Production Costs '!$P$2)^AL116</f>
        <v>#REF!</v>
      </c>
      <c r="AR116" s="162">
        <f>-'Oil Royalties'!W81</f>
        <v>-12.345579904644431</v>
      </c>
      <c r="AS116" s="162">
        <f>-'Butane Royalties'!AD81</f>
        <v>-4.6040921183376806</v>
      </c>
      <c r="AT116" s="162">
        <f>-'Propane Royalties'!AD81</f>
        <v>-4.9633663329613791</v>
      </c>
      <c r="AU116" s="162">
        <f>-'Ethane Royalties'!AH81</f>
        <v>-0.33804878048780496</v>
      </c>
      <c r="AV116" s="162">
        <f>-'Natural Gas Royalties'!AB81</f>
        <v>-0.14255649976845466</v>
      </c>
      <c r="AW116" s="133" t="e">
        <f>AN116+AM116*(AP116+AQ116)+(AR116*F116)+(AV116*(V116/$AB$3))+(AS116*'Butane Royalties'!K86)+(AT116*'Propane Royalties'!K86)+(AU116*'Ethane Royalties'!K86)</f>
        <v>#REF!</v>
      </c>
      <c r="AX116" s="133" t="e">
        <f t="shared" si="18"/>
        <v>#REF!</v>
      </c>
      <c r="AY116" s="133">
        <f t="shared" si="30"/>
        <v>15902.532546474637</v>
      </c>
      <c r="AZ116" s="133">
        <f t="shared" si="31"/>
        <v>618678.93367540569</v>
      </c>
      <c r="BA116" s="133" t="e">
        <f t="shared" si="27"/>
        <v>#REF!</v>
      </c>
      <c r="BB116" s="133" t="e">
        <f t="shared" si="19"/>
        <v>#REF!</v>
      </c>
      <c r="BC116" s="133" t="e">
        <f t="shared" si="28"/>
        <v>#REF!</v>
      </c>
      <c r="BD116" s="133" t="e">
        <f t="shared" si="29"/>
        <v>#REF!</v>
      </c>
      <c r="BE116" s="133" t="e">
        <f t="shared" si="23"/>
        <v>#REF!</v>
      </c>
      <c r="BF116" s="133"/>
    </row>
    <row r="117" spans="2:58">
      <c r="B117" s="109" t="e">
        <f>'[1]Oil Production'!#REF!</f>
        <v>#REF!</v>
      </c>
      <c r="C117" s="65"/>
      <c r="D117" s="116">
        <f>'[1]Oil Production'!A78</f>
        <v>72</v>
      </c>
      <c r="E117" s="65">
        <f>'[1]Oil Production'!B78</f>
        <v>41.096599380146493</v>
      </c>
      <c r="F117" s="65">
        <f>'[1]Oil Production'!C78</f>
        <v>1250.0215644794559</v>
      </c>
      <c r="G117" s="65">
        <f>'[1]Oil Production'!D78</f>
        <v>146064.40945164443</v>
      </c>
      <c r="H117" s="95"/>
      <c r="K117" s="109">
        <f>'Liquids Type Curve'!A94</f>
        <v>6.0052241321199817</v>
      </c>
      <c r="L117" s="116">
        <f>'Liquids Type Curve'!B94</f>
        <v>72.062689585439784</v>
      </c>
      <c r="M117" s="65">
        <f>'Liquids Type Curve'!C94</f>
        <v>12.642339895029579</v>
      </c>
      <c r="N117" s="65">
        <f>'Liquids Type Curve'!D94</f>
        <v>384.53783847381641</v>
      </c>
      <c r="O117" s="65">
        <f>'Liquids Type Curve'!E94</f>
        <v>86975.019139556505</v>
      </c>
      <c r="P117" s="250"/>
      <c r="S117" s="112">
        <f>'Gas Type Curve'!A101</f>
        <v>5.9999999999999956</v>
      </c>
      <c r="T117" s="128">
        <f>'Gas Type Curve'!B101</f>
        <v>71.999999999999943</v>
      </c>
      <c r="U117" s="94">
        <f>'Gas Type Curve'!C101</f>
        <v>271.0701089276551</v>
      </c>
      <c r="V117" s="94">
        <f>'Gas Type Curve'!D101</f>
        <v>8245.0491465495088</v>
      </c>
      <c r="W117" s="94">
        <f>'Gas Type Curve'!E101</f>
        <v>1474969.3237035025</v>
      </c>
      <c r="X117" s="250"/>
      <c r="AK117" s="146">
        <f t="shared" si="14"/>
        <v>72</v>
      </c>
      <c r="AL117" s="146" t="e">
        <f>$B$117</f>
        <v>#REF!</v>
      </c>
      <c r="AM117" s="146">
        <f t="shared" si="16"/>
        <v>3008.7342607115238</v>
      </c>
      <c r="AN117" s="133">
        <f>'Price Deck'!E76*F117+N117*'Price Deck'!T76+(V117*'Price Deck'!K76/$AB$3)</f>
        <v>84804.499479732724</v>
      </c>
      <c r="AO117" s="133">
        <f t="shared" si="17"/>
        <v>28.186104897039872</v>
      </c>
      <c r="AP117" s="133" t="e">
        <f>'Production Costs '!$N$22*(1+'Production Costs '!$P$2)^(AL117)</f>
        <v>#REF!</v>
      </c>
      <c r="AQ117" s="133" t="e">
        <f>'Production Costs '!$N$23*(1+'Production Costs '!$P$2)^AL117</f>
        <v>#REF!</v>
      </c>
      <c r="AR117" s="162">
        <f>-'Oil Royalties'!W82</f>
        <v>-12.345579904644431</v>
      </c>
      <c r="AS117" s="162">
        <f>-'Butane Royalties'!AD82</f>
        <v>-4.5833214455178561</v>
      </c>
      <c r="AT117" s="162">
        <f>-'Propane Royalties'!AD82</f>
        <v>-4.9454354064949264</v>
      </c>
      <c r="AU117" s="162">
        <f>-'Ethane Royalties'!AH82</f>
        <v>-0.33804878048780496</v>
      </c>
      <c r="AV117" s="162">
        <f>-'Natural Gas Royalties'!AB82</f>
        <v>-0.14013919509885039</v>
      </c>
      <c r="AW117" s="133" t="e">
        <f>AN117+AM117*(AP117+AQ117)+(AR117*F117)+(AV117*(V117/$AB$3))+(AS117*'Butane Royalties'!K87)+(AT117*'Propane Royalties'!K87)+(AU117*'Ethane Royalties'!K87)</f>
        <v>#REF!</v>
      </c>
      <c r="AX117" s="133" t="e">
        <f t="shared" si="18"/>
        <v>#REF!</v>
      </c>
      <c r="AY117" s="133">
        <f t="shared" si="30"/>
        <v>15504.017060516117</v>
      </c>
      <c r="AZ117" s="133">
        <f t="shared" si="31"/>
        <v>603174.91661488952</v>
      </c>
      <c r="BA117" s="133" t="e">
        <f t="shared" si="27"/>
        <v>#REF!</v>
      </c>
      <c r="BB117" s="133" t="e">
        <f t="shared" si="19"/>
        <v>#REF!</v>
      </c>
      <c r="BC117" s="133" t="e">
        <f t="shared" si="28"/>
        <v>#REF!</v>
      </c>
      <c r="BD117" s="133" t="e">
        <f t="shared" si="29"/>
        <v>#REF!</v>
      </c>
      <c r="BE117" s="133" t="e">
        <f t="shared" si="23"/>
        <v>#REF!</v>
      </c>
      <c r="BF117" s="133"/>
    </row>
    <row r="118" spans="2:58">
      <c r="B118" s="109" t="e">
        <f>'[1]Oil Production'!#REF!</f>
        <v>#REF!</v>
      </c>
      <c r="C118" s="65" t="e">
        <f>B117</f>
        <v>#REF!</v>
      </c>
      <c r="D118" s="116">
        <f>'[1]Oil Production'!A79</f>
        <v>73</v>
      </c>
      <c r="E118" s="65">
        <f>'[1]Oil Production'!B79</f>
        <v>40.861295049374426</v>
      </c>
      <c r="F118" s="65">
        <f>'[1]Oil Production'!C79</f>
        <v>1242.8643910851388</v>
      </c>
      <c r="G118" s="65">
        <f>'[1]Oil Production'!D79</f>
        <v>147307.27384272957</v>
      </c>
      <c r="H118" s="95" t="e">
        <f>IF(C118&gt;0,((E118-E106)/(E106)),0)</f>
        <v>#REF!</v>
      </c>
      <c r="K118" s="109">
        <f>'Liquids Type Curve'!A95</f>
        <v>6.0885574654533148</v>
      </c>
      <c r="L118" s="116">
        <f>'Liquids Type Curve'!B95</f>
        <v>73.062689585439784</v>
      </c>
      <c r="M118" s="65">
        <f>'Liquids Type Curve'!C95</f>
        <v>12.480982765233662</v>
      </c>
      <c r="N118" s="65">
        <f>'Liquids Type Curve'!D95</f>
        <v>379.6298924425239</v>
      </c>
      <c r="O118" s="65">
        <f>'Liquids Type Curve'!E95</f>
        <v>87354.649031999026</v>
      </c>
      <c r="P118" s="250" t="e">
        <f t="shared" si="24"/>
        <v>#REF!</v>
      </c>
      <c r="S118" s="112">
        <f>'Gas Type Curve'!A102</f>
        <v>6.0833333333333286</v>
      </c>
      <c r="T118" s="128">
        <f>'Gas Type Curve'!B102</f>
        <v>72.999999999999943</v>
      </c>
      <c r="U118" s="94">
        <f>'Gas Type Curve'!C102</f>
        <v>268.44230266928741</v>
      </c>
      <c r="V118" s="94">
        <f>'Gas Type Curve'!D102</f>
        <v>8165.1200395241594</v>
      </c>
      <c r="W118" s="94">
        <f>'Gas Type Curve'!E102</f>
        <v>1483134.4437430266</v>
      </c>
      <c r="X118" s="250" t="e">
        <f t="shared" si="20"/>
        <v>#REF!</v>
      </c>
      <c r="AK118" s="146">
        <f t="shared" si="14"/>
        <v>73</v>
      </c>
      <c r="AL118" s="146" t="e">
        <f t="shared" ref="AL118:AL128" si="32">$B$117</f>
        <v>#REF!</v>
      </c>
      <c r="AM118" s="146">
        <f t="shared" si="16"/>
        <v>2983.347623448356</v>
      </c>
      <c r="AN118" s="133">
        <f>'Price Deck'!E77*F118+N118*'Price Deck'!T77+(V118*'Price Deck'!K77/$AB$3)</f>
        <v>84095.868830151565</v>
      </c>
      <c r="AO118" s="133">
        <f t="shared" si="17"/>
        <v>28.188424362343614</v>
      </c>
      <c r="AP118" s="133" t="e">
        <f>'Production Costs '!$N$22*(1+'Production Costs '!$P$2)^(AL118)</f>
        <v>#REF!</v>
      </c>
      <c r="AQ118" s="133" t="e">
        <f>'Production Costs '!$N$23*(1+'Production Costs '!$P$2)^AL118</f>
        <v>#REF!</v>
      </c>
      <c r="AR118" s="162">
        <f>-'Oil Royalties'!W83</f>
        <v>-12.345579904644431</v>
      </c>
      <c r="AS118" s="162">
        <f>-'Butane Royalties'!AD83</f>
        <v>-4.5631406817497959</v>
      </c>
      <c r="AT118" s="162">
        <f>-'Propane Royalties'!AD83</f>
        <v>-4.9280137372836794</v>
      </c>
      <c r="AU118" s="162">
        <f>-'Ethane Royalties'!AH83</f>
        <v>-0.3380487804878049</v>
      </c>
      <c r="AV118" s="162">
        <f>-'Natural Gas Royalties'!AB83</f>
        <v>-0.13589257878738342</v>
      </c>
      <c r="AW118" s="133" t="e">
        <f>AN118+AM118*(AP118+AQ118)+(AR118*F118)+(AV118*(V118/$AB$3))+(AS118*'Butane Royalties'!K88)+(AT118*'Propane Royalties'!K88)+(AU118*'Ethane Royalties'!K88)</f>
        <v>#REF!</v>
      </c>
      <c r="AX118" s="133" t="e">
        <f t="shared" si="18"/>
        <v>#REF!</v>
      </c>
      <c r="AY118" s="133">
        <f t="shared" si="30"/>
        <v>15115.488323025775</v>
      </c>
      <c r="AZ118" s="133">
        <f t="shared" si="31"/>
        <v>588059.42829186376</v>
      </c>
      <c r="BA118" s="133" t="e">
        <f t="shared" si="27"/>
        <v>#REF!</v>
      </c>
      <c r="BB118" s="133" t="e">
        <f t="shared" si="19"/>
        <v>#REF!</v>
      </c>
      <c r="BC118" s="133" t="e">
        <f t="shared" si="28"/>
        <v>#REF!</v>
      </c>
      <c r="BD118" s="133" t="e">
        <f t="shared" si="29"/>
        <v>#REF!</v>
      </c>
      <c r="BE118" s="133" t="e">
        <f t="shared" si="23"/>
        <v>#REF!</v>
      </c>
      <c r="BF118" s="133"/>
    </row>
    <row r="119" spans="2:58">
      <c r="B119" s="109" t="e">
        <f>'[1]Oil Production'!#REF!</f>
        <v>#REF!</v>
      </c>
      <c r="C119" s="65"/>
      <c r="D119" s="116">
        <f>'[1]Oil Production'!A80</f>
        <v>74</v>
      </c>
      <c r="E119" s="65">
        <f>'[1]Oil Production'!B80</f>
        <v>40.630512168306097</v>
      </c>
      <c r="F119" s="65">
        <f>'[1]Oil Production'!C80</f>
        <v>1235.8447451193106</v>
      </c>
      <c r="G119" s="65">
        <f>'[1]Oil Production'!D80</f>
        <v>148543.11858784888</v>
      </c>
      <c r="H119" s="95"/>
      <c r="K119" s="109">
        <f>'Liquids Type Curve'!A96</f>
        <v>6.1718907987866478</v>
      </c>
      <c r="L119" s="116">
        <f>'Liquids Type Curve'!B96</f>
        <v>74.06268958543977</v>
      </c>
      <c r="M119" s="65">
        <f>'Liquids Type Curve'!C96</f>
        <v>12.32383691887879</v>
      </c>
      <c r="N119" s="65">
        <f>'Liquids Type Curve'!D96</f>
        <v>374.85003961589655</v>
      </c>
      <c r="O119" s="65">
        <f>'Liquids Type Curve'!E96</f>
        <v>87729.499071614919</v>
      </c>
      <c r="P119" s="250"/>
      <c r="S119" s="112">
        <f>'Gas Type Curve'!A103</f>
        <v>6.1666666666666616</v>
      </c>
      <c r="T119" s="128">
        <f>'Gas Type Curve'!B103</f>
        <v>73.999999999999943</v>
      </c>
      <c r="U119" s="94">
        <f>'Gas Type Curve'!C103</f>
        <v>265.87520800638481</v>
      </c>
      <c r="V119" s="94">
        <f>'Gas Type Curve'!D103</f>
        <v>8087.0375768608719</v>
      </c>
      <c r="W119" s="94">
        <f>'Gas Type Curve'!E103</f>
        <v>1491221.4813198876</v>
      </c>
      <c r="X119" s="250"/>
      <c r="AK119" s="146">
        <f t="shared" si="14"/>
        <v>74</v>
      </c>
      <c r="AL119" s="146" t="e">
        <f t="shared" si="32"/>
        <v>#REF!</v>
      </c>
      <c r="AM119" s="146">
        <f t="shared" si="16"/>
        <v>2958.5343808786856</v>
      </c>
      <c r="AN119" s="133">
        <f>'Price Deck'!E78*F119+N119*'Price Deck'!T78+(V119*'Price Deck'!K78/$AB$3)</f>
        <v>83146.773059788175</v>
      </c>
      <c r="AO119" s="133">
        <f t="shared" si="17"/>
        <v>28.104041513654323</v>
      </c>
      <c r="AP119" s="133" t="e">
        <f>'Production Costs '!$N$22*(1+'Production Costs '!$P$2)^(AL119)</f>
        <v>#REF!</v>
      </c>
      <c r="AQ119" s="133" t="e">
        <f>'Production Costs '!$N$23*(1+'Production Costs '!$P$2)^AL119</f>
        <v>#REF!</v>
      </c>
      <c r="AR119" s="162">
        <f>-'Oil Royalties'!W84</f>
        <v>-12.345579904644431</v>
      </c>
      <c r="AS119" s="162">
        <f>-'Butane Royalties'!AD84</f>
        <v>-4.5435247697965373</v>
      </c>
      <c r="AT119" s="162">
        <f>-'Propane Royalties'!AD84</f>
        <v>-4.9110796938919528</v>
      </c>
      <c r="AU119" s="162">
        <f>-'Ethane Royalties'!AH84</f>
        <v>-0.33804878048780496</v>
      </c>
      <c r="AV119" s="162">
        <f>-'Natural Gas Royalties'!AB84</f>
        <v>-0.12217274147341331</v>
      </c>
      <c r="AW119" s="133" t="e">
        <f>AN119+AM119*(AP119+AQ119)+(AR119*F119)+(AV119*(V119/$AB$3))+(AS119*'Butane Royalties'!K89)+(AT119*'Propane Royalties'!K89)+(AU119*'Ethane Royalties'!K89)</f>
        <v>#REF!</v>
      </c>
      <c r="AX119" s="133" t="e">
        <f t="shared" si="18"/>
        <v>#REF!</v>
      </c>
      <c r="AY119" s="133">
        <f t="shared" si="30"/>
        <v>14736.696067330226</v>
      </c>
      <c r="AZ119" s="133">
        <f t="shared" si="31"/>
        <v>573322.73222453357</v>
      </c>
      <c r="BA119" s="133" t="e">
        <f t="shared" si="27"/>
        <v>#REF!</v>
      </c>
      <c r="BB119" s="133" t="e">
        <f t="shared" si="19"/>
        <v>#REF!</v>
      </c>
      <c r="BC119" s="133" t="e">
        <f t="shared" si="28"/>
        <v>#REF!</v>
      </c>
      <c r="BD119" s="133" t="e">
        <f t="shared" si="29"/>
        <v>#REF!</v>
      </c>
      <c r="BE119" s="133" t="e">
        <f t="shared" si="23"/>
        <v>#REF!</v>
      </c>
      <c r="BF119" s="133"/>
    </row>
    <row r="120" spans="2:58">
      <c r="B120" s="109" t="e">
        <f>'[1]Oil Production'!#REF!</f>
        <v>#REF!</v>
      </c>
      <c r="C120" s="65"/>
      <c r="D120" s="116">
        <f>'[1]Oil Production'!A81</f>
        <v>75</v>
      </c>
      <c r="E120" s="65">
        <f>'[1]Oil Production'!B81</f>
        <v>40.404104494685576</v>
      </c>
      <c r="F120" s="65">
        <f>'[1]Oil Production'!C81</f>
        <v>1228.9581783800197</v>
      </c>
      <c r="G120" s="65">
        <f>'[1]Oil Production'!D81</f>
        <v>149772.07676622889</v>
      </c>
      <c r="H120" s="95"/>
      <c r="K120" s="109">
        <f>'Liquids Type Curve'!A97</f>
        <v>6.2552241321199809</v>
      </c>
      <c r="L120" s="116">
        <f>'Liquids Type Curve'!B97</f>
        <v>75.06268958543977</v>
      </c>
      <c r="M120" s="65">
        <f>'Liquids Type Curve'!C97</f>
        <v>12.170737780701495</v>
      </c>
      <c r="N120" s="65">
        <f>'Liquids Type Curve'!D97</f>
        <v>370.19327416300382</v>
      </c>
      <c r="O120" s="65">
        <f>'Liquids Type Curve'!E97</f>
        <v>88099.692345777919</v>
      </c>
      <c r="P120" s="250"/>
      <c r="S120" s="112">
        <f>'Gas Type Curve'!A104</f>
        <v>6.2499999999999947</v>
      </c>
      <c r="T120" s="128">
        <f>'Gas Type Curve'!B104</f>
        <v>74.999999999999943</v>
      </c>
      <c r="U120" s="94">
        <f>'Gas Type Curve'!C104</f>
        <v>263.36662993011549</v>
      </c>
      <c r="V120" s="94">
        <f>'Gas Type Curve'!D104</f>
        <v>8010.7349937076797</v>
      </c>
      <c r="W120" s="94">
        <f>'Gas Type Curve'!E104</f>
        <v>1499232.2163135952</v>
      </c>
      <c r="X120" s="250"/>
      <c r="AK120" s="146">
        <f t="shared" si="14"/>
        <v>75</v>
      </c>
      <c r="AL120" s="146" t="e">
        <f t="shared" si="32"/>
        <v>#REF!</v>
      </c>
      <c r="AM120" s="146">
        <f t="shared" si="16"/>
        <v>2934.2739514943032</v>
      </c>
      <c r="AN120" s="133">
        <f>'Price Deck'!E79*F120+N120*'Price Deck'!T79+(V120*'Price Deck'!K79/$AB$3)</f>
        <v>82532.485928718292</v>
      </c>
      <c r="AO120" s="133">
        <f t="shared" si="17"/>
        <v>28.127055378277799</v>
      </c>
      <c r="AP120" s="133" t="e">
        <f>'Production Costs '!$N$22*(1+'Production Costs '!$P$2)^(AL120)</f>
        <v>#REF!</v>
      </c>
      <c r="AQ120" s="133" t="e">
        <f>'Production Costs '!$N$23*(1+'Production Costs '!$P$2)^AL120</f>
        <v>#REF!</v>
      </c>
      <c r="AR120" s="162">
        <f>-'Oil Royalties'!W85</f>
        <v>-12.334682923244795</v>
      </c>
      <c r="AS120" s="162">
        <f>-'Butane Royalties'!AD85</f>
        <v>-4.5244500593816239</v>
      </c>
      <c r="AT120" s="162">
        <f>-'Propane Royalties'!AD85</f>
        <v>-4.8946128594862701</v>
      </c>
      <c r="AU120" s="162">
        <f>-'Ethane Royalties'!AH85</f>
        <v>-0.33804878048780496</v>
      </c>
      <c r="AV120" s="162">
        <f>-'Natural Gas Royalties'!AB85</f>
        <v>-0.12119275309384397</v>
      </c>
      <c r="AW120" s="133" t="e">
        <f>AN120+AM120*(AP120+AQ120)+(AR120*F120)+(AV120*(V120/$AB$3))+(AS120*'Butane Royalties'!K90)+(AT120*'Propane Royalties'!K90)+(AU120*'Ethane Royalties'!K90)</f>
        <v>#REF!</v>
      </c>
      <c r="AX120" s="133" t="e">
        <f t="shared" si="18"/>
        <v>#REF!</v>
      </c>
      <c r="AY120" s="133">
        <f t="shared" si="30"/>
        <v>14367.396298407753</v>
      </c>
      <c r="AZ120" s="133">
        <f t="shared" si="31"/>
        <v>558955.33592612576</v>
      </c>
      <c r="BA120" s="133" t="e">
        <f t="shared" si="27"/>
        <v>#REF!</v>
      </c>
      <c r="BB120" s="133" t="e">
        <f t="shared" si="19"/>
        <v>#REF!</v>
      </c>
      <c r="BC120" s="133" t="e">
        <f t="shared" si="28"/>
        <v>#REF!</v>
      </c>
      <c r="BD120" s="133" t="e">
        <f t="shared" si="29"/>
        <v>#REF!</v>
      </c>
      <c r="BE120" s="133" t="e">
        <f t="shared" si="23"/>
        <v>#REF!</v>
      </c>
      <c r="BF120" s="133"/>
    </row>
    <row r="121" spans="2:58">
      <c r="B121" s="109" t="e">
        <f>'[1]Oil Production'!#REF!</f>
        <v>#REF!</v>
      </c>
      <c r="C121" s="65"/>
      <c r="D121" s="116">
        <f>'[1]Oil Production'!A82</f>
        <v>76</v>
      </c>
      <c r="E121" s="65">
        <f>'[1]Oil Production'!B82</f>
        <v>40.181932385624272</v>
      </c>
      <c r="F121" s="65">
        <f>'[1]Oil Production'!C82</f>
        <v>1222.2004433960717</v>
      </c>
      <c r="G121" s="65">
        <f>'[1]Oil Production'!D82</f>
        <v>150994.27720962497</v>
      </c>
      <c r="H121" s="95"/>
      <c r="K121" s="109">
        <f>'Liquids Type Curve'!A98</f>
        <v>6.3385574654533139</v>
      </c>
      <c r="L121" s="116">
        <f>'Liquids Type Curve'!B98</f>
        <v>76.06268958543977</v>
      </c>
      <c r="M121" s="65">
        <f>'Liquids Type Curve'!C98</f>
        <v>12.021529287042206</v>
      </c>
      <c r="N121" s="65">
        <f>'Liquids Type Curve'!D98</f>
        <v>365.65484914753381</v>
      </c>
      <c r="O121" s="65">
        <f>'Liquids Type Curve'!E98</f>
        <v>88465.34719492546</v>
      </c>
      <c r="P121" s="250"/>
      <c r="S121" s="112">
        <f>'Gas Type Curve'!A105</f>
        <v>6.3333333333333277</v>
      </c>
      <c r="T121" s="128">
        <f>'Gas Type Curve'!B105</f>
        <v>75.999999999999929</v>
      </c>
      <c r="U121" s="94">
        <f>'Gas Type Curve'!C105</f>
        <v>260.91448068380782</v>
      </c>
      <c r="V121" s="94">
        <f>'Gas Type Curve'!D105</f>
        <v>7936.1487874658214</v>
      </c>
      <c r="W121" s="94">
        <f>'Gas Type Curve'!E105</f>
        <v>1507168.3651010611</v>
      </c>
      <c r="X121" s="250"/>
      <c r="AK121" s="146">
        <f t="shared" si="14"/>
        <v>76</v>
      </c>
      <c r="AL121" s="146" t="e">
        <f t="shared" si="32"/>
        <v>#REF!</v>
      </c>
      <c r="AM121" s="146">
        <f t="shared" si="16"/>
        <v>2910.5467571212425</v>
      </c>
      <c r="AN121" s="133">
        <f>'Price Deck'!E80*F121+N121*'Price Deck'!T80+(V121*'Price Deck'!K80/$AB$3)</f>
        <v>82018.947457371556</v>
      </c>
      <c r="AO121" s="133">
        <f t="shared" si="17"/>
        <v>28.179910615315002</v>
      </c>
      <c r="AP121" s="133" t="e">
        <f>'Production Costs '!$N$22*(1+'Production Costs '!$P$2)^(AL121)</f>
        <v>#REF!</v>
      </c>
      <c r="AQ121" s="133" t="e">
        <f>'Production Costs '!$N$23*(1+'Production Costs '!$P$2)^AL121</f>
        <v>#REF!</v>
      </c>
      <c r="AR121" s="162">
        <f>-'Oil Royalties'!W86</f>
        <v>-12.329236187465098</v>
      </c>
      <c r="AS121" s="162">
        <f>-'Butane Royalties'!AD86</f>
        <v>-4.5058942094921441</v>
      </c>
      <c r="AT121" s="162">
        <f>-'Propane Royalties'!AD86</f>
        <v>-4.8785939474954514</v>
      </c>
      <c r="AU121" s="162">
        <f>-'Ethane Royalties'!AH86</f>
        <v>-0.3380487804878049</v>
      </c>
      <c r="AV121" s="162">
        <f>-'Natural Gas Royalties'!AB86</f>
        <v>-0.12308739729434467</v>
      </c>
      <c r="AW121" s="133" t="e">
        <f>AN121+AM121*(AP121+AQ121)+(AR121*F121)+(AV121*(V121/$AB$3))+(AS121*'Butane Royalties'!K91)+(AT121*'Propane Royalties'!K91)+(AU121*'Ethane Royalties'!K91)</f>
        <v>#REF!</v>
      </c>
      <c r="AX121" s="133" t="e">
        <f t="shared" si="18"/>
        <v>#REF!</v>
      </c>
      <c r="AY121" s="133">
        <f t="shared" si="30"/>
        <v>14007.351135721516</v>
      </c>
      <c r="AZ121" s="133">
        <f t="shared" si="31"/>
        <v>544947.98479040421</v>
      </c>
      <c r="BA121" s="133" t="e">
        <f t="shared" si="27"/>
        <v>#REF!</v>
      </c>
      <c r="BB121" s="133" t="e">
        <f t="shared" si="19"/>
        <v>#REF!</v>
      </c>
      <c r="BC121" s="133" t="e">
        <f t="shared" si="28"/>
        <v>#REF!</v>
      </c>
      <c r="BD121" s="133" t="e">
        <f t="shared" si="29"/>
        <v>#REF!</v>
      </c>
      <c r="BE121" s="133" t="e">
        <f t="shared" ref="BE121:BE152" si="33">BD121/(1+$AC$3)^AL121</f>
        <v>#REF!</v>
      </c>
      <c r="BF121" s="133"/>
    </row>
    <row r="122" spans="2:58">
      <c r="B122" s="109" t="e">
        <f>'[1]Oil Production'!#REF!</f>
        <v>#REF!</v>
      </c>
      <c r="C122" s="65"/>
      <c r="D122" s="116">
        <f>'[1]Oil Production'!A83</f>
        <v>77</v>
      </c>
      <c r="E122" s="65">
        <f>'[1]Oil Production'!B83</f>
        <v>39.963862417640144</v>
      </c>
      <c r="F122" s="65">
        <f>'[1]Oil Production'!C83</f>
        <v>1215.5674818698878</v>
      </c>
      <c r="G122" s="65">
        <f>'[1]Oil Production'!D83</f>
        <v>152209.84469149486</v>
      </c>
      <c r="H122" s="95"/>
      <c r="K122" s="109">
        <f>'Liquids Type Curve'!A99</f>
        <v>6.4218907987866469</v>
      </c>
      <c r="L122" s="116">
        <f>'Liquids Type Curve'!B99</f>
        <v>77.062689585439756</v>
      </c>
      <c r="M122" s="65">
        <f>'Liquids Type Curve'!C99</f>
        <v>11.876063340851779</v>
      </c>
      <c r="N122" s="65">
        <f>'Liquids Type Curve'!D99</f>
        <v>361.23025995090831</v>
      </c>
      <c r="O122" s="65">
        <f>'Liquids Type Curve'!E99</f>
        <v>88826.577454876373</v>
      </c>
      <c r="P122" s="250"/>
      <c r="S122" s="112">
        <f>'Gas Type Curve'!A106</f>
        <v>6.4166666666666607</v>
      </c>
      <c r="T122" s="128">
        <f>'Gas Type Curve'!B106</f>
        <v>76.999999999999929</v>
      </c>
      <c r="U122" s="94">
        <f>'Gas Type Curve'!C106</f>
        <v>258.51677319499987</v>
      </c>
      <c r="V122" s="94">
        <f>'Gas Type Curve'!D106</f>
        <v>7863.2185180145798</v>
      </c>
      <c r="W122" s="94">
        <f>'Gas Type Curve'!E106</f>
        <v>1515031.5836190756</v>
      </c>
      <c r="X122" s="250"/>
      <c r="AK122" s="146">
        <f t="shared" ref="AK122:AK185" si="34">D122</f>
        <v>77</v>
      </c>
      <c r="AL122" s="146" t="e">
        <f t="shared" si="32"/>
        <v>#REF!</v>
      </c>
      <c r="AM122" s="146">
        <f t="shared" ref="AM122:AM185" si="35">F122+N122+(V122/$AB$3)</f>
        <v>2887.3341614898927</v>
      </c>
      <c r="AN122" s="133">
        <f>'Price Deck'!E81*F122+N122*'Price Deck'!T81+(V122*'Price Deck'!K81/$AB$3)</f>
        <v>81569.698140065288</v>
      </c>
      <c r="AO122" s="133">
        <f t="shared" ref="AO122:AO185" si="36">AN122/(F122+N122+(V122/$AB$3))</f>
        <v>28.250868648322481</v>
      </c>
      <c r="AP122" s="133" t="e">
        <f>'Production Costs '!$N$22*(1+'Production Costs '!$P$2)^(AL122)</f>
        <v>#REF!</v>
      </c>
      <c r="AQ122" s="133" t="e">
        <f>'Production Costs '!$N$23*(1+'Production Costs '!$P$2)^AL122</f>
        <v>#REF!</v>
      </c>
      <c r="AR122" s="162">
        <f>-'Oil Royalties'!W87</f>
        <v>-12.283491680072487</v>
      </c>
      <c r="AS122" s="162">
        <f>-'Butane Royalties'!AD87</f>
        <v>-4.48783609872787</v>
      </c>
      <c r="AT122" s="162">
        <f>-'Propane Royalties'!AD87</f>
        <v>-4.8630047242167436</v>
      </c>
      <c r="AU122" s="162">
        <f>-'Ethane Royalties'!AH87</f>
        <v>-0.33804878048780496</v>
      </c>
      <c r="AV122" s="162">
        <f>-'Natural Gas Royalties'!AB87</f>
        <v>-0.12517803917075915</v>
      </c>
      <c r="AW122" s="133" t="e">
        <f>AN122+AM122*(AP122+AQ122)+(AR122*F122)+(AV122*(V122/$AB$3))+(AS122*'Butane Royalties'!K92)+(AT122*'Propane Royalties'!K92)+(AU122*'Ethane Royalties'!K92)</f>
        <v>#REF!</v>
      </c>
      <c r="AX122" s="133" t="e">
        <f t="shared" ref="AX122:AX185" si="37">AW122/AM122</f>
        <v>#REF!</v>
      </c>
      <c r="AY122" s="133">
        <f t="shared" si="30"/>
        <v>13656.328659991306</v>
      </c>
      <c r="AZ122" s="133">
        <f t="shared" si="31"/>
        <v>531291.65613041294</v>
      </c>
      <c r="BA122" s="133" t="e">
        <f t="shared" si="27"/>
        <v>#REF!</v>
      </c>
      <c r="BB122" s="133" t="e">
        <f t="shared" ref="BB122:BB185" si="38">AW122</f>
        <v>#REF!</v>
      </c>
      <c r="BC122" s="133" t="e">
        <f t="shared" si="28"/>
        <v>#REF!</v>
      </c>
      <c r="BD122" s="133" t="e">
        <f t="shared" si="29"/>
        <v>#REF!</v>
      </c>
      <c r="BE122" s="133" t="e">
        <f t="shared" si="33"/>
        <v>#REF!</v>
      </c>
      <c r="BF122" s="133"/>
    </row>
    <row r="123" spans="2:58">
      <c r="B123" s="109" t="e">
        <f>'[1]Oil Production'!#REF!</f>
        <v>#REF!</v>
      </c>
      <c r="C123" s="65"/>
      <c r="D123" s="116">
        <f>'[1]Oil Production'!A84</f>
        <v>78</v>
      </c>
      <c r="E123" s="65">
        <f>'[1]Oil Production'!B84</f>
        <v>39.749767033181648</v>
      </c>
      <c r="F123" s="65">
        <f>'[1]Oil Production'!C84</f>
        <v>1209.0554139259418</v>
      </c>
      <c r="G123" s="65">
        <f>'[1]Oil Production'!D84</f>
        <v>153418.90010542079</v>
      </c>
      <c r="H123" s="95"/>
      <c r="K123" s="109">
        <f>'Liquids Type Curve'!A100</f>
        <v>6.50522413211998</v>
      </c>
      <c r="L123" s="116">
        <f>'Liquids Type Curve'!B100</f>
        <v>78.062689585439756</v>
      </c>
      <c r="M123" s="65">
        <f>'Liquids Type Curve'!C100</f>
        <v>11.734199308130824</v>
      </c>
      <c r="N123" s="65">
        <f>'Liquids Type Curve'!D100</f>
        <v>356.91522895564594</v>
      </c>
      <c r="O123" s="65">
        <f>'Liquids Type Curve'!E100</f>
        <v>89183.492683832024</v>
      </c>
      <c r="P123" s="250"/>
      <c r="S123" s="112">
        <f>'Gas Type Curve'!A107</f>
        <v>6.4999999999999938</v>
      </c>
      <c r="T123" s="128">
        <f>'Gas Type Curve'!B107</f>
        <v>77.999999999999929</v>
      </c>
      <c r="U123" s="94">
        <f>'Gas Type Curve'!C107</f>
        <v>256.17161498890295</v>
      </c>
      <c r="V123" s="94">
        <f>'Gas Type Curve'!D107</f>
        <v>7791.8866225791317</v>
      </c>
      <c r="W123" s="94">
        <f>'Gas Type Curve'!E107</f>
        <v>1522823.4702416547</v>
      </c>
      <c r="X123" s="250"/>
      <c r="AK123" s="146">
        <f t="shared" si="34"/>
        <v>78</v>
      </c>
      <c r="AL123" s="146" t="e">
        <f t="shared" si="32"/>
        <v>#REF!</v>
      </c>
      <c r="AM123" s="146">
        <f t="shared" si="35"/>
        <v>2864.618413311443</v>
      </c>
      <c r="AN123" s="133">
        <f>'Price Deck'!E82*F123+N123*'Price Deck'!T82+(V123*'Price Deck'!K82/$AB$3)</f>
        <v>81071.679902165793</v>
      </c>
      <c r="AO123" s="133">
        <f t="shared" si="36"/>
        <v>28.301039861168984</v>
      </c>
      <c r="AP123" s="133" t="e">
        <f>'Production Costs '!$N$22*(1+'Production Costs '!$P$2)^(AL123)</f>
        <v>#REF!</v>
      </c>
      <c r="AQ123" s="133" t="e">
        <f>'Production Costs '!$N$23*(1+'Production Costs '!$P$2)^AL123</f>
        <v>#REF!</v>
      </c>
      <c r="AR123" s="162">
        <f>-'Oil Royalties'!W88</f>
        <v>-12.196660700478722</v>
      </c>
      <c r="AS123" s="162">
        <f>-'Butane Royalties'!AD88</f>
        <v>-4.4702557429327685</v>
      </c>
      <c r="AT123" s="162">
        <f>-'Propane Royalties'!AD88</f>
        <v>-4.8478279377086455</v>
      </c>
      <c r="AU123" s="162">
        <f>-'Ethane Royalties'!AH88</f>
        <v>-0.3380487804878049</v>
      </c>
      <c r="AV123" s="162">
        <f>-'Natural Gas Royalties'!AB88</f>
        <v>-0.12641935778488023</v>
      </c>
      <c r="AW123" s="133" t="e">
        <f>AN123+AM123*(AP123+AQ123)+(AR123*F123)+(AV123*(V123/$AB$3))+(AS123*'Butane Royalties'!K93)+(AT123*'Propane Royalties'!K93)+(AU123*'Ethane Royalties'!K93)</f>
        <v>#REF!</v>
      </c>
      <c r="AX123" s="133" t="e">
        <f t="shared" si="37"/>
        <v>#REF!</v>
      </c>
      <c r="AY123" s="133">
        <f t="shared" si="30"/>
        <v>13314.102763805216</v>
      </c>
      <c r="AZ123" s="133">
        <f t="shared" si="31"/>
        <v>517977.55336660775</v>
      </c>
      <c r="BA123" s="133" t="e">
        <f t="shared" si="27"/>
        <v>#REF!</v>
      </c>
      <c r="BB123" s="133" t="e">
        <f t="shared" si="38"/>
        <v>#REF!</v>
      </c>
      <c r="BC123" s="133" t="e">
        <f t="shared" si="28"/>
        <v>#REF!</v>
      </c>
      <c r="BD123" s="133" t="e">
        <f t="shared" si="29"/>
        <v>#REF!</v>
      </c>
      <c r="BE123" s="133" t="e">
        <f t="shared" si="33"/>
        <v>#REF!</v>
      </c>
      <c r="BF123" s="133"/>
    </row>
    <row r="124" spans="2:58">
      <c r="B124" s="109" t="e">
        <f>'[1]Oil Production'!#REF!</f>
        <v>#REF!</v>
      </c>
      <c r="C124" s="65"/>
      <c r="D124" s="116">
        <f>'[1]Oil Production'!A85</f>
        <v>79</v>
      </c>
      <c r="E124" s="65">
        <f>'[1]Oil Production'!B85</f>
        <v>39.53952421147725</v>
      </c>
      <c r="F124" s="65">
        <f>'[1]Oil Production'!C85</f>
        <v>1202.6605280990998</v>
      </c>
      <c r="G124" s="65">
        <f>'[1]Oil Production'!D85</f>
        <v>154621.5606335199</v>
      </c>
      <c r="H124" s="95"/>
      <c r="K124" s="109">
        <f>'Liquids Type Curve'!A101</f>
        <v>6.588557465453313</v>
      </c>
      <c r="L124" s="116">
        <f>'Liquids Type Curve'!B101</f>
        <v>79.062689585439756</v>
      </c>
      <c r="M124" s="65">
        <f>'Liquids Type Curve'!C101</f>
        <v>11.595803552167947</v>
      </c>
      <c r="N124" s="65">
        <f>'Liquids Type Curve'!D101</f>
        <v>352.70569137844171</v>
      </c>
      <c r="O124" s="65">
        <f>'Liquids Type Curve'!E101</f>
        <v>89536.198375210472</v>
      </c>
      <c r="P124" s="250"/>
      <c r="S124" s="112">
        <f>'Gas Type Curve'!A108</f>
        <v>6.5833333333333268</v>
      </c>
      <c r="T124" s="128">
        <f>'Gas Type Curve'!B108</f>
        <v>78.999999999999915</v>
      </c>
      <c r="U124" s="94">
        <f>'Gas Type Curve'!C108</f>
        <v>253.87720254232948</v>
      </c>
      <c r="V124" s="94">
        <f>'Gas Type Curve'!D108</f>
        <v>7722.0982439958552</v>
      </c>
      <c r="W124" s="94">
        <f>'Gas Type Curve'!E108</f>
        <v>1530545.5684856505</v>
      </c>
      <c r="X124" s="250"/>
      <c r="AK124" s="146">
        <f t="shared" si="34"/>
        <v>79</v>
      </c>
      <c r="AL124" s="146" t="e">
        <f t="shared" si="32"/>
        <v>#REF!</v>
      </c>
      <c r="AM124" s="146">
        <f t="shared" si="35"/>
        <v>2842.3825934768511</v>
      </c>
      <c r="AN124" s="133">
        <f>'Price Deck'!E83*F124+N124*'Price Deck'!T83+(V124*'Price Deck'!K83/$AB$3)</f>
        <v>80534.404722490304</v>
      </c>
      <c r="AO124" s="133">
        <f t="shared" si="36"/>
        <v>28.33341468784441</v>
      </c>
      <c r="AP124" s="133" t="e">
        <f>'Production Costs '!$N$22*(1+'Production Costs '!$P$2)^(AL124)</f>
        <v>#REF!</v>
      </c>
      <c r="AQ124" s="133" t="e">
        <f>'Production Costs '!$N$23*(1+'Production Costs '!$P$2)^AL124</f>
        <v>#REF!</v>
      </c>
      <c r="AR124" s="162">
        <f>-'Oil Royalties'!W89</f>
        <v>-12.100581517780997</v>
      </c>
      <c r="AS124" s="162">
        <f>-'Butane Royalties'!AD89</f>
        <v>-4.4531342194268948</v>
      </c>
      <c r="AT124" s="162">
        <f>-'Propane Royalties'!AD89</f>
        <v>-4.8330472523817631</v>
      </c>
      <c r="AU124" s="162">
        <f>-'Ethane Royalties'!AH89</f>
        <v>-0.33804878048780496</v>
      </c>
      <c r="AV124" s="162">
        <f>-'Natural Gas Royalties'!AB89</f>
        <v>-0.12668068801943205</v>
      </c>
      <c r="AW124" s="133" t="e">
        <f>AN124+AM124*(AP124+AQ124)+(AR124*F124)+(AV124*(V124/$AB$3))+(AS124*'Butane Royalties'!K94)+(AT124*'Propane Royalties'!K94)+(AU124*'Ethane Royalties'!K94)</f>
        <v>#REF!</v>
      </c>
      <c r="AX124" s="133" t="e">
        <f t="shared" si="37"/>
        <v>#REF!</v>
      </c>
      <c r="AY124" s="133">
        <f t="shared" si="30"/>
        <v>12980.453005974929</v>
      </c>
      <c r="AZ124" s="133">
        <f t="shared" si="31"/>
        <v>504997.10036063282</v>
      </c>
      <c r="BA124" s="133" t="e">
        <f t="shared" si="27"/>
        <v>#REF!</v>
      </c>
      <c r="BB124" s="133" t="e">
        <f t="shared" si="38"/>
        <v>#REF!</v>
      </c>
      <c r="BC124" s="133" t="e">
        <f t="shared" si="28"/>
        <v>#REF!</v>
      </c>
      <c r="BD124" s="133" t="e">
        <f t="shared" si="29"/>
        <v>#REF!</v>
      </c>
      <c r="BE124" s="133" t="e">
        <f t="shared" si="33"/>
        <v>#REF!</v>
      </c>
      <c r="BF124" s="133"/>
    </row>
    <row r="125" spans="2:58">
      <c r="B125" s="109" t="e">
        <f>'[1]Oil Production'!#REF!</f>
        <v>#REF!</v>
      </c>
      <c r="C125" s="65"/>
      <c r="D125" s="116">
        <f>'[1]Oil Production'!A86</f>
        <v>80</v>
      </c>
      <c r="E125" s="65">
        <f>'[1]Oil Production'!B86</f>
        <v>39.333017161752664</v>
      </c>
      <c r="F125" s="65">
        <f>'[1]Oil Production'!C86</f>
        <v>1196.3792720033102</v>
      </c>
      <c r="G125" s="65">
        <f>'[1]Oil Production'!D86</f>
        <v>155817.93990552321</v>
      </c>
      <c r="H125" s="95"/>
      <c r="K125" s="109">
        <f>'Liquids Type Curve'!A102</f>
        <v>6.671890798786646</v>
      </c>
      <c r="L125" s="116">
        <f>'Liquids Type Curve'!B102</f>
        <v>80.062689585439756</v>
      </c>
      <c r="M125" s="65">
        <f>'Liquids Type Curve'!C102</f>
        <v>11.460749002302375</v>
      </c>
      <c r="N125" s="65">
        <f>'Liquids Type Curve'!D102</f>
        <v>348.59778215336394</v>
      </c>
      <c r="O125" s="65">
        <f>'Liquids Type Curve'!E102</f>
        <v>89884.796157363831</v>
      </c>
      <c r="P125" s="250"/>
      <c r="S125" s="112">
        <f>'Gas Type Curve'!A109</f>
        <v>6.6666666666666599</v>
      </c>
      <c r="T125" s="128">
        <f>'Gas Type Curve'!B109</f>
        <v>79.999999999999915</v>
      </c>
      <c r="U125" s="94">
        <f>'Gas Type Curve'!C109</f>
        <v>251.63181604109829</v>
      </c>
      <c r="V125" s="94">
        <f>'Gas Type Curve'!D109</f>
        <v>7653.8010712500736</v>
      </c>
      <c r="W125" s="94">
        <f>'Gas Type Curve'!E109</f>
        <v>1538199.3695569006</v>
      </c>
      <c r="X125" s="250"/>
      <c r="AK125" s="146">
        <f t="shared" si="34"/>
        <v>80</v>
      </c>
      <c r="AL125" s="146" t="e">
        <f t="shared" si="32"/>
        <v>#REF!</v>
      </c>
      <c r="AM125" s="146">
        <f t="shared" si="35"/>
        <v>2820.6105660316862</v>
      </c>
      <c r="AN125" s="133">
        <f>'Price Deck'!E84*F125+N125*'Price Deck'!T84+(V125*'Price Deck'!K84/$AB$3)</f>
        <v>80059.48784274506</v>
      </c>
      <c r="AO125" s="133">
        <f t="shared" si="36"/>
        <v>28.383743862727091</v>
      </c>
      <c r="AP125" s="133" t="e">
        <f>'Production Costs '!$N$22*(1+'Production Costs '!$P$2)^(AL125)</f>
        <v>#REF!</v>
      </c>
      <c r="AQ125" s="133" t="e">
        <f>'Production Costs '!$N$23*(1+'Production Costs '!$P$2)^AL125</f>
        <v>#REF!</v>
      </c>
      <c r="AR125" s="162">
        <f>-'Oil Royalties'!W90</f>
        <v>-12.01147084848154</v>
      </c>
      <c r="AS125" s="162">
        <f>-'Butane Royalties'!AD90</f>
        <v>-4.4364535972288905</v>
      </c>
      <c r="AT125" s="162">
        <f>-'Propane Royalties'!AD90</f>
        <v>-4.8186471887612132</v>
      </c>
      <c r="AU125" s="162">
        <f>-'Ethane Royalties'!AH90</f>
        <v>-0.33804878048780496</v>
      </c>
      <c r="AV125" s="162">
        <f>-'Natural Gas Royalties'!AB90</f>
        <v>-0.12850999966129473</v>
      </c>
      <c r="AW125" s="133" t="e">
        <f>AN125+AM125*(AP125+AQ125)+(AR125*F125)+(AV125*(V125/$AB$3))+(AS125*'Butane Royalties'!K95)+(AT125*'Propane Royalties'!K95)+(AU125*'Ethane Royalties'!K95)</f>
        <v>#REF!</v>
      </c>
      <c r="AX125" s="133" t="e">
        <f t="shared" si="37"/>
        <v>#REF!</v>
      </c>
      <c r="AY125" s="133">
        <f t="shared" si="30"/>
        <v>12655.164469540859</v>
      </c>
      <c r="AZ125" s="133">
        <f t="shared" si="31"/>
        <v>492341.93589109194</v>
      </c>
      <c r="BA125" s="133" t="e">
        <f t="shared" si="27"/>
        <v>#REF!</v>
      </c>
      <c r="BB125" s="133" t="e">
        <f t="shared" si="38"/>
        <v>#REF!</v>
      </c>
      <c r="BC125" s="133" t="e">
        <f t="shared" si="28"/>
        <v>#REF!</v>
      </c>
      <c r="BD125" s="133" t="e">
        <f t="shared" si="29"/>
        <v>#REF!</v>
      </c>
      <c r="BE125" s="133" t="e">
        <f t="shared" si="33"/>
        <v>#REF!</v>
      </c>
      <c r="BF125" s="133"/>
    </row>
    <row r="126" spans="2:58">
      <c r="B126" s="109" t="e">
        <f>'[1]Oil Production'!#REF!</f>
        <v>#REF!</v>
      </c>
      <c r="C126" s="65"/>
      <c r="D126" s="116">
        <f>'[1]Oil Production'!A87</f>
        <v>81</v>
      </c>
      <c r="E126" s="65">
        <f>'[1]Oil Production'!B87</f>
        <v>39.130134037036903</v>
      </c>
      <c r="F126" s="65">
        <f>'[1]Oil Production'!C87</f>
        <v>1190.2082436265391</v>
      </c>
      <c r="G126" s="65">
        <f>'[1]Oil Production'!D87</f>
        <v>157008.14814914975</v>
      </c>
      <c r="H126" s="95"/>
      <c r="K126" s="109">
        <f>'Liquids Type Curve'!A103</f>
        <v>6.7552241321199791</v>
      </c>
      <c r="L126" s="116">
        <f>'Liquids Type Curve'!B103</f>
        <v>81.062689585439756</v>
      </c>
      <c r="M126" s="65">
        <f>'Liquids Type Curve'!C103</f>
        <v>11.328914754257504</v>
      </c>
      <c r="N126" s="65">
        <f>'Liquids Type Curve'!D103</f>
        <v>344.58782377533242</v>
      </c>
      <c r="O126" s="65">
        <f>'Liquids Type Curve'!E103</f>
        <v>90229.383981139166</v>
      </c>
      <c r="P126" s="250"/>
      <c r="S126" s="112">
        <f>'Gas Type Curve'!A110</f>
        <v>6.7499999999999929</v>
      </c>
      <c r="T126" s="128">
        <f>'Gas Type Curve'!B110</f>
        <v>80.999999999999915</v>
      </c>
      <c r="U126" s="94">
        <f>'Gas Type Curve'!C110</f>
        <v>249.4338145074467</v>
      </c>
      <c r="V126" s="94">
        <f>'Gas Type Curve'!D110</f>
        <v>7586.9451912681707</v>
      </c>
      <c r="W126" s="94">
        <f>'Gas Type Curve'!E110</f>
        <v>1545786.3147481687</v>
      </c>
      <c r="X126" s="250"/>
      <c r="AK126" s="146">
        <f t="shared" si="34"/>
        <v>81</v>
      </c>
      <c r="AL126" s="146" t="e">
        <f t="shared" si="32"/>
        <v>#REF!</v>
      </c>
      <c r="AM126" s="146">
        <f t="shared" si="35"/>
        <v>2799.2869326132331</v>
      </c>
      <c r="AN126" s="133">
        <f>'Price Deck'!E85*F126+N126*'Price Deck'!T85+(V126*'Price Deck'!K85/$AB$3)</f>
        <v>79728.00389506662</v>
      </c>
      <c r="AO126" s="133">
        <f t="shared" si="36"/>
        <v>28.48154041166395</v>
      </c>
      <c r="AP126" s="133" t="e">
        <f>'Production Costs '!$N$22*(1+'Production Costs '!$P$2)^(AL126)</f>
        <v>#REF!</v>
      </c>
      <c r="AQ126" s="133" t="e">
        <f>'Production Costs '!$N$23*(1+'Production Costs '!$P$2)^AL126</f>
        <v>#REF!</v>
      </c>
      <c r="AR126" s="162">
        <f>-'Oil Royalties'!W91</f>
        <v>-11.956109430424414</v>
      </c>
      <c r="AS126" s="162">
        <f>-'Butane Royalties'!AD91</f>
        <v>-4.4201968727228262</v>
      </c>
      <c r="AT126" s="162">
        <f>-'Propane Royalties'!AD91</f>
        <v>-4.8046130679490364</v>
      </c>
      <c r="AU126" s="162">
        <f>-'Ethane Royalties'!AH91</f>
        <v>-0.3380487804878049</v>
      </c>
      <c r="AV126" s="162">
        <f>-'Natural Gas Royalties'!AB91</f>
        <v>-0.13282194853139967</v>
      </c>
      <c r="AW126" s="133" t="e">
        <f>AN126+AM126*(AP126+AQ126)+(AR126*F126)+(AV126*(V126/$AB$3))+(AS126*'Butane Royalties'!K96)+(AT126*'Propane Royalties'!K96)+(AU126*'Ethane Royalties'!K96)</f>
        <v>#REF!</v>
      </c>
      <c r="AX126" s="133" t="e">
        <f t="shared" si="37"/>
        <v>#REF!</v>
      </c>
      <c r="AY126" s="133">
        <f t="shared" si="30"/>
        <v>12338.027623335684</v>
      </c>
      <c r="AZ126" s="133">
        <f t="shared" si="31"/>
        <v>480003.90826775628</v>
      </c>
      <c r="BA126" s="133" t="e">
        <f t="shared" si="27"/>
        <v>#REF!</v>
      </c>
      <c r="BB126" s="133" t="e">
        <f t="shared" si="38"/>
        <v>#REF!</v>
      </c>
      <c r="BC126" s="133" t="e">
        <f t="shared" si="28"/>
        <v>#REF!</v>
      </c>
      <c r="BD126" s="133" t="e">
        <f t="shared" si="29"/>
        <v>#REF!</v>
      </c>
      <c r="BE126" s="133" t="e">
        <f t="shared" si="33"/>
        <v>#REF!</v>
      </c>
      <c r="BF126" s="133"/>
    </row>
    <row r="127" spans="2:58">
      <c r="B127" s="109" t="e">
        <f>'[1]Oil Production'!#REF!</f>
        <v>#REF!</v>
      </c>
      <c r="C127" s="65"/>
      <c r="D127" s="116">
        <f>'[1]Oil Production'!A88</f>
        <v>82</v>
      </c>
      <c r="E127" s="65">
        <f>'[1]Oil Production'!B88</f>
        <v>38.930767666940824</v>
      </c>
      <c r="F127" s="65">
        <f>'[1]Oil Production'!C88</f>
        <v>1184.1441832027833</v>
      </c>
      <c r="G127" s="65">
        <f>'[1]Oil Production'!D88</f>
        <v>158192.29233235255</v>
      </c>
      <c r="H127" s="95"/>
      <c r="K127" s="109">
        <f>'Liquids Type Curve'!A104</f>
        <v>6.8385574654533121</v>
      </c>
      <c r="L127" s="116">
        <f>'Liquids Type Curve'!B104</f>
        <v>82.062689585439742</v>
      </c>
      <c r="M127" s="65">
        <f>'Liquids Type Curve'!C104</f>
        <v>11.200185699377407</v>
      </c>
      <c r="N127" s="65">
        <f>'Liquids Type Curve'!D104</f>
        <v>340.67231502272949</v>
      </c>
      <c r="O127" s="65">
        <f>'Liquids Type Curve'!E104</f>
        <v>90570.0562961619</v>
      </c>
      <c r="P127" s="250"/>
      <c r="S127" s="112">
        <f>'Gas Type Curve'!A111</f>
        <v>6.8333333333333259</v>
      </c>
      <c r="T127" s="128">
        <f>'Gas Type Curve'!B111</f>
        <v>81.999999999999915</v>
      </c>
      <c r="U127" s="94">
        <f>'Gas Type Curve'!C111</f>
        <v>247.28163126713588</v>
      </c>
      <c r="V127" s="94">
        <f>'Gas Type Curve'!D111</f>
        <v>7521.4829510420495</v>
      </c>
      <c r="W127" s="94">
        <f>'Gas Type Curve'!E111</f>
        <v>1553307.7976992107</v>
      </c>
      <c r="X127" s="250"/>
      <c r="AK127" s="146">
        <f t="shared" si="34"/>
        <v>82</v>
      </c>
      <c r="AL127" s="146" t="e">
        <f t="shared" si="32"/>
        <v>#REF!</v>
      </c>
      <c r="AM127" s="146">
        <f t="shared" si="35"/>
        <v>2778.3969900658544</v>
      </c>
      <c r="AN127" s="133">
        <f>'Price Deck'!E86*F127+N127*'Price Deck'!T86+(V127*'Price Deck'!K86/$AB$3)</f>
        <v>79461.627046481968</v>
      </c>
      <c r="AO127" s="133">
        <f t="shared" si="36"/>
        <v>28.599810369287272</v>
      </c>
      <c r="AP127" s="133" t="e">
        <f>'Production Costs '!$N$22*(1+'Production Costs '!$P$2)^(AL127)</f>
        <v>#REF!</v>
      </c>
      <c r="AQ127" s="133" t="e">
        <f>'Production Costs '!$N$23*(1+'Production Costs '!$P$2)^AL127</f>
        <v>#REF!</v>
      </c>
      <c r="AR127" s="162">
        <f>-'Oil Royalties'!W92</f>
        <v>-11.864497924353357</v>
      </c>
      <c r="AS127" s="162">
        <f>-'Butane Royalties'!AD92</f>
        <v>-4.4043479102794993</v>
      </c>
      <c r="AT127" s="162">
        <f>-'Propane Royalties'!AD92</f>
        <v>-4.7909309603636885</v>
      </c>
      <c r="AU127" s="162">
        <f>-'Ethane Royalties'!AH92</f>
        <v>-0.3380487804878049</v>
      </c>
      <c r="AV127" s="162">
        <f>-'Natural Gas Royalties'!AB92</f>
        <v>-0.14275249744436852</v>
      </c>
      <c r="AW127" s="133" t="e">
        <f>AN127+AM127*(AP127+AQ127)+(AR127*F127)+(AV127*(V127/$AB$3))+(AS127*'Butane Royalties'!K97)+(AT127*'Propane Royalties'!K97)+(AU127*'Ethane Royalties'!K97)</f>
        <v>#REF!</v>
      </c>
      <c r="AX127" s="133" t="e">
        <f t="shared" si="37"/>
        <v>#REF!</v>
      </c>
      <c r="AY127" s="133">
        <f t="shared" si="30"/>
        <v>12028.838187017047</v>
      </c>
      <c r="AZ127" s="133">
        <f t="shared" si="31"/>
        <v>467975.07008073921</v>
      </c>
      <c r="BA127" s="133" t="e">
        <f t="shared" si="27"/>
        <v>#REF!</v>
      </c>
      <c r="BB127" s="133" t="e">
        <f t="shared" si="38"/>
        <v>#REF!</v>
      </c>
      <c r="BC127" s="133" t="e">
        <f t="shared" si="28"/>
        <v>#REF!</v>
      </c>
      <c r="BD127" s="133" t="e">
        <f t="shared" si="29"/>
        <v>#REF!</v>
      </c>
      <c r="BE127" s="133" t="e">
        <f t="shared" si="33"/>
        <v>#REF!</v>
      </c>
      <c r="BF127" s="133"/>
    </row>
    <row r="128" spans="2:58">
      <c r="B128" s="109" t="e">
        <f>'[1]Oil Production'!#REF!</f>
        <v>#REF!</v>
      </c>
      <c r="C128" s="65"/>
      <c r="D128" s="116">
        <f>'[1]Oil Production'!A89</f>
        <v>83</v>
      </c>
      <c r="E128" s="65">
        <f>'[1]Oil Production'!B89</f>
        <v>38.734815307935719</v>
      </c>
      <c r="F128" s="65">
        <f>'[1]Oil Production'!C89</f>
        <v>1178.1839656163781</v>
      </c>
      <c r="G128" s="65">
        <f>'[1]Oil Production'!D89</f>
        <v>159370.47629796891</v>
      </c>
      <c r="H128" s="95"/>
      <c r="K128" s="109">
        <f>'Liquids Type Curve'!A105</f>
        <v>6.9218907987866451</v>
      </c>
      <c r="L128" s="116">
        <f>'Liquids Type Curve'!B105</f>
        <v>83.062689585439742</v>
      </c>
      <c r="M128" s="65">
        <f>'Liquids Type Curve'!C105</f>
        <v>11.074452180353081</v>
      </c>
      <c r="N128" s="65">
        <f>'Liquids Type Curve'!D105</f>
        <v>336.84792048573956</v>
      </c>
      <c r="O128" s="65">
        <f>'Liquids Type Curve'!E105</f>
        <v>90906.904216647643</v>
      </c>
      <c r="P128" s="250"/>
      <c r="S128" s="112">
        <f>'Gas Type Curve'!A112</f>
        <v>6.916666666666659</v>
      </c>
      <c r="T128" s="128">
        <f>'Gas Type Curve'!B112</f>
        <v>82.999999999999915</v>
      </c>
      <c r="U128" s="94">
        <f>'Gas Type Curve'!C112</f>
        <v>245.17376972875275</v>
      </c>
      <c r="V128" s="94">
        <f>'Gas Type Curve'!D112</f>
        <v>7457.3688292495626</v>
      </c>
      <c r="W128" s="94">
        <f>'Gas Type Curve'!E112</f>
        <v>1560765.1665284603</v>
      </c>
      <c r="X128" s="250"/>
      <c r="AK128" s="146">
        <f t="shared" si="34"/>
        <v>83</v>
      </c>
      <c r="AL128" s="146" t="e">
        <f t="shared" si="32"/>
        <v>#REF!</v>
      </c>
      <c r="AM128" s="146">
        <f t="shared" si="35"/>
        <v>2757.9266909770449</v>
      </c>
      <c r="AN128" s="133">
        <f>'Price Deck'!E87*F128+N128*'Price Deck'!T87+(V128*'Price Deck'!K87/$AB$3)</f>
        <v>79029.679620932409</v>
      </c>
      <c r="AO128" s="133">
        <f t="shared" si="36"/>
        <v>28.655467848180812</v>
      </c>
      <c r="AP128" s="133" t="e">
        <f>'Production Costs '!$N$22*(1+'Production Costs '!$P$2)^(AL128)</f>
        <v>#REF!</v>
      </c>
      <c r="AQ128" s="133" t="e">
        <f>'Production Costs '!$N$23*(1+'Production Costs '!$P$2)^AL128</f>
        <v>#REF!</v>
      </c>
      <c r="AR128" s="162">
        <f>-'Oil Royalties'!W93</f>
        <v>-11.191931364730729</v>
      </c>
      <c r="AS128" s="162">
        <f>-'Butane Royalties'!AD93</f>
        <v>-4.3888913873919346</v>
      </c>
      <c r="AT128" s="162">
        <f>-'Propane Royalties'!AD93</f>
        <v>-4.7775876383765743</v>
      </c>
      <c r="AU128" s="162">
        <f>-'Ethane Royalties'!AH93</f>
        <v>-0.3380487804878049</v>
      </c>
      <c r="AV128" s="162">
        <f>-'Natural Gas Royalties'!AB93</f>
        <v>-0.14770366376427532</v>
      </c>
      <c r="AW128" s="133" t="e">
        <f>AN128+AM128*(AP128+AQ128)+(AR128*F128)+(AV128*(V128/$AB$3))+(AS128*'Butane Royalties'!K98)+(AT128*'Propane Royalties'!K98)+(AU128*'Ethane Royalties'!K98)</f>
        <v>#REF!</v>
      </c>
      <c r="AX128" s="133" t="e">
        <f t="shared" si="37"/>
        <v>#REF!</v>
      </c>
      <c r="AY128" s="133">
        <f t="shared" si="30"/>
        <v>11727.396999482533</v>
      </c>
      <c r="AZ128" s="133">
        <f t="shared" si="31"/>
        <v>456247.67308125668</v>
      </c>
      <c r="BA128" s="133" t="e">
        <f t="shared" si="27"/>
        <v>#REF!</v>
      </c>
      <c r="BB128" s="133" t="e">
        <f t="shared" si="38"/>
        <v>#REF!</v>
      </c>
      <c r="BC128" s="133" t="e">
        <f t="shared" si="28"/>
        <v>#REF!</v>
      </c>
      <c r="BD128" s="133" t="e">
        <f t="shared" si="29"/>
        <v>#REF!</v>
      </c>
      <c r="BE128" s="133" t="e">
        <f t="shared" si="33"/>
        <v>#REF!</v>
      </c>
      <c r="BF128" s="133"/>
    </row>
    <row r="129" spans="2:58">
      <c r="B129" s="109" t="e">
        <f>'[1]Oil Production'!#REF!</f>
        <v>#REF!</v>
      </c>
      <c r="C129" s="65"/>
      <c r="D129" s="116">
        <f>'[1]Oil Production'!A90</f>
        <v>84</v>
      </c>
      <c r="E129" s="65">
        <f>'[1]Oil Production'!B90</f>
        <v>38.542178409790999</v>
      </c>
      <c r="F129" s="65">
        <f>'[1]Oil Production'!C90</f>
        <v>1172.3245932978095</v>
      </c>
      <c r="G129" s="65">
        <f>'[1]Oil Production'!D90</f>
        <v>160542.80089126673</v>
      </c>
      <c r="H129" s="95"/>
      <c r="K129" s="109">
        <f>'Liquids Type Curve'!A106</f>
        <v>7.0052241321199782</v>
      </c>
      <c r="L129" s="116">
        <f>'Liquids Type Curve'!B106</f>
        <v>84.062689585439742</v>
      </c>
      <c r="M129" s="65">
        <f>'Liquids Type Curve'!C106</f>
        <v>10.951609671253077</v>
      </c>
      <c r="N129" s="65">
        <f>'Liquids Type Curve'!D106</f>
        <v>333.11146083394777</v>
      </c>
      <c r="O129" s="65">
        <f>'Liquids Type Curve'!E106</f>
        <v>91240.015677481584</v>
      </c>
      <c r="P129" s="250"/>
      <c r="S129" s="112">
        <f>'Gas Type Curve'!A113</f>
        <v>6.999999999999992</v>
      </c>
      <c r="T129" s="128">
        <f>'Gas Type Curve'!B113</f>
        <v>83.999999999999901</v>
      </c>
      <c r="U129" s="94">
        <f>'Gas Type Curve'!C113</f>
        <v>243.10879945023825</v>
      </c>
      <c r="V129" s="94">
        <f>'Gas Type Curve'!D113</f>
        <v>7394.559316611414</v>
      </c>
      <c r="W129" s="94">
        <f>'Gas Type Curve'!E113</f>
        <v>1568159.7258450717</v>
      </c>
      <c r="X129" s="250"/>
      <c r="AK129" s="146">
        <f t="shared" si="34"/>
        <v>84</v>
      </c>
      <c r="AL129" s="146" t="e">
        <f>$B$129</f>
        <v>#REF!</v>
      </c>
      <c r="AM129" s="146">
        <f t="shared" si="35"/>
        <v>2737.8626069003267</v>
      </c>
      <c r="AN129" s="133">
        <f>'Price Deck'!E88*F129+N129*'Price Deck'!T88+(V129*'Price Deck'!K88/$AB$3)</f>
        <v>78553.954880785444</v>
      </c>
      <c r="AO129" s="133">
        <f t="shared" si="36"/>
        <v>28.691708153215316</v>
      </c>
      <c r="AP129" s="133" t="e">
        <f>'Production Costs '!$N$22*(1+'Production Costs '!$P$2)^(AL129)</f>
        <v>#REF!</v>
      </c>
      <c r="AQ129" s="133" t="e">
        <f>'Production Costs '!$N$23*(1+'Production Costs '!$P$2)^AL129</f>
        <v>#REF!</v>
      </c>
      <c r="AR129" s="162">
        <f>-'Oil Royalties'!W94</f>
        <v>-11.140927094603017</v>
      </c>
      <c r="AS129" s="162">
        <f>-'Butane Royalties'!AD94</f>
        <v>-4.3738127439292223</v>
      </c>
      <c r="AT129" s="162">
        <f>-'Propane Royalties'!AD94</f>
        <v>-4.7645705325038312</v>
      </c>
      <c r="AU129" s="162">
        <f>-'Ethane Royalties'!AH94</f>
        <v>-0.3380487804878049</v>
      </c>
      <c r="AV129" s="162">
        <f>-'Natural Gas Royalties'!AB94</f>
        <v>-0.14533375722544761</v>
      </c>
      <c r="AW129" s="133" t="e">
        <f>AN129+AM129*(AP129+AQ129)+(AR129*F129)+(AV129*(V129/$AB$3))+(AS129*'Butane Royalties'!K99)+(AT129*'Propane Royalties'!K99)+(AU129*'Ethane Royalties'!K99)</f>
        <v>#REF!</v>
      </c>
      <c r="AX129" s="133" t="e">
        <f t="shared" si="37"/>
        <v>#REF!</v>
      </c>
      <c r="AY129" s="133">
        <f t="shared" si="30"/>
        <v>11433.509890582172</v>
      </c>
      <c r="AZ129" s="133">
        <f t="shared" si="31"/>
        <v>444814.1631906745</v>
      </c>
      <c r="BA129" s="133" t="e">
        <f t="shared" si="27"/>
        <v>#REF!</v>
      </c>
      <c r="BB129" s="133" t="e">
        <f t="shared" si="38"/>
        <v>#REF!</v>
      </c>
      <c r="BC129" s="133" t="e">
        <f t="shared" si="28"/>
        <v>#REF!</v>
      </c>
      <c r="BD129" s="133" t="e">
        <f t="shared" si="29"/>
        <v>#REF!</v>
      </c>
      <c r="BE129" s="133" t="e">
        <f t="shared" si="33"/>
        <v>#REF!</v>
      </c>
      <c r="BF129" s="133"/>
    </row>
    <row r="130" spans="2:58">
      <c r="B130" s="109" t="e">
        <f>'[1]Oil Production'!#REF!</f>
        <v>#REF!</v>
      </c>
      <c r="C130" s="65" t="e">
        <f>B129</f>
        <v>#REF!</v>
      </c>
      <c r="D130" s="116">
        <f>'[1]Oil Production'!A91</f>
        <v>85</v>
      </c>
      <c r="E130" s="65">
        <f>'[1]Oil Production'!B91</f>
        <v>38.352762396946538</v>
      </c>
      <c r="F130" s="65">
        <f>'[1]Oil Production'!C91</f>
        <v>1166.5631895737906</v>
      </c>
      <c r="G130" s="65">
        <f>'[1]Oil Production'!D91</f>
        <v>161709.36408084052</v>
      </c>
      <c r="H130" s="95" t="e">
        <f>IF(C130&gt;0,((E130-E118)/(E118)),0)</f>
        <v>#REF!</v>
      </c>
      <c r="K130" s="109">
        <f>'Liquids Type Curve'!A107</f>
        <v>7.0885574654533112</v>
      </c>
      <c r="L130" s="116">
        <f>'Liquids Type Curve'!B107</f>
        <v>85.062689585439728</v>
      </c>
      <c r="M130" s="65">
        <f>'Liquids Type Curve'!C107</f>
        <v>10.831558479877252</v>
      </c>
      <c r="N130" s="65">
        <f>'Liquids Type Curve'!D107</f>
        <v>329.4599037629331</v>
      </c>
      <c r="O130" s="65">
        <f>'Liquids Type Curve'!E107</f>
        <v>91569.475581244522</v>
      </c>
      <c r="P130" s="250" t="e">
        <f t="shared" si="24"/>
        <v>#REF!</v>
      </c>
      <c r="S130" s="112">
        <f>'Gas Type Curve'!A114</f>
        <v>7.083333333333325</v>
      </c>
      <c r="T130" s="128">
        <f>'Gas Type Curve'!B114</f>
        <v>84.999999999999901</v>
      </c>
      <c r="U130" s="94">
        <f>'Gas Type Curve'!C114</f>
        <v>241.08535246994407</v>
      </c>
      <c r="V130" s="94">
        <f>'Gas Type Curve'!D114</f>
        <v>7333.0128042941324</v>
      </c>
      <c r="W130" s="94">
        <f>'Gas Type Curve'!E114</f>
        <v>1575492.738649366</v>
      </c>
      <c r="X130" s="250" t="e">
        <f t="shared" ref="X130:X178" si="39">IF(C130&gt;0,((U130-U106)/U106))</f>
        <v>#REF!</v>
      </c>
      <c r="AK130" s="146">
        <f t="shared" si="34"/>
        <v>85</v>
      </c>
      <c r="AL130" s="146" t="e">
        <f t="shared" ref="AL130:AL140" si="40">$B$129</f>
        <v>#REF!</v>
      </c>
      <c r="AM130" s="146">
        <f t="shared" si="35"/>
        <v>2718.1918940524129</v>
      </c>
      <c r="AN130" s="133">
        <f>'Price Deck'!E89*F130+N130*'Price Deck'!T89+(V130*'Price Deck'!K89/$AB$3)</f>
        <v>77950.290000572597</v>
      </c>
      <c r="AO130" s="133">
        <f t="shared" si="36"/>
        <v>28.677257912192694</v>
      </c>
      <c r="AP130" s="133" t="e">
        <f>'Production Costs '!$N$22*(1+'Production Costs '!$P$2)^(AL130)</f>
        <v>#REF!</v>
      </c>
      <c r="AQ130" s="133" t="e">
        <f>'Production Costs '!$N$23*(1+'Production Costs '!$P$2)^AL130</f>
        <v>#REF!</v>
      </c>
      <c r="AR130" s="162">
        <f>-'Oil Royalties'!W95</f>
        <v>-11.050359498484458</v>
      </c>
      <c r="AS130" s="162">
        <f>-'Butane Royalties'!AD95</f>
        <v>-4.3590981351518661</v>
      </c>
      <c r="AT130" s="162">
        <f>-'Propane Royalties'!AD95</f>
        <v>-4.7518676908453958</v>
      </c>
      <c r="AU130" s="162">
        <f>-'Ethane Royalties'!AH95</f>
        <v>-0.33804878048780496</v>
      </c>
      <c r="AV130" s="162">
        <f>-'Natural Gas Royalties'!AB95</f>
        <v>-0.14117040790047999</v>
      </c>
      <c r="AW130" s="133" t="e">
        <f>AN130+AM130*(AP130+AQ130)+(AR130*F130)+(AV130*(V130/$AB$3))+(AS130*'Butane Royalties'!K100)+(AT130*'Propane Royalties'!K100)+(AU130*'Ethane Royalties'!K100)</f>
        <v>#REF!</v>
      </c>
      <c r="AX130" s="133" t="e">
        <f t="shared" si="37"/>
        <v>#REF!</v>
      </c>
      <c r="AY130" s="133">
        <f t="shared" si="30"/>
        <v>11146.987556045775</v>
      </c>
      <c r="AZ130" s="133">
        <f t="shared" si="31"/>
        <v>433667.17563462874</v>
      </c>
      <c r="BA130" s="133" t="e">
        <f t="shared" si="27"/>
        <v>#REF!</v>
      </c>
      <c r="BB130" s="133" t="e">
        <f t="shared" si="38"/>
        <v>#REF!</v>
      </c>
      <c r="BC130" s="133" t="e">
        <f t="shared" si="28"/>
        <v>#REF!</v>
      </c>
      <c r="BD130" s="133" t="e">
        <f t="shared" si="29"/>
        <v>#REF!</v>
      </c>
      <c r="BE130" s="133" t="e">
        <f t="shared" si="33"/>
        <v>#REF!</v>
      </c>
      <c r="BF130" s="133"/>
    </row>
    <row r="131" spans="2:58">
      <c r="B131" s="109" t="e">
        <f>'[1]Oil Production'!#REF!</f>
        <v>#REF!</v>
      </c>
      <c r="C131" s="65"/>
      <c r="D131" s="116">
        <f>'[1]Oil Production'!A92</f>
        <v>86</v>
      </c>
      <c r="E131" s="65">
        <f>'[1]Oil Production'!B92</f>
        <v>38.16647646370172</v>
      </c>
      <c r="F131" s="65">
        <f>'[1]Oil Production'!C92</f>
        <v>1160.896992437594</v>
      </c>
      <c r="G131" s="65">
        <f>'[1]Oil Production'!D92</f>
        <v>162870.26107327812</v>
      </c>
      <c r="H131" s="95"/>
      <c r="K131" s="109">
        <f>'Liquids Type Curve'!A108</f>
        <v>7.1718907987866443</v>
      </c>
      <c r="L131" s="116">
        <f>'Liquids Type Curve'!B108</f>
        <v>86.062689585439728</v>
      </c>
      <c r="M131" s="65">
        <f>'Liquids Type Curve'!C108</f>
        <v>10.714203470634567</v>
      </c>
      <c r="N131" s="65">
        <f>'Liquids Type Curve'!D108</f>
        <v>325.89035556513477</v>
      </c>
      <c r="O131" s="65">
        <f>'Liquids Type Curve'!E108</f>
        <v>91895.365936809656</v>
      </c>
      <c r="P131" s="250"/>
      <c r="S131" s="112">
        <f>'Gas Type Curve'!A115</f>
        <v>7.1666666666666581</v>
      </c>
      <c r="T131" s="128">
        <f>'Gas Type Curve'!B115</f>
        <v>85.999999999999901</v>
      </c>
      <c r="U131" s="94">
        <f>'Gas Type Curve'!C115</f>
        <v>239.10211988155004</v>
      </c>
      <c r="V131" s="94">
        <f>'Gas Type Curve'!D115</f>
        <v>7272.6894797304803</v>
      </c>
      <c r="W131" s="94">
        <f>'Gas Type Curve'!E115</f>
        <v>1582765.4281290965</v>
      </c>
      <c r="X131" s="250"/>
      <c r="AK131" s="146">
        <f t="shared" si="34"/>
        <v>86</v>
      </c>
      <c r="AL131" s="146" t="e">
        <f t="shared" si="40"/>
        <v>#REF!</v>
      </c>
      <c r="AM131" s="146">
        <f t="shared" si="35"/>
        <v>2698.9022612911422</v>
      </c>
      <c r="AN131" s="133">
        <f>'Price Deck'!E90*F131+N131*'Price Deck'!T90+(V131*'Price Deck'!K90/$AB$3)</f>
        <v>77190.014797880547</v>
      </c>
      <c r="AO131" s="133">
        <f t="shared" si="36"/>
        <v>28.60052248092645</v>
      </c>
      <c r="AP131" s="133" t="e">
        <f>'Production Costs '!$N$22*(1+'Production Costs '!$P$2)^(AL131)</f>
        <v>#REF!</v>
      </c>
      <c r="AQ131" s="133" t="e">
        <f>'Production Costs '!$N$23*(1+'Production Costs '!$P$2)^AL131</f>
        <v>#REF!</v>
      </c>
      <c r="AR131" s="162">
        <f>-'Oil Royalties'!W96</f>
        <v>-10.996645637191385</v>
      </c>
      <c r="AS131" s="162">
        <f>-'Butane Royalties'!AD96</f>
        <v>-4.3447343881669021</v>
      </c>
      <c r="AT131" s="162">
        <f>-'Propane Royalties'!AD96</f>
        <v>-4.7394677414935256</v>
      </c>
      <c r="AU131" s="162">
        <f>-'Ethane Royalties'!AH96</f>
        <v>-0.3380487804878049</v>
      </c>
      <c r="AV131" s="162">
        <f>-'Natural Gas Royalties'!AB96</f>
        <v>-0.12675881408328452</v>
      </c>
      <c r="AW131" s="133" t="e">
        <f>AN131+AM131*(AP131+AQ131)+(AR131*F131)+(AV131*(V131/$AB$3))+(AS131*'Butane Royalties'!K101)+(AT131*'Propane Royalties'!K101)+(AU131*'Ethane Royalties'!K101)</f>
        <v>#REF!</v>
      </c>
      <c r="AX131" s="133" t="e">
        <f t="shared" si="37"/>
        <v>#REF!</v>
      </c>
      <c r="AY131" s="133">
        <f t="shared" si="30"/>
        <v>10867.645435544599</v>
      </c>
      <c r="AZ131" s="133">
        <f t="shared" si="31"/>
        <v>422799.53019908414</v>
      </c>
      <c r="BA131" s="133" t="e">
        <f t="shared" si="27"/>
        <v>#REF!</v>
      </c>
      <c r="BB131" s="133" t="e">
        <f t="shared" si="38"/>
        <v>#REF!</v>
      </c>
      <c r="BC131" s="133" t="e">
        <f t="shared" si="28"/>
        <v>#REF!</v>
      </c>
      <c r="BD131" s="133" t="e">
        <f t="shared" si="29"/>
        <v>#REF!</v>
      </c>
      <c r="BE131" s="133" t="e">
        <f t="shared" si="33"/>
        <v>#REF!</v>
      </c>
      <c r="BF131" s="133"/>
    </row>
    <row r="132" spans="2:58">
      <c r="B132" s="109" t="e">
        <f>'[1]Oil Production'!#REF!</f>
        <v>#REF!</v>
      </c>
      <c r="C132" s="65"/>
      <c r="D132" s="116">
        <f>'[1]Oil Production'!A93</f>
        <v>87</v>
      </c>
      <c r="E132" s="65">
        <f>'[1]Oil Production'!B93</f>
        <v>37.983233382198797</v>
      </c>
      <c r="F132" s="65">
        <f>'[1]Oil Production'!C93</f>
        <v>1155.3233487085467</v>
      </c>
      <c r="G132" s="65">
        <f>'[1]Oil Production'!D93</f>
        <v>164025.58442198666</v>
      </c>
      <c r="H132" s="95"/>
      <c r="K132" s="109">
        <f>'Liquids Type Curve'!A109</f>
        <v>7.2552241321199773</v>
      </c>
      <c r="L132" s="116">
        <f>'Liquids Type Curve'!B109</f>
        <v>87.062689585439728</v>
      </c>
      <c r="M132" s="65">
        <f>'Liquids Type Curve'!C109</f>
        <v>10.599453806310406</v>
      </c>
      <c r="N132" s="65">
        <f>'Liquids Type Curve'!D109</f>
        <v>322.40005327527484</v>
      </c>
      <c r="O132" s="65">
        <f>'Liquids Type Curve'!E109</f>
        <v>92217.765990084925</v>
      </c>
      <c r="P132" s="250"/>
      <c r="S132" s="112">
        <f>'Gas Type Curve'!A116</f>
        <v>7.2499999999999911</v>
      </c>
      <c r="T132" s="128">
        <f>'Gas Type Curve'!B116</f>
        <v>86.999999999999886</v>
      </c>
      <c r="U132" s="94">
        <f>'Gas Type Curve'!C116</f>
        <v>237.15784863401572</v>
      </c>
      <c r="V132" s="94">
        <f>'Gas Type Curve'!D116</f>
        <v>7213.5512292846452</v>
      </c>
      <c r="W132" s="94">
        <f>'Gas Type Curve'!E116</f>
        <v>1589978.9793583811</v>
      </c>
      <c r="X132" s="250"/>
      <c r="AK132" s="146">
        <f t="shared" si="34"/>
        <v>87</v>
      </c>
      <c r="AL132" s="146" t="e">
        <f t="shared" si="40"/>
        <v>#REF!</v>
      </c>
      <c r="AM132" s="146">
        <f t="shared" si="35"/>
        <v>2679.9819401979294</v>
      </c>
      <c r="AN132" s="133">
        <f>'Price Deck'!E91*F132+N132*'Price Deck'!T91+(V132*'Price Deck'!K91/$AB$3)</f>
        <v>76715.847296789099</v>
      </c>
      <c r="AO132" s="133">
        <f t="shared" si="36"/>
        <v>28.625509055155526</v>
      </c>
      <c r="AP132" s="133" t="e">
        <f>'Production Costs '!$N$22*(1+'Production Costs '!$P$2)^(AL132)</f>
        <v>#REF!</v>
      </c>
      <c r="AQ132" s="133" t="e">
        <f>'Production Costs '!$N$23*(1+'Production Costs '!$P$2)^AL132</f>
        <v>#REF!</v>
      </c>
      <c r="AR132" s="162">
        <f>-'Oil Royalties'!W97</f>
        <v>-10.92378469036767</v>
      </c>
      <c r="AS132" s="162">
        <f>-'Butane Royalties'!AD97</f>
        <v>-4.330708961532074</v>
      </c>
      <c r="AT132" s="162">
        <f>-'Propane Royalties'!AD97</f>
        <v>-4.7273598576598488</v>
      </c>
      <c r="AU132" s="162">
        <f>-'Ethane Royalties'!AH97</f>
        <v>-0.33804878048780485</v>
      </c>
      <c r="AV132" s="162">
        <f>-'Natural Gas Royalties'!AB97</f>
        <v>-0.12560588657790886</v>
      </c>
      <c r="AW132" s="133" t="e">
        <f>AN132+AM132*(AP132+AQ132)+(AR132*F132)+(AV132*(V132/$AB$3))+(AS132*'Butane Royalties'!K102)+(AT132*'Propane Royalties'!K102)+(AU132*'Ethane Royalties'!K102)</f>
        <v>#REF!</v>
      </c>
      <c r="AX132" s="133" t="e">
        <f t="shared" si="37"/>
        <v>#REF!</v>
      </c>
      <c r="AY132" s="133">
        <f t="shared" si="30"/>
        <v>10595.303593808761</v>
      </c>
      <c r="AZ132" s="133">
        <f t="shared" si="31"/>
        <v>412204.22660527535</v>
      </c>
      <c r="BA132" s="133" t="e">
        <f t="shared" si="27"/>
        <v>#REF!</v>
      </c>
      <c r="BB132" s="133" t="e">
        <f t="shared" si="38"/>
        <v>#REF!</v>
      </c>
      <c r="BC132" s="133" t="e">
        <f t="shared" si="28"/>
        <v>#REF!</v>
      </c>
      <c r="BD132" s="133" t="e">
        <f t="shared" si="29"/>
        <v>#REF!</v>
      </c>
      <c r="BE132" s="133" t="e">
        <f t="shared" si="33"/>
        <v>#REF!</v>
      </c>
      <c r="BF132" s="133"/>
    </row>
    <row r="133" spans="2:58">
      <c r="B133" s="109" t="e">
        <f>'[1]Oil Production'!#REF!</f>
        <v>#REF!</v>
      </c>
      <c r="C133" s="65"/>
      <c r="D133" s="116">
        <f>'[1]Oil Production'!A94</f>
        <v>88</v>
      </c>
      <c r="E133" s="65">
        <f>'[1]Oil Production'!B94</f>
        <v>37.802949322264389</v>
      </c>
      <c r="F133" s="65">
        <f>'[1]Oil Production'!C94</f>
        <v>1149.8397085522085</v>
      </c>
      <c r="G133" s="65">
        <f>'[1]Oil Production'!D94</f>
        <v>165175.42413053886</v>
      </c>
      <c r="H133" s="95"/>
      <c r="K133" s="109">
        <f>'Liquids Type Curve'!A110</f>
        <v>7.3385574654533103</v>
      </c>
      <c r="L133" s="116">
        <f>'Liquids Type Curve'!B110</f>
        <v>88.062689585439728</v>
      </c>
      <c r="M133" s="65">
        <f>'Liquids Type Curve'!C110</f>
        <v>10.487222707235683</v>
      </c>
      <c r="N133" s="65">
        <f>'Liquids Type Curve'!D110</f>
        <v>318.98635734508537</v>
      </c>
      <c r="O133" s="65">
        <f>'Liquids Type Curve'!E110</f>
        <v>92536.752347430011</v>
      </c>
      <c r="P133" s="250"/>
      <c r="S133" s="112">
        <f>'Gas Type Curve'!A117</f>
        <v>7.3333333333333242</v>
      </c>
      <c r="T133" s="128">
        <f>'Gas Type Curve'!B117</f>
        <v>87.999999999999886</v>
      </c>
      <c r="U133" s="94">
        <f>'Gas Type Curve'!C117</f>
        <v>235.25133853938632</v>
      </c>
      <c r="V133" s="94">
        <f>'Gas Type Curve'!D117</f>
        <v>7155.5615472396676</v>
      </c>
      <c r="W133" s="94">
        <f>'Gas Type Curve'!E117</f>
        <v>1597134.5409056209</v>
      </c>
      <c r="X133" s="250"/>
      <c r="AK133" s="146">
        <f t="shared" si="34"/>
        <v>88</v>
      </c>
      <c r="AL133" s="146" t="e">
        <f t="shared" si="40"/>
        <v>#REF!</v>
      </c>
      <c r="AM133" s="146">
        <f t="shared" si="35"/>
        <v>2661.4196571039056</v>
      </c>
      <c r="AN133" s="133">
        <f>'Price Deck'!E92*F133+N133*'Price Deck'!T92+(V133*'Price Deck'!K92/$AB$3)</f>
        <v>76302.773367074566</v>
      </c>
      <c r="AO133" s="133">
        <f t="shared" si="36"/>
        <v>28.669951829432812</v>
      </c>
      <c r="AP133" s="133" t="e">
        <f>'Production Costs '!$N$22*(1+'Production Costs '!$P$2)^(AL133)</f>
        <v>#REF!</v>
      </c>
      <c r="AQ133" s="133" t="e">
        <f>'Production Costs '!$N$23*(1+'Production Costs '!$P$2)^AL133</f>
        <v>#REF!</v>
      </c>
      <c r="AR133" s="162">
        <f>-'Oil Royalties'!W98</f>
        <v>-10.847049650498985</v>
      </c>
      <c r="AS133" s="162">
        <f>-'Butane Royalties'!AD98</f>
        <v>-4.3170099077461437</v>
      </c>
      <c r="AT133" s="162">
        <f>-'Propane Royalties'!AD98</f>
        <v>-4.715533725293974</v>
      </c>
      <c r="AU133" s="162">
        <f>-'Ethane Royalties'!AH98</f>
        <v>-0.33804878048780485</v>
      </c>
      <c r="AV133" s="162">
        <f>-'Natural Gas Royalties'!AB98</f>
        <v>-0.12714312325174304</v>
      </c>
      <c r="AW133" s="133" t="e">
        <f>AN133+AM133*(AP133+AQ133)+(AR133*F133)+(AV133*(V133/$AB$3))+(AS133*'Butane Royalties'!K103)+(AT133*'Propane Royalties'!K103)+(AU133*'Ethane Royalties'!K103)</f>
        <v>#REF!</v>
      </c>
      <c r="AX133" s="133" t="e">
        <f t="shared" si="37"/>
        <v>#REF!</v>
      </c>
      <c r="AY133" s="133">
        <f t="shared" si="30"/>
        <v>10329.786604723848</v>
      </c>
      <c r="AZ133" s="133">
        <f t="shared" si="31"/>
        <v>401874.44000055152</v>
      </c>
      <c r="BA133" s="133" t="e">
        <f t="shared" si="27"/>
        <v>#REF!</v>
      </c>
      <c r="BB133" s="133" t="e">
        <f t="shared" si="38"/>
        <v>#REF!</v>
      </c>
      <c r="BC133" s="133" t="e">
        <f t="shared" si="28"/>
        <v>#REF!</v>
      </c>
      <c r="BD133" s="133" t="e">
        <f t="shared" si="29"/>
        <v>#REF!</v>
      </c>
      <c r="BE133" s="133" t="e">
        <f t="shared" si="33"/>
        <v>#REF!</v>
      </c>
      <c r="BF133" s="133"/>
    </row>
    <row r="134" spans="2:58">
      <c r="B134" s="109" t="e">
        <f>'[1]Oil Production'!#REF!</f>
        <v>#REF!</v>
      </c>
      <c r="C134" s="65"/>
      <c r="D134" s="116">
        <f>'[1]Oil Production'!A95</f>
        <v>89</v>
      </c>
      <c r="E134" s="65">
        <f>'[1]Oil Production'!B95</f>
        <v>37.625543682251518</v>
      </c>
      <c r="F134" s="65">
        <f>'[1]Oil Production'!C95</f>
        <v>1144.4436203351504</v>
      </c>
      <c r="G134" s="65">
        <f>'[1]Oil Production'!D95</f>
        <v>166319.86775087399</v>
      </c>
      <c r="H134" s="95"/>
      <c r="K134" s="109">
        <f>'Liquids Type Curve'!A111</f>
        <v>7.4218907987866434</v>
      </c>
      <c r="L134" s="116">
        <f>'Liquids Type Curve'!B111</f>
        <v>89.062689585439728</v>
      </c>
      <c r="M134" s="65">
        <f>'Liquids Type Curve'!C111</f>
        <v>10.377427226502917</v>
      </c>
      <c r="N134" s="65">
        <f>'Liquids Type Curve'!D111</f>
        <v>315.64674480613041</v>
      </c>
      <c r="O134" s="65">
        <f>'Liquids Type Curve'!E111</f>
        <v>92852.399092236141</v>
      </c>
      <c r="P134" s="250"/>
      <c r="S134" s="112">
        <f>'Gas Type Curve'!A118</f>
        <v>7.4166666666666572</v>
      </c>
      <c r="T134" s="128">
        <f>'Gas Type Curve'!B118</f>
        <v>88.999999999999886</v>
      </c>
      <c r="U134" s="94">
        <f>'Gas Type Curve'!C118</f>
        <v>233.3814394727635</v>
      </c>
      <c r="V134" s="94">
        <f>'Gas Type Curve'!D118</f>
        <v>7098.6854506298905</v>
      </c>
      <c r="W134" s="94">
        <f>'Gas Type Curve'!E118</f>
        <v>1604233.2263562507</v>
      </c>
      <c r="X134" s="250"/>
      <c r="AK134" s="146">
        <f t="shared" si="34"/>
        <v>89</v>
      </c>
      <c r="AL134" s="146" t="e">
        <f t="shared" si="40"/>
        <v>#REF!</v>
      </c>
      <c r="AM134" s="146">
        <f t="shared" si="35"/>
        <v>2643.2046069129292</v>
      </c>
      <c r="AN134" s="133">
        <f>'Price Deck'!E93*F134+N134*'Price Deck'!T93+(V134*'Price Deck'!K93/$AB$3)</f>
        <v>75981.625049714115</v>
      </c>
      <c r="AO134" s="133">
        <f t="shared" si="36"/>
        <v>28.746024750030656</v>
      </c>
      <c r="AP134" s="133" t="e">
        <f>'Production Costs '!$N$22*(1+'Production Costs '!$P$2)^(AL134)</f>
        <v>#REF!</v>
      </c>
      <c r="AQ134" s="133" t="e">
        <f>'Production Costs '!$N$23*(1+'Production Costs '!$P$2)^AL134</f>
        <v>#REF!</v>
      </c>
      <c r="AR134" s="162">
        <f>-'Oil Royalties'!W99</f>
        <v>-10.806765610807917</v>
      </c>
      <c r="AS134" s="162">
        <f>-'Butane Royalties'!AD99</f>
        <v>-4.3036258383872479</v>
      </c>
      <c r="AT134" s="162">
        <f>-'Propane Royalties'!AD99</f>
        <v>-4.7039795129880924</v>
      </c>
      <c r="AU134" s="162">
        <f>-'Ethane Royalties'!AH99</f>
        <v>-0.33804878048780496</v>
      </c>
      <c r="AV134" s="162">
        <f>-'Natural Gas Royalties'!AB99</f>
        <v>-0.12887251450980652</v>
      </c>
      <c r="AW134" s="133" t="e">
        <f>AN134+AM134*(AP134+AQ134)+(AR134*F134)+(AV134*(V134/$AB$3))+(AS134*'Butane Royalties'!K104)+(AT134*'Propane Royalties'!K104)+(AU134*'Ethane Royalties'!K104)</f>
        <v>#REF!</v>
      </c>
      <c r="AX134" s="133" t="e">
        <f t="shared" si="37"/>
        <v>#REF!</v>
      </c>
      <c r="AY134" s="133">
        <f t="shared" si="30"/>
        <v>10070.923438332031</v>
      </c>
      <c r="AZ134" s="133">
        <f t="shared" si="31"/>
        <v>391803.51656221948</v>
      </c>
      <c r="BA134" s="133" t="e">
        <f t="shared" si="27"/>
        <v>#REF!</v>
      </c>
      <c r="BB134" s="133" t="e">
        <f t="shared" si="38"/>
        <v>#REF!</v>
      </c>
      <c r="BC134" s="133" t="e">
        <f t="shared" si="28"/>
        <v>#REF!</v>
      </c>
      <c r="BD134" s="133" t="e">
        <f t="shared" si="29"/>
        <v>#REF!</v>
      </c>
      <c r="BE134" s="133" t="e">
        <f t="shared" si="33"/>
        <v>#REF!</v>
      </c>
      <c r="BF134" s="133"/>
    </row>
    <row r="135" spans="2:58">
      <c r="B135" s="109" t="e">
        <f>'[1]Oil Production'!#REF!</f>
        <v>#REF!</v>
      </c>
      <c r="C135" s="65"/>
      <c r="D135" s="116">
        <f>'[1]Oil Production'!A96</f>
        <v>90</v>
      </c>
      <c r="E135" s="65">
        <f>'[1]Oil Production'!B96</f>
        <v>37.450938930095198</v>
      </c>
      <c r="F135" s="65">
        <f>'[1]Oil Production'!C96</f>
        <v>1139.1327257903956</v>
      </c>
      <c r="G135" s="65">
        <f>'[1]Oil Production'!D96</f>
        <v>167459.0004766644</v>
      </c>
      <c r="H135" s="95"/>
      <c r="K135" s="109">
        <f>'Liquids Type Curve'!A112</f>
        <v>7.5052241321199764</v>
      </c>
      <c r="L135" s="116">
        <f>'Liquids Type Curve'!B112</f>
        <v>90.062689585439713</v>
      </c>
      <c r="M135" s="65">
        <f>'Liquids Type Curve'!C112</f>
        <v>10.269988039993605</v>
      </c>
      <c r="N135" s="65">
        <f>'Liquids Type Curve'!D112</f>
        <v>312.3788028831388</v>
      </c>
      <c r="O135" s="65">
        <f>'Liquids Type Curve'!E112</f>
        <v>93164.777895119274</v>
      </c>
      <c r="P135" s="250"/>
      <c r="S135" s="112">
        <f>'Gas Type Curve'!A119</f>
        <v>7.4999999999999902</v>
      </c>
      <c r="T135" s="128">
        <f>'Gas Type Curve'!B119</f>
        <v>89.999999999999886</v>
      </c>
      <c r="U135" s="94">
        <f>'Gas Type Curve'!C119</f>
        <v>231.54704875010199</v>
      </c>
      <c r="V135" s="94">
        <f>'Gas Type Curve'!D119</f>
        <v>7042.8893994822693</v>
      </c>
      <c r="W135" s="94">
        <f>'Gas Type Curve'!E119</f>
        <v>1611276.1157557329</v>
      </c>
      <c r="X135" s="250"/>
      <c r="AK135" s="146">
        <f t="shared" si="34"/>
        <v>90</v>
      </c>
      <c r="AL135" s="146" t="e">
        <f t="shared" si="40"/>
        <v>#REF!</v>
      </c>
      <c r="AM135" s="146">
        <f t="shared" si="35"/>
        <v>2625.326428587246</v>
      </c>
      <c r="AN135" s="133">
        <f>'Price Deck'!E94*F135+N135*'Price Deck'!T94+(V135*'Price Deck'!K94/$AB$3)</f>
        <v>75587.845450734705</v>
      </c>
      <c r="AO135" s="133">
        <f t="shared" si="36"/>
        <v>28.791789328617096</v>
      </c>
      <c r="AP135" s="133" t="e">
        <f>'Production Costs '!$N$22*(1+'Production Costs '!$P$2)^(AL135)</f>
        <v>#REF!</v>
      </c>
      <c r="AQ135" s="133" t="e">
        <f>'Production Costs '!$N$23*(1+'Production Costs '!$P$2)^AL135</f>
        <v>#REF!</v>
      </c>
      <c r="AR135" s="162">
        <f>-'Oil Royalties'!W100</f>
        <v>-10.73727547671532</v>
      </c>
      <c r="AS135" s="162">
        <f>-'Butane Royalties'!AD100</f>
        <v>-4.2905458916834229</v>
      </c>
      <c r="AT135" s="162">
        <f>-'Propane Royalties'!AD100</f>
        <v>-4.6926878439812238</v>
      </c>
      <c r="AU135" s="162">
        <f>-'Ethane Royalties'!AH100</f>
        <v>-0.33804878048780496</v>
      </c>
      <c r="AV135" s="162">
        <f>-'Natural Gas Royalties'!AB100</f>
        <v>-0.130153545071335</v>
      </c>
      <c r="AW135" s="133" t="e">
        <f>AN135+AM135*(AP135+AQ135)+(AR135*F135)+(AV135*(V135/$AB$3))+(AS135*'Butane Royalties'!K105)+(AT135*'Propane Royalties'!K105)+(AU135*'Ethane Royalties'!K105)</f>
        <v>#REF!</v>
      </c>
      <c r="AX135" s="133" t="e">
        <f t="shared" si="37"/>
        <v>#REF!</v>
      </c>
      <c r="AY135" s="133">
        <f t="shared" si="30"/>
        <v>9818.5473506649305</v>
      </c>
      <c r="AZ135" s="133">
        <f t="shared" si="31"/>
        <v>381984.96921155456</v>
      </c>
      <c r="BA135" s="133" t="e">
        <f t="shared" si="27"/>
        <v>#REF!</v>
      </c>
      <c r="BB135" s="133" t="e">
        <f t="shared" si="38"/>
        <v>#REF!</v>
      </c>
      <c r="BC135" s="133" t="e">
        <f t="shared" si="28"/>
        <v>#REF!</v>
      </c>
      <c r="BD135" s="133" t="e">
        <f t="shared" si="29"/>
        <v>#REF!</v>
      </c>
      <c r="BE135" s="133" t="e">
        <f t="shared" si="33"/>
        <v>#REF!</v>
      </c>
      <c r="BF135" s="133"/>
    </row>
    <row r="136" spans="2:58">
      <c r="B136" s="109" t="e">
        <f>'[1]Oil Production'!#REF!</f>
        <v>#REF!</v>
      </c>
      <c r="C136" s="65"/>
      <c r="D136" s="116">
        <f>'[1]Oil Production'!A97</f>
        <v>91</v>
      </c>
      <c r="E136" s="65">
        <f>'[1]Oil Production'!B97</f>
        <v>37.279060453859252</v>
      </c>
      <c r="F136" s="65">
        <f>'[1]Oil Production'!C97</f>
        <v>1133.9047554715523</v>
      </c>
      <c r="G136" s="65">
        <f>'[1]Oil Production'!D97</f>
        <v>168592.90523213596</v>
      </c>
      <c r="H136" s="95"/>
      <c r="K136" s="109">
        <f>'Liquids Type Curve'!A113</f>
        <v>7.5885574654533094</v>
      </c>
      <c r="L136" s="116">
        <f>'Liquids Type Curve'!B113</f>
        <v>91.062689585439713</v>
      </c>
      <c r="M136" s="65">
        <f>'Liquids Type Curve'!C113</f>
        <v>10.164829250088889</v>
      </c>
      <c r="N136" s="65">
        <f>'Liquids Type Curve'!D113</f>
        <v>309.18022302353705</v>
      </c>
      <c r="O136" s="65">
        <f>'Liquids Type Curve'!E113</f>
        <v>93473.958118142808</v>
      </c>
      <c r="P136" s="250"/>
      <c r="S136" s="112">
        <f>'Gas Type Curve'!A120</f>
        <v>7.5833333333333233</v>
      </c>
      <c r="T136" s="128">
        <f>'Gas Type Curve'!B120</f>
        <v>90.999999999999886</v>
      </c>
      <c r="U136" s="94">
        <f>'Gas Type Curve'!C120</f>
        <v>229.74710867070149</v>
      </c>
      <c r="V136" s="94">
        <f>'Gas Type Curve'!D120</f>
        <v>6988.1412220671709</v>
      </c>
      <c r="W136" s="94">
        <f>'Gas Type Curve'!E120</f>
        <v>1618264.2569778</v>
      </c>
      <c r="X136" s="250"/>
      <c r="AK136" s="146">
        <f t="shared" si="34"/>
        <v>91</v>
      </c>
      <c r="AL136" s="146" t="e">
        <f t="shared" si="40"/>
        <v>#REF!</v>
      </c>
      <c r="AM136" s="146">
        <f t="shared" si="35"/>
        <v>2607.7751821729512</v>
      </c>
      <c r="AN136" s="133">
        <f>'Price Deck'!E95*F136+N136*'Price Deck'!T95+(V136*'Price Deck'!K95/$AB$3)</f>
        <v>75188.383967857342</v>
      </c>
      <c r="AO136" s="133">
        <f t="shared" si="36"/>
        <v>28.832387270901922</v>
      </c>
      <c r="AP136" s="133" t="e">
        <f>'Production Costs '!$N$22*(1+'Production Costs '!$P$2)^(AL136)</f>
        <v>#REF!</v>
      </c>
      <c r="AQ136" s="133" t="e">
        <f>'Production Costs '!$N$23*(1+'Production Costs '!$P$2)^AL136</f>
        <v>#REF!</v>
      </c>
      <c r="AR136" s="162">
        <f>-'Oil Royalties'!W101</f>
        <v>-10.673889387502699</v>
      </c>
      <c r="AS136" s="162">
        <f>-'Butane Royalties'!AD101</f>
        <v>-4.2777597023192886</v>
      </c>
      <c r="AT136" s="162">
        <f>-'Propane Royalties'!AD101</f>
        <v>-4.6816497700939106</v>
      </c>
      <c r="AU136" s="162">
        <f>-'Ethane Royalties'!AH101</f>
        <v>-0.3380487804878049</v>
      </c>
      <c r="AV136" s="162">
        <f>-'Natural Gas Royalties'!AB101</f>
        <v>-0.1304097511836407</v>
      </c>
      <c r="AW136" s="133" t="e">
        <f>AN136+AM136*(AP136+AQ136)+(AR136*F136)+(AV136*(V136/$AB$3))+(AS136*'Butane Royalties'!K106)+(AT136*'Propane Royalties'!K106)+(AU136*'Ethane Royalties'!K106)</f>
        <v>#REF!</v>
      </c>
      <c r="AX136" s="133" t="e">
        <f t="shared" si="37"/>
        <v>#REF!</v>
      </c>
      <c r="AY136" s="133">
        <f t="shared" si="30"/>
        <v>9572.4957763372677</v>
      </c>
      <c r="AZ136" s="133">
        <f t="shared" si="31"/>
        <v>372412.47343521728</v>
      </c>
      <c r="BA136" s="133" t="e">
        <f t="shared" si="27"/>
        <v>#REF!</v>
      </c>
      <c r="BB136" s="133" t="e">
        <f t="shared" si="38"/>
        <v>#REF!</v>
      </c>
      <c r="BC136" s="133" t="e">
        <f t="shared" si="28"/>
        <v>#REF!</v>
      </c>
      <c r="BD136" s="133" t="e">
        <f t="shared" si="29"/>
        <v>#REF!</v>
      </c>
      <c r="BE136" s="133" t="e">
        <f t="shared" si="33"/>
        <v>#REF!</v>
      </c>
      <c r="BF136" s="133"/>
    </row>
    <row r="137" spans="2:58">
      <c r="B137" s="109" t="e">
        <f>'[1]Oil Production'!#REF!</f>
        <v>#REF!</v>
      </c>
      <c r="C137" s="65"/>
      <c r="D137" s="116">
        <f>'[1]Oil Production'!A98</f>
        <v>92</v>
      </c>
      <c r="E137" s="65">
        <f>'[1]Oil Production'!B98</f>
        <v>37.10983642111011</v>
      </c>
      <c r="F137" s="65">
        <f>'[1]Oil Production'!C98</f>
        <v>1128.7575244754325</v>
      </c>
      <c r="G137" s="65">
        <f>'[1]Oil Production'!D98</f>
        <v>169721.66275661139</v>
      </c>
      <c r="H137" s="95"/>
      <c r="K137" s="109">
        <f>'Liquids Type Curve'!A114</f>
        <v>7.6718907987866425</v>
      </c>
      <c r="L137" s="116">
        <f>'Liquids Type Curve'!B114</f>
        <v>92.062689585439713</v>
      </c>
      <c r="M137" s="65">
        <f>'Liquids Type Curve'!C114</f>
        <v>10.061878202033057</v>
      </c>
      <c r="N137" s="65">
        <f>'Liquids Type Curve'!D114</f>
        <v>306.04879531183883</v>
      </c>
      <c r="O137" s="65">
        <f>'Liquids Type Curve'!E114</f>
        <v>93780.00691345465</v>
      </c>
      <c r="P137" s="250"/>
      <c r="S137" s="112">
        <f>'Gas Type Curve'!A121</f>
        <v>7.6666666666666563</v>
      </c>
      <c r="T137" s="128">
        <f>'Gas Type Curve'!B121</f>
        <v>91.999999999999872</v>
      </c>
      <c r="U137" s="94">
        <f>'Gas Type Curve'!C121</f>
        <v>227.98060421237065</v>
      </c>
      <c r="V137" s="94">
        <f>'Gas Type Curve'!D121</f>
        <v>6934.4100447929413</v>
      </c>
      <c r="W137" s="94">
        <f>'Gas Type Curve'!E121</f>
        <v>1625198.6670225931</v>
      </c>
      <c r="X137" s="250"/>
      <c r="AK137" s="146">
        <f t="shared" si="34"/>
        <v>92</v>
      </c>
      <c r="AL137" s="146" t="e">
        <f t="shared" si="40"/>
        <v>#REF!</v>
      </c>
      <c r="AM137" s="146">
        <f t="shared" si="35"/>
        <v>2590.5413272527617</v>
      </c>
      <c r="AN137" s="133">
        <f>'Price Deck'!E96*F137+N137*'Price Deck'!T96+(V137*'Price Deck'!K96/$AB$3)</f>
        <v>74842.663873461031</v>
      </c>
      <c r="AO137" s="133">
        <f t="shared" si="36"/>
        <v>28.890743060575215</v>
      </c>
      <c r="AP137" s="133" t="e">
        <f>'Production Costs '!$N$22*(1+'Production Costs '!$P$2)^(AL137)</f>
        <v>#REF!</v>
      </c>
      <c r="AQ137" s="133" t="e">
        <f>'Production Costs '!$N$23*(1+'Production Costs '!$P$2)^AL137</f>
        <v>#REF!</v>
      </c>
      <c r="AR137" s="162">
        <f>-'Oil Royalties'!W102</f>
        <v>-10.616544939789518</v>
      </c>
      <c r="AS137" s="162">
        <f>-'Butane Royalties'!AD102</f>
        <v>-4.2652573733008037</v>
      </c>
      <c r="AT137" s="162">
        <f>-'Propane Royalties'!AD102</f>
        <v>-4.670856747439589</v>
      </c>
      <c r="AU137" s="162">
        <f>-'Ethane Royalties'!AH102</f>
        <v>-0.33804878048780496</v>
      </c>
      <c r="AV137" s="162">
        <f>-'Natural Gas Royalties'!AB102</f>
        <v>-0.13220319396978059</v>
      </c>
      <c r="AW137" s="133" t="e">
        <f>AN137+AM137*(AP137+AQ137)+(AR137*F137)+(AV137*(V137/$AB$3))+(AS137*'Butane Royalties'!K107)+(AT137*'Propane Royalties'!K107)+(AU137*'Ethane Royalties'!K107)</f>
        <v>#REF!</v>
      </c>
      <c r="AX137" s="133" t="e">
        <f t="shared" si="37"/>
        <v>#REF!</v>
      </c>
      <c r="AY137" s="133">
        <f t="shared" si="30"/>
        <v>9332.6102238320691</v>
      </c>
      <c r="AZ137" s="133">
        <f t="shared" si="31"/>
        <v>363079.86321138521</v>
      </c>
      <c r="BA137" s="133" t="e">
        <f t="shared" si="27"/>
        <v>#REF!</v>
      </c>
      <c r="BB137" s="133" t="e">
        <f t="shared" si="38"/>
        <v>#REF!</v>
      </c>
      <c r="BC137" s="133" t="e">
        <f t="shared" si="28"/>
        <v>#REF!</v>
      </c>
      <c r="BD137" s="133" t="e">
        <f t="shared" si="29"/>
        <v>#REF!</v>
      </c>
      <c r="BE137" s="133" t="e">
        <f t="shared" si="33"/>
        <v>#REF!</v>
      </c>
      <c r="BF137" s="133"/>
    </row>
    <row r="138" spans="2:58">
      <c r="B138" s="109" t="e">
        <f>'[1]Oil Production'!#REF!</f>
        <v>#REF!</v>
      </c>
      <c r="C138" s="65"/>
      <c r="D138" s="116">
        <f>'[1]Oil Production'!A99</f>
        <v>93</v>
      </c>
      <c r="E138" s="65">
        <f>'[1]Oil Production'!B99</f>
        <v>36.943197646506803</v>
      </c>
      <c r="F138" s="65">
        <f>'[1]Oil Production'!C99</f>
        <v>1123.6889284145821</v>
      </c>
      <c r="G138" s="65">
        <f>'[1]Oil Production'!D99</f>
        <v>170845.35168502596</v>
      </c>
      <c r="H138" s="95"/>
      <c r="K138" s="109">
        <f>'Liquids Type Curve'!A115</f>
        <v>7.7552241321199755</v>
      </c>
      <c r="L138" s="116">
        <f>'Liquids Type Curve'!B115</f>
        <v>93.062689585439699</v>
      </c>
      <c r="M138" s="65">
        <f>'Liquids Type Curve'!C115</f>
        <v>9.9610653120067525</v>
      </c>
      <c r="N138" s="65">
        <f>'Liquids Type Curve'!D115</f>
        <v>302.98240324020537</v>
      </c>
      <c r="O138" s="65">
        <f>'Liquids Type Curve'!E115</f>
        <v>94082.98931669486</v>
      </c>
      <c r="P138" s="250"/>
      <c r="S138" s="112">
        <f>'Gas Type Curve'!A122</f>
        <v>7.7499999999999893</v>
      </c>
      <c r="T138" s="128">
        <f>'Gas Type Curve'!B122</f>
        <v>92.999999999999872</v>
      </c>
      <c r="U138" s="94">
        <f>'Gas Type Curve'!C122</f>
        <v>226.2465608682383</v>
      </c>
      <c r="V138" s="94">
        <f>'Gas Type Curve'!D122</f>
        <v>6881.6662264089155</v>
      </c>
      <c r="W138" s="94">
        <f>'Gas Type Curve'!E122</f>
        <v>1632080.333249002</v>
      </c>
      <c r="X138" s="250"/>
      <c r="AK138" s="146">
        <f t="shared" si="34"/>
        <v>93</v>
      </c>
      <c r="AL138" s="146" t="e">
        <f t="shared" si="40"/>
        <v>#REF!</v>
      </c>
      <c r="AM138" s="146">
        <f t="shared" si="35"/>
        <v>2573.6157027229401</v>
      </c>
      <c r="AN138" s="133">
        <f>'Price Deck'!E97*F138+N138*'Price Deck'!T97+(V138*'Price Deck'!K97/$AB$3)</f>
        <v>74603.808356142079</v>
      </c>
      <c r="AO138" s="133">
        <f t="shared" si="36"/>
        <v>28.987936418483017</v>
      </c>
      <c r="AP138" s="133" t="e">
        <f>'Production Costs '!$N$22*(1+'Production Costs '!$P$2)^(AL138)</f>
        <v>#REF!</v>
      </c>
      <c r="AQ138" s="133" t="e">
        <f>'Production Costs '!$N$23*(1+'Production Costs '!$P$2)^AL138</f>
        <v>#REF!</v>
      </c>
      <c r="AR138" s="162">
        <f>-'Oil Royalties'!W103</f>
        <v>-10.580192180131732</v>
      </c>
      <c r="AS138" s="162">
        <f>-'Butane Royalties'!AD103</f>
        <v>-4.2530294497159904</v>
      </c>
      <c r="AT138" s="162">
        <f>-'Propane Royalties'!AD103</f>
        <v>-4.6603006137727316</v>
      </c>
      <c r="AU138" s="162">
        <f>-'Ethane Royalties'!AH103</f>
        <v>-0.33804878048780496</v>
      </c>
      <c r="AV138" s="162">
        <f>-'Natural Gas Royalties'!AB103</f>
        <v>-0.1364305948228246</v>
      </c>
      <c r="AW138" s="133" t="e">
        <f>AN138+AM138*(AP138+AQ138)+(AR138*F138)+(AV138*(V138/$AB$3))+(AS138*'Butane Royalties'!K108)+(AT138*'Propane Royalties'!K108)+(AU138*'Ethane Royalties'!K108)</f>
        <v>#REF!</v>
      </c>
      <c r="AX138" s="133" t="e">
        <f t="shared" si="37"/>
        <v>#REF!</v>
      </c>
      <c r="AY138" s="133">
        <f t="shared" si="30"/>
        <v>9098.7361734100541</v>
      </c>
      <c r="AZ138" s="133">
        <f t="shared" si="31"/>
        <v>353981.12703797518</v>
      </c>
      <c r="BA138" s="133" t="e">
        <f t="shared" si="27"/>
        <v>#REF!</v>
      </c>
      <c r="BB138" s="133" t="e">
        <f t="shared" si="38"/>
        <v>#REF!</v>
      </c>
      <c r="BC138" s="133" t="e">
        <f t="shared" si="28"/>
        <v>#REF!</v>
      </c>
      <c r="BD138" s="133" t="e">
        <f t="shared" si="29"/>
        <v>#REF!</v>
      </c>
      <c r="BE138" s="133" t="e">
        <f t="shared" si="33"/>
        <v>#REF!</v>
      </c>
      <c r="BF138" s="133"/>
    </row>
    <row r="139" spans="2:58">
      <c r="B139" s="109" t="e">
        <f>'[1]Oil Production'!#REF!</f>
        <v>#REF!</v>
      </c>
      <c r="C139" s="65"/>
      <c r="D139" s="116">
        <f>'[1]Oil Production'!A100</f>
        <v>94</v>
      </c>
      <c r="E139" s="65">
        <f>'[1]Oil Production'!B100</f>
        <v>36.779077467044445</v>
      </c>
      <c r="F139" s="65">
        <f>'[1]Oil Production'!C100</f>
        <v>1118.6969396226018</v>
      </c>
      <c r="G139" s="65">
        <f>'[1]Oil Production'!D100</f>
        <v>171964.04862464857</v>
      </c>
      <c r="H139" s="95"/>
      <c r="K139" s="109">
        <f>'Liquids Type Curve'!A116</f>
        <v>7.8385574654533086</v>
      </c>
      <c r="L139" s="116">
        <f>'Liquids Type Curve'!B116</f>
        <v>94.062689585439699</v>
      </c>
      <c r="M139" s="65">
        <f>'Liquids Type Curve'!C116</f>
        <v>9.8623239060467895</v>
      </c>
      <c r="N139" s="65">
        <f>'Liquids Type Curve'!D116</f>
        <v>299.97901880892317</v>
      </c>
      <c r="O139" s="65">
        <f>'Liquids Type Curve'!E116</f>
        <v>94382.968335503785</v>
      </c>
      <c r="P139" s="250"/>
      <c r="S139" s="112">
        <f>'Gas Type Curve'!A123</f>
        <v>7.8333333333333224</v>
      </c>
      <c r="T139" s="128">
        <f>'Gas Type Curve'!B123</f>
        <v>93.999999999999872</v>
      </c>
      <c r="U139" s="94">
        <f>'Gas Type Curve'!C123</f>
        <v>224.54404261508714</v>
      </c>
      <c r="V139" s="94">
        <f>'Gas Type Curve'!D123</f>
        <v>6829.8812962089005</v>
      </c>
      <c r="W139" s="94">
        <f>'Gas Type Curve'!E123</f>
        <v>1638910.2145452108</v>
      </c>
      <c r="X139" s="250"/>
      <c r="AK139" s="146">
        <f t="shared" si="34"/>
        <v>94</v>
      </c>
      <c r="AL139" s="146" t="e">
        <f t="shared" si="40"/>
        <v>#REF!</v>
      </c>
      <c r="AM139" s="146">
        <f t="shared" si="35"/>
        <v>2556.9895077996753</v>
      </c>
      <c r="AN139" s="133">
        <f>'Price Deck'!E98*F139+N139*'Price Deck'!T98+(V139*'Price Deck'!K98/$AB$3)</f>
        <v>74405.538751178407</v>
      </c>
      <c r="AO139" s="133">
        <f t="shared" si="36"/>
        <v>29.098883090531491</v>
      </c>
      <c r="AP139" s="133" t="e">
        <f>'Production Costs '!$N$22*(1+'Production Costs '!$P$2)^(AL139)</f>
        <v>#REF!</v>
      </c>
      <c r="AQ139" s="133" t="e">
        <f>'Production Costs '!$N$23*(1+'Production Costs '!$P$2)^AL139</f>
        <v>#REF!</v>
      </c>
      <c r="AR139" s="162">
        <f>-'Oil Royalties'!W104</f>
        <v>-10.504784880373599</v>
      </c>
      <c r="AS139" s="162">
        <f>-'Butane Royalties'!AD104</f>
        <v>-4.2410668942440548</v>
      </c>
      <c r="AT139" s="162">
        <f>-'Propane Royalties'!AD104</f>
        <v>-4.6499735673463176</v>
      </c>
      <c r="AU139" s="162">
        <f>-'Ethane Royalties'!AH104</f>
        <v>-0.3380487804878049</v>
      </c>
      <c r="AV139" s="162">
        <f>-'Natural Gas Royalties'!AB104</f>
        <v>-0.14616642709044114</v>
      </c>
      <c r="AW139" s="133" t="e">
        <f>AN139+AM139*(AP139+AQ139)+(AR139*F139)+(AV139*(V139/$AB$3))+(AS139*'Butane Royalties'!K109)+(AT139*'Propane Royalties'!K109)+(AU139*'Ethane Royalties'!K109)</f>
        <v>#REF!</v>
      </c>
      <c r="AX139" s="133" t="e">
        <f t="shared" si="37"/>
        <v>#REF!</v>
      </c>
      <c r="AY139" s="133">
        <f t="shared" si="30"/>
        <v>8870.722977577374</v>
      </c>
      <c r="AZ139" s="133">
        <f t="shared" si="31"/>
        <v>345110.40406039782</v>
      </c>
      <c r="BA139" s="133" t="e">
        <f t="shared" si="27"/>
        <v>#REF!</v>
      </c>
      <c r="BB139" s="133" t="e">
        <f t="shared" si="38"/>
        <v>#REF!</v>
      </c>
      <c r="BC139" s="133" t="e">
        <f t="shared" si="28"/>
        <v>#REF!</v>
      </c>
      <c r="BD139" s="133" t="e">
        <f t="shared" si="29"/>
        <v>#REF!</v>
      </c>
      <c r="BE139" s="133" t="e">
        <f t="shared" si="33"/>
        <v>#REF!</v>
      </c>
      <c r="BF139" s="133"/>
    </row>
    <row r="140" spans="2:58">
      <c r="B140" s="109" t="e">
        <f>'[1]Oil Production'!#REF!</f>
        <v>#REF!</v>
      </c>
      <c r="C140" s="65"/>
      <c r="D140" s="116">
        <f>'[1]Oil Production'!A101</f>
        <v>95</v>
      </c>
      <c r="E140" s="65">
        <f>'[1]Oil Production'!B101</f>
        <v>36.617411624432677</v>
      </c>
      <c r="F140" s="65">
        <f>'[1]Oil Production'!C101</f>
        <v>1113.7796035764939</v>
      </c>
      <c r="G140" s="65">
        <f>'[1]Oil Production'!D101</f>
        <v>173077.82822822506</v>
      </c>
      <c r="H140" s="95"/>
      <c r="K140" s="109">
        <f>'Liquids Type Curve'!A117</f>
        <v>7.9218907987866416</v>
      </c>
      <c r="L140" s="116">
        <f>'Liquids Type Curve'!B117</f>
        <v>95.062689585439699</v>
      </c>
      <c r="M140" s="65">
        <f>'Liquids Type Curve'!C117</f>
        <v>9.7655900690212896</v>
      </c>
      <c r="N140" s="65">
        <f>'Liquids Type Curve'!D117</f>
        <v>297.03669793273093</v>
      </c>
      <c r="O140" s="65">
        <f>'Liquids Type Curve'!E117</f>
        <v>94680.005033436522</v>
      </c>
      <c r="P140" s="250"/>
      <c r="S140" s="112">
        <f>'Gas Type Curve'!A124</f>
        <v>7.9166666666666554</v>
      </c>
      <c r="T140" s="128">
        <f>'Gas Type Curve'!B124</f>
        <v>94.999999999999858</v>
      </c>
      <c r="U140" s="94">
        <f>'Gas Type Curve'!C124</f>
        <v>222.87215000391251</v>
      </c>
      <c r="V140" s="94">
        <f>'Gas Type Curve'!D124</f>
        <v>6779.0278959523393</v>
      </c>
      <c r="W140" s="94">
        <f>'Gas Type Curve'!E124</f>
        <v>1645689.2424411632</v>
      </c>
      <c r="X140" s="250"/>
      <c r="AK140" s="146">
        <f t="shared" si="34"/>
        <v>95</v>
      </c>
      <c r="AL140" s="146" t="e">
        <f t="shared" si="40"/>
        <v>#REF!</v>
      </c>
      <c r="AM140" s="146">
        <f t="shared" si="35"/>
        <v>2540.6542841679479</v>
      </c>
      <c r="AN140" s="133">
        <f>'Price Deck'!E99*F140+N140*'Price Deck'!T99+(V140*'Price Deck'!K99/$AB$3)</f>
        <v>74964.316654253489</v>
      </c>
      <c r="AO140" s="133">
        <f t="shared" si="36"/>
        <v>29.505910001763166</v>
      </c>
      <c r="AP140" s="133" t="e">
        <f>'Production Costs '!$N$22*(1+'Production Costs '!$P$2)^(AL140)</f>
        <v>#REF!</v>
      </c>
      <c r="AQ140" s="133" t="e">
        <f>'Production Costs '!$N$23*(1+'Production Costs '!$P$2)^AL140</f>
        <v>#REF!</v>
      </c>
      <c r="AR140" s="162">
        <f>-'Oil Royalties'!W105</f>
        <v>-11.679469249040801</v>
      </c>
      <c r="AS140" s="162">
        <f>-'Butane Royalties'!AD105</f>
        <v>-5.800154907843984</v>
      </c>
      <c r="AT140" s="162">
        <f>-'Propane Royalties'!AD105</f>
        <v>-5.4489408381298459</v>
      </c>
      <c r="AU140" s="162">
        <f>-'Ethane Royalties'!AH105</f>
        <v>-0.36049859999999995</v>
      </c>
      <c r="AV140" s="162">
        <f>-'Natural Gas Royalties'!AB105</f>
        <v>-0.16098683598073221</v>
      </c>
      <c r="AW140" s="133" t="e">
        <f>AN140+AM140*(AP140+AQ140)+(AR140*F140)+(AV140*(V140/$AB$3))+(AS140*'Butane Royalties'!K110)+(AT140*'Propane Royalties'!K110)+(AU140*'Ethane Royalties'!K110)</f>
        <v>#REF!</v>
      </c>
      <c r="AX140" s="133" t="e">
        <f t="shared" si="37"/>
        <v>#REF!</v>
      </c>
      <c r="AY140" s="133">
        <f t="shared" si="30"/>
        <v>8648.4237640476167</v>
      </c>
      <c r="AZ140" s="133">
        <f t="shared" si="31"/>
        <v>336461.9802963502</v>
      </c>
      <c r="BA140" s="133" t="e">
        <f t="shared" si="27"/>
        <v>#REF!</v>
      </c>
      <c r="BB140" s="133" t="e">
        <f t="shared" si="38"/>
        <v>#REF!</v>
      </c>
      <c r="BC140" s="133" t="e">
        <f t="shared" si="28"/>
        <v>#REF!</v>
      </c>
      <c r="BD140" s="133" t="e">
        <f t="shared" si="29"/>
        <v>#REF!</v>
      </c>
      <c r="BE140" s="133" t="e">
        <f t="shared" si="33"/>
        <v>#REF!</v>
      </c>
      <c r="BF140" s="133"/>
    </row>
    <row r="141" spans="2:58">
      <c r="B141" s="109" t="e">
        <f>'[1]Oil Production'!#REF!</f>
        <v>#REF!</v>
      </c>
      <c r="C141" s="65"/>
      <c r="D141" s="116">
        <f>'[1]Oil Production'!A102</f>
        <v>96</v>
      </c>
      <c r="E141" s="65">
        <f>'[1]Oil Production'!B102</f>
        <v>36.458138154130843</v>
      </c>
      <c r="F141" s="65">
        <f>'[1]Oil Production'!C102</f>
        <v>1108.9350355214799</v>
      </c>
      <c r="G141" s="65">
        <f>'[1]Oil Production'!D102</f>
        <v>174186.76326374654</v>
      </c>
      <c r="H141" s="95"/>
      <c r="K141" s="109">
        <f>'Liquids Type Curve'!A118</f>
        <v>8.0052241321199755</v>
      </c>
      <c r="L141" s="116">
        <f>'Liquids Type Curve'!B118</f>
        <v>96.062689585439699</v>
      </c>
      <c r="M141" s="65">
        <f>'Liquids Type Curve'!C118</f>
        <v>9.6708025029343307</v>
      </c>
      <c r="N141" s="65">
        <f>'Liquids Type Curve'!D118</f>
        <v>294.15357613091925</v>
      </c>
      <c r="O141" s="65">
        <f>'Liquids Type Curve'!E118</f>
        <v>94974.158609567443</v>
      </c>
      <c r="P141" s="250"/>
      <c r="S141" s="112">
        <f>'Gas Type Curve'!A125</f>
        <v>7.9999999999999885</v>
      </c>
      <c r="T141" s="128">
        <f>'Gas Type Curve'!B125</f>
        <v>95.999999999999858</v>
      </c>
      <c r="U141" s="94">
        <f>'Gas Type Curve'!C125</f>
        <v>221.23001836415435</v>
      </c>
      <c r="V141" s="94">
        <f>'Gas Type Curve'!D125</f>
        <v>6729.0797252430284</v>
      </c>
      <c r="W141" s="94">
        <f>'Gas Type Curve'!E125</f>
        <v>1652418.3221664061</v>
      </c>
      <c r="X141" s="250"/>
      <c r="AK141" s="146">
        <f t="shared" si="34"/>
        <v>96</v>
      </c>
      <c r="AL141" s="146" t="e">
        <f>$B$141</f>
        <v>#REF!</v>
      </c>
      <c r="AM141" s="146">
        <f t="shared" si="35"/>
        <v>2524.6018991929041</v>
      </c>
      <c r="AN141" s="133">
        <f>'Price Deck'!E100*F141+N141*'Price Deck'!T100+(V141*'Price Deck'!K100/$AB$3)</f>
        <v>74527.972070163931</v>
      </c>
      <c r="AO141" s="133">
        <f t="shared" si="36"/>
        <v>29.520682882315011</v>
      </c>
      <c r="AP141" s="133" t="e">
        <f>'Production Costs '!$N$22*(1+'Production Costs '!$P$2)^(AL141)</f>
        <v>#REF!</v>
      </c>
      <c r="AQ141" s="133" t="e">
        <f>'Production Costs '!$N$23*(1+'Production Costs '!$P$2)^AL141</f>
        <v>#REF!</v>
      </c>
      <c r="AR141" s="162">
        <f>-'Oil Royalties'!W106</f>
        <v>-11.618649803765981</v>
      </c>
      <c r="AS141" s="162">
        <f>-'Butane Royalties'!AD106</f>
        <v>-5.7879366499150873</v>
      </c>
      <c r="AT141" s="162">
        <f>-'Propane Royalties'!AD106</f>
        <v>-5.4383930486397505</v>
      </c>
      <c r="AU141" s="162">
        <f>-'Ethane Royalties'!AH106</f>
        <v>-0.36049859999999995</v>
      </c>
      <c r="AV141" s="162">
        <f>-'Natural Gas Royalties'!AB106</f>
        <v>-0.15864303043959566</v>
      </c>
      <c r="AW141" s="133" t="e">
        <f>AN141+AM141*(AP141+AQ141)+(AR141*F141)+(AV141*(V141/$AB$3))+(AS141*'Butane Royalties'!K111)+(AT141*'Propane Royalties'!K111)+(AU141*'Ethane Royalties'!K111)</f>
        <v>#REF!</v>
      </c>
      <c r="AX141" s="133" t="e">
        <f t="shared" si="37"/>
        <v>#REF!</v>
      </c>
      <c r="AY141" s="133">
        <f t="shared" si="30"/>
        <v>8431.6953411355862</v>
      </c>
      <c r="AZ141" s="133">
        <f t="shared" si="31"/>
        <v>328030.28495521459</v>
      </c>
      <c r="BA141" s="133" t="e">
        <f t="shared" si="27"/>
        <v>#REF!</v>
      </c>
      <c r="BB141" s="133" t="e">
        <f t="shared" si="38"/>
        <v>#REF!</v>
      </c>
      <c r="BC141" s="133" t="e">
        <f t="shared" si="28"/>
        <v>#REF!</v>
      </c>
      <c r="BD141" s="133" t="e">
        <f t="shared" si="29"/>
        <v>#REF!</v>
      </c>
      <c r="BE141" s="133" t="e">
        <f t="shared" si="33"/>
        <v>#REF!</v>
      </c>
      <c r="BF141" s="133"/>
    </row>
    <row r="142" spans="2:58">
      <c r="B142" s="109" t="e">
        <f>'[1]Oil Production'!#REF!</f>
        <v>#REF!</v>
      </c>
      <c r="C142" s="65" t="e">
        <f>B141</f>
        <v>#REF!</v>
      </c>
      <c r="D142" s="116">
        <f>'[1]Oil Production'!A103</f>
        <v>97</v>
      </c>
      <c r="E142" s="65">
        <f>'[1]Oil Production'!B103</f>
        <v>36.301197280598082</v>
      </c>
      <c r="F142" s="65">
        <f>'[1]Oil Production'!C103</f>
        <v>1104.1614172848583</v>
      </c>
      <c r="G142" s="65">
        <f>'[1]Oil Production'!D103</f>
        <v>175290.92468103141</v>
      </c>
      <c r="H142" s="95" t="e">
        <f>IF(C142&gt;0,((E142-E130)/(E130)),0)</f>
        <v>#REF!</v>
      </c>
      <c r="K142" s="109">
        <f>'Liquids Type Curve'!A119</f>
        <v>8.0885574654533094</v>
      </c>
      <c r="L142" s="116">
        <f>'Liquids Type Curve'!B119</f>
        <v>97.062689585439713</v>
      </c>
      <c r="M142" s="65">
        <f>'Liquids Type Curve'!C119</f>
        <v>9.5779023938933552</v>
      </c>
      <c r="N142" s="65">
        <f>'Liquids Type Curve'!D119</f>
        <v>291.32786448092293</v>
      </c>
      <c r="O142" s="65">
        <f>'Liquids Type Curve'!E119</f>
        <v>95265.486474048361</v>
      </c>
      <c r="P142" s="250" t="e">
        <f t="shared" si="24"/>
        <v>#REF!</v>
      </c>
      <c r="S142" s="112">
        <f>'Gas Type Curve'!A126</f>
        <v>8.0833333333333215</v>
      </c>
      <c r="T142" s="128">
        <f>'Gas Type Curve'!B126</f>
        <v>96.999999999999858</v>
      </c>
      <c r="U142" s="94">
        <f>'Gas Type Curve'!C126</f>
        <v>219.61681611373223</v>
      </c>
      <c r="V142" s="94">
        <f>'Gas Type Curve'!D126</f>
        <v>6680.0114901260222</v>
      </c>
      <c r="W142" s="94">
        <f>'Gas Type Curve'!E126</f>
        <v>1659098.333656532</v>
      </c>
      <c r="X142" s="250" t="e">
        <f t="shared" si="39"/>
        <v>#REF!</v>
      </c>
      <c r="AK142" s="146">
        <f t="shared" si="34"/>
        <v>97</v>
      </c>
      <c r="AL142" s="146" t="e">
        <f t="shared" ref="AL142:AL152" si="41">$B$141</f>
        <v>#REF!</v>
      </c>
      <c r="AM142" s="146">
        <f t="shared" si="35"/>
        <v>2508.8245301201182</v>
      </c>
      <c r="AN142" s="133">
        <f>'Price Deck'!E101*F142+N142*'Price Deck'!T101+(V142*'Price Deck'!K101/$AB$3)</f>
        <v>74009.813259129427</v>
      </c>
      <c r="AO142" s="133">
        <f t="shared" si="36"/>
        <v>29.499796566317041</v>
      </c>
      <c r="AP142" s="133" t="e">
        <f>'Production Costs '!$N$22*(1+'Production Costs '!$P$2)^(AL142)</f>
        <v>#REF!</v>
      </c>
      <c r="AQ142" s="133" t="e">
        <f>'Production Costs '!$N$23*(1+'Production Costs '!$P$2)^AL142</f>
        <v>#REF!</v>
      </c>
      <c r="AR142" s="162">
        <f>-'Oil Royalties'!W107</f>
        <v>-11.536918474490163</v>
      </c>
      <c r="AS142" s="162">
        <f>-'Butane Royalties'!AD107</f>
        <v>-5.7759749065331416</v>
      </c>
      <c r="AT142" s="162">
        <f>-'Propane Royalties'!AD107</f>
        <v>-5.4280667032751682</v>
      </c>
      <c r="AU142" s="162">
        <f>-'Ethane Royalties'!AH107</f>
        <v>-0.3604986</v>
      </c>
      <c r="AV142" s="162">
        <f>-'Natural Gas Royalties'!AB107</f>
        <v>-0.15429024872034203</v>
      </c>
      <c r="AW142" s="133" t="e">
        <f>AN142+AM142*(AP142+AQ142)+(AR142*F142)+(AV142*(V142/$AB$3))+(AS142*'Butane Royalties'!K112)+(AT142*'Propane Royalties'!K112)+(AU142*'Ethane Royalties'!K112)</f>
        <v>#REF!</v>
      </c>
      <c r="AX142" s="133" t="e">
        <f t="shared" si="37"/>
        <v>#REF!</v>
      </c>
      <c r="AY142" s="133">
        <f t="shared" si="30"/>
        <v>8220.3981055218919</v>
      </c>
      <c r="AZ142" s="133">
        <f t="shared" si="31"/>
        <v>319809.88684969267</v>
      </c>
      <c r="BA142" s="133" t="e">
        <f t="shared" si="27"/>
        <v>#REF!</v>
      </c>
      <c r="BB142" s="133" t="e">
        <f t="shared" si="38"/>
        <v>#REF!</v>
      </c>
      <c r="BC142" s="133" t="e">
        <f t="shared" si="28"/>
        <v>#REF!</v>
      </c>
      <c r="BD142" s="133" t="e">
        <f t="shared" si="29"/>
        <v>#REF!</v>
      </c>
      <c r="BE142" s="133" t="e">
        <f t="shared" si="33"/>
        <v>#REF!</v>
      </c>
      <c r="BF142" s="133"/>
    </row>
    <row r="143" spans="2:58">
      <c r="B143" s="109" t="e">
        <f>'[1]Oil Production'!#REF!</f>
        <v>#REF!</v>
      </c>
      <c r="C143" s="65"/>
      <c r="D143" s="116">
        <f>'[1]Oil Production'!A104</f>
        <v>98</v>
      </c>
      <c r="E143" s="65">
        <f>'[1]Oil Production'!B104</f>
        <v>36.14653131835027</v>
      </c>
      <c r="F143" s="65">
        <f>'[1]Oil Production'!C104</f>
        <v>1099.4569942664875</v>
      </c>
      <c r="G143" s="65">
        <f>'[1]Oil Production'!D104</f>
        <v>176390.38167529789</v>
      </c>
      <c r="H143" s="95"/>
      <c r="K143" s="109">
        <f>'Liquids Type Curve'!A120</f>
        <v>8.1718907987866434</v>
      </c>
      <c r="L143" s="116">
        <f>'Liquids Type Curve'!B120</f>
        <v>98.062689585439728</v>
      </c>
      <c r="M143" s="65">
        <f>'Liquids Type Curve'!C120</f>
        <v>9.4868332871271193</v>
      </c>
      <c r="N143" s="65">
        <f>'Liquids Type Curve'!D120</f>
        <v>288.55784581678324</v>
      </c>
      <c r="O143" s="65">
        <f>'Liquids Type Curve'!E120</f>
        <v>95554.044319865148</v>
      </c>
      <c r="P143" s="250"/>
      <c r="S143" s="112">
        <f>'Gas Type Curve'!A127</f>
        <v>8.1666666666666554</v>
      </c>
      <c r="T143" s="128">
        <f>'Gas Type Curve'!B127</f>
        <v>97.999999999999858</v>
      </c>
      <c r="U143" s="94">
        <f>'Gas Type Curve'!C127</f>
        <v>218.03174316763062</v>
      </c>
      <c r="V143" s="94">
        <f>'Gas Type Curve'!D127</f>
        <v>6631.798854682098</v>
      </c>
      <c r="W143" s="94">
        <f>'Gas Type Curve'!E127</f>
        <v>1665730.1325112141</v>
      </c>
      <c r="X143" s="250"/>
      <c r="AK143" s="146">
        <f t="shared" si="34"/>
        <v>98</v>
      </c>
      <c r="AL143" s="146" t="e">
        <f t="shared" si="41"/>
        <v>#REF!</v>
      </c>
      <c r="AM143" s="146">
        <f t="shared" si="35"/>
        <v>2493.3146491969537</v>
      </c>
      <c r="AN143" s="133">
        <f>'Price Deck'!E102*F143+N143*'Price Deck'!T102+(V143*'Price Deck'!K102/$AB$3)</f>
        <v>73295.701378285419</v>
      </c>
      <c r="AO143" s="133">
        <f t="shared" si="36"/>
        <v>29.396891965437447</v>
      </c>
      <c r="AP143" s="133" t="e">
        <f>'Production Costs '!$N$22*(1+'Production Costs '!$P$2)^(AL143)</f>
        <v>#REF!</v>
      </c>
      <c r="AQ143" s="133" t="e">
        <f>'Production Costs '!$N$23*(1+'Production Costs '!$P$2)^AL143</f>
        <v>#REF!</v>
      </c>
      <c r="AR143" s="162">
        <f>-'Oil Royalties'!W108</f>
        <v>-11.472562943915278</v>
      </c>
      <c r="AS143" s="162">
        <f>-'Butane Royalties'!AD108</f>
        <v>-5.7642615928480501</v>
      </c>
      <c r="AT143" s="162">
        <f>-'Propane Royalties'!AD108</f>
        <v>-5.4179548225389107</v>
      </c>
      <c r="AU143" s="162">
        <f>-'Ethane Royalties'!AH108</f>
        <v>-0.3604986</v>
      </c>
      <c r="AV143" s="162">
        <f>-'Natural Gas Royalties'!AB108</f>
        <v>-0.13922292738446412</v>
      </c>
      <c r="AW143" s="133" t="e">
        <f>AN143+AM143*(AP143+AQ143)+(AR143*F143)+(AV143*(V143/$AB$3))+(AS143*'Butane Royalties'!K113)+(AT143*'Propane Royalties'!K113)+(AU143*'Ethane Royalties'!K113)</f>
        <v>#REF!</v>
      </c>
      <c r="AX143" s="133" t="e">
        <f t="shared" si="37"/>
        <v>#REF!</v>
      </c>
      <c r="AY143" s="133">
        <f t="shared" si="30"/>
        <v>8014.3959523289523</v>
      </c>
      <c r="AZ143" s="133">
        <f t="shared" si="31"/>
        <v>311795.49089736375</v>
      </c>
      <c r="BA143" s="133" t="e">
        <f t="shared" si="27"/>
        <v>#REF!</v>
      </c>
      <c r="BB143" s="133" t="e">
        <f t="shared" si="38"/>
        <v>#REF!</v>
      </c>
      <c r="BC143" s="133" t="e">
        <f t="shared" si="28"/>
        <v>#REF!</v>
      </c>
      <c r="BD143" s="133" t="e">
        <f t="shared" si="29"/>
        <v>#REF!</v>
      </c>
      <c r="BE143" s="133" t="e">
        <f t="shared" si="33"/>
        <v>#REF!</v>
      </c>
      <c r="BF143" s="133"/>
    </row>
    <row r="144" spans="2:58">
      <c r="B144" s="109" t="e">
        <f>'[1]Oil Production'!#REF!</f>
        <v>#REF!</v>
      </c>
      <c r="C144" s="65"/>
      <c r="D144" s="116">
        <f>'[1]Oil Production'!A105</f>
        <v>99</v>
      </c>
      <c r="E144" s="65">
        <f>'[1]Oil Production'!B105</f>
        <v>35.994084578446362</v>
      </c>
      <c r="F144" s="65">
        <f>'[1]Oil Production'!C105</f>
        <v>1094.8200725944102</v>
      </c>
      <c r="G144" s="65">
        <f>'[1]Oil Production'!D105</f>
        <v>177485.20174789231</v>
      </c>
      <c r="H144" s="95"/>
      <c r="K144" s="109">
        <f>'Liquids Type Curve'!A121</f>
        <v>8.2552241321199773</v>
      </c>
      <c r="L144" s="116">
        <f>'Liquids Type Curve'!B121</f>
        <v>99.062689585439728</v>
      </c>
      <c r="M144" s="65">
        <f>'Liquids Type Curve'!C121</f>
        <v>9.3975409694902616</v>
      </c>
      <c r="N144" s="65">
        <f>'Liquids Type Curve'!D121</f>
        <v>285.84187115532882</v>
      </c>
      <c r="O144" s="65">
        <f>'Liquids Type Curve'!E121</f>
        <v>95839.886191020472</v>
      </c>
      <c r="P144" s="250"/>
      <c r="S144" s="112">
        <f>'Gas Type Curve'!A128</f>
        <v>8.2499999999999893</v>
      </c>
      <c r="T144" s="128">
        <f>'Gas Type Curve'!B128</f>
        <v>98.999999999999872</v>
      </c>
      <c r="U144" s="94">
        <f>'Gas Type Curve'!C128</f>
        <v>216.47402943834939</v>
      </c>
      <c r="V144" s="94">
        <f>'Gas Type Curve'!D128</f>
        <v>6584.418395416461</v>
      </c>
      <c r="W144" s="94">
        <f>'Gas Type Curve'!E128</f>
        <v>1672314.5509066305</v>
      </c>
      <c r="X144" s="250"/>
      <c r="AK144" s="146">
        <f t="shared" si="34"/>
        <v>99</v>
      </c>
      <c r="AL144" s="146" t="e">
        <f t="shared" si="41"/>
        <v>#REF!</v>
      </c>
      <c r="AM144" s="146">
        <f t="shared" si="35"/>
        <v>2478.0650096524823</v>
      </c>
      <c r="AN144" s="133">
        <f>'Price Deck'!E103*F144+N144*'Price Deck'!T103+(V144*'Price Deck'!K103/$AB$3)</f>
        <v>72874.754006793883</v>
      </c>
      <c r="AO144" s="133">
        <f t="shared" si="36"/>
        <v>29.407926637491101</v>
      </c>
      <c r="AP144" s="133" t="e">
        <f>'Production Costs '!$N$22*(1+'Production Costs '!$P$2)^(AL144)</f>
        <v>#REF!</v>
      </c>
      <c r="AQ144" s="133" t="e">
        <f>'Production Costs '!$N$23*(1+'Production Costs '!$P$2)^AL144</f>
        <v>#REF!</v>
      </c>
      <c r="AR144" s="162">
        <f>-'Oil Royalties'!W109</f>
        <v>-11.398255228989218</v>
      </c>
      <c r="AS144" s="162">
        <f>-'Butane Royalties'!AD109</f>
        <v>-5.7527889621019765</v>
      </c>
      <c r="AT144" s="162">
        <f>-'Propane Royalties'!AD109</f>
        <v>-5.4080507188024036</v>
      </c>
      <c r="AU144" s="162">
        <f>-'Ethane Royalties'!AH109</f>
        <v>-0.3604986</v>
      </c>
      <c r="AV144" s="162">
        <f>-'Natural Gas Royalties'!AB109</f>
        <v>-0.13801754167759389</v>
      </c>
      <c r="AW144" s="133" t="e">
        <f>AN144+AM144*(AP144+AQ144)+(AR144*F144)+(AV144*(V144/$AB$3))+(AS144*'Butane Royalties'!K114)+(AT144*'Propane Royalties'!K114)+(AU144*'Ethane Royalties'!K114)</f>
        <v>#REF!</v>
      </c>
      <c r="AX144" s="133" t="e">
        <f t="shared" si="37"/>
        <v>#REF!</v>
      </c>
      <c r="AY144" s="133">
        <f t="shared" si="30"/>
        <v>7813.5561874504701</v>
      </c>
      <c r="AZ144" s="133">
        <f t="shared" si="31"/>
        <v>303981.93470991327</v>
      </c>
      <c r="BA144" s="133" t="e">
        <f t="shared" si="27"/>
        <v>#REF!</v>
      </c>
      <c r="BB144" s="133" t="e">
        <f t="shared" si="38"/>
        <v>#REF!</v>
      </c>
      <c r="BC144" s="133" t="e">
        <f t="shared" si="28"/>
        <v>#REF!</v>
      </c>
      <c r="BD144" s="133" t="e">
        <f t="shared" si="29"/>
        <v>#REF!</v>
      </c>
      <c r="BE144" s="133" t="e">
        <f t="shared" si="33"/>
        <v>#REF!</v>
      </c>
      <c r="BF144" s="133"/>
    </row>
    <row r="145" spans="2:59">
      <c r="B145" s="109" t="e">
        <f>'[1]Oil Production'!#REF!</f>
        <v>#REF!</v>
      </c>
      <c r="C145" s="65"/>
      <c r="D145" s="116">
        <f>'[1]Oil Production'!A106</f>
        <v>100</v>
      </c>
      <c r="E145" s="65">
        <f>'[1]Oil Production'!B106</f>
        <v>35.843803280054608</v>
      </c>
      <c r="F145" s="65">
        <f>'[1]Oil Production'!C106</f>
        <v>1090.2490164349945</v>
      </c>
      <c r="G145" s="65">
        <f>'[1]Oil Production'!D106</f>
        <v>178575.45076432731</v>
      </c>
      <c r="H145" s="95"/>
      <c r="K145" s="109">
        <f>'Liquids Type Curve'!A122</f>
        <v>8.3385574654533112</v>
      </c>
      <c r="L145" s="116">
        <f>'Liquids Type Curve'!B122</f>
        <v>100.06268958543973</v>
      </c>
      <c r="M145" s="65">
        <f>'Liquids Type Curve'!C122</f>
        <v>9.3099733589359026</v>
      </c>
      <c r="N145" s="65">
        <f>'Liquids Type Curve'!D122</f>
        <v>283.17835633430036</v>
      </c>
      <c r="O145" s="65">
        <f>'Liquids Type Curve'!E122</f>
        <v>96123.064547354777</v>
      </c>
      <c r="P145" s="250"/>
      <c r="S145" s="112">
        <f>'Gas Type Curve'!A129</f>
        <v>8.3333333333333233</v>
      </c>
      <c r="T145" s="128">
        <f>'Gas Type Curve'!B129</f>
        <v>99.999999999999886</v>
      </c>
      <c r="U145" s="94">
        <f>'Gas Type Curve'!C129</f>
        <v>214.94293342205032</v>
      </c>
      <c r="V145" s="94">
        <f>'Gas Type Curve'!D129</f>
        <v>6537.8475582540304</v>
      </c>
      <c r="W145" s="94">
        <f>'Gas Type Curve'!E129</f>
        <v>1678852.3984648846</v>
      </c>
      <c r="X145" s="250"/>
      <c r="AK145" s="146">
        <f t="shared" si="34"/>
        <v>100</v>
      </c>
      <c r="AL145" s="146" t="e">
        <f t="shared" si="41"/>
        <v>#REF!</v>
      </c>
      <c r="AM145" s="146">
        <f t="shared" si="35"/>
        <v>2463.0686324783001</v>
      </c>
      <c r="AN145" s="133">
        <f>'Price Deck'!E104*F145+N145*'Price Deck'!T104+(V145*'Price Deck'!K104/$AB$3)</f>
        <v>72514.993416528145</v>
      </c>
      <c r="AO145" s="133">
        <f t="shared" si="36"/>
        <v>29.440914662440697</v>
      </c>
      <c r="AP145" s="133" t="e">
        <f>'Production Costs '!$N$22*(1+'Production Costs '!$P$2)^(AL145)</f>
        <v>#REF!</v>
      </c>
      <c r="AQ145" s="133" t="e">
        <f>'Production Costs '!$N$23*(1+'Production Costs '!$P$2)^AL145</f>
        <v>#REF!</v>
      </c>
      <c r="AR145" s="162">
        <f>-'Oil Royalties'!W110</f>
        <v>-11.319477512529234</v>
      </c>
      <c r="AS145" s="162">
        <f>-'Butane Royalties'!AD110</f>
        <v>-5.7415495880819822</v>
      </c>
      <c r="AT145" s="162">
        <f>-'Propane Royalties'!AD110</f>
        <v>-5.3983479811573742</v>
      </c>
      <c r="AU145" s="162">
        <f>-'Ethane Royalties'!AH110</f>
        <v>-0.3604986</v>
      </c>
      <c r="AV145" s="162">
        <f>-'Natural Gas Royalties'!AB110</f>
        <v>-0.13982562023789921</v>
      </c>
      <c r="AW145" s="133" t="e">
        <f>AN145+AM145*(AP145+AQ145)+(AR145*F145)+(AV145*(V145/$AB$3))+(AS145*'Butane Royalties'!K115)+(AT145*'Propane Royalties'!K115)+(AU145*'Ethane Royalties'!K115)</f>
        <v>#REF!</v>
      </c>
      <c r="AX145" s="133" t="e">
        <f t="shared" si="37"/>
        <v>#REF!</v>
      </c>
      <c r="AY145" s="133">
        <f t="shared" si="30"/>
        <v>7617.7494420779321</v>
      </c>
      <c r="AZ145" s="133">
        <f t="shared" si="31"/>
        <v>296364.18526783533</v>
      </c>
      <c r="BA145" s="133" t="e">
        <f t="shared" si="27"/>
        <v>#REF!</v>
      </c>
      <c r="BB145" s="133" t="e">
        <f t="shared" si="38"/>
        <v>#REF!</v>
      </c>
      <c r="BC145" s="133" t="e">
        <f t="shared" si="28"/>
        <v>#REF!</v>
      </c>
      <c r="BD145" s="133" t="e">
        <f t="shared" si="29"/>
        <v>#REF!</v>
      </c>
      <c r="BE145" s="133" t="e">
        <f t="shared" si="33"/>
        <v>#REF!</v>
      </c>
      <c r="BF145" s="133"/>
    </row>
    <row r="146" spans="2:59">
      <c r="B146" s="109" t="e">
        <f>'[1]Oil Production'!#REF!</f>
        <v>#REF!</v>
      </c>
      <c r="C146" s="65"/>
      <c r="D146" s="116">
        <f>'[1]Oil Production'!A107</f>
        <v>101</v>
      </c>
      <c r="E146" s="65">
        <f>'[1]Oil Production'!B107</f>
        <v>35.695635466775215</v>
      </c>
      <c r="F146" s="65">
        <f>'[1]Oil Production'!C107</f>
        <v>1085.7422454477462</v>
      </c>
      <c r="G146" s="65">
        <f>'[1]Oil Production'!D107</f>
        <v>179661.19300977504</v>
      </c>
      <c r="H146" s="95"/>
      <c r="K146" s="109">
        <f>'Liquids Type Curve'!A123</f>
        <v>8.4218907987866451</v>
      </c>
      <c r="L146" s="116">
        <f>'Liquids Type Curve'!B123</f>
        <v>101.06268958543974</v>
      </c>
      <c r="M146" s="65">
        <f>'Liquids Type Curve'!C123</f>
        <v>9.2240804004779964</v>
      </c>
      <c r="N146" s="65">
        <f>'Liquids Type Curve'!D123</f>
        <v>280.56577884787242</v>
      </c>
      <c r="O146" s="65">
        <f>'Liquids Type Curve'!E123</f>
        <v>96403.630326202649</v>
      </c>
      <c r="P146" s="250"/>
      <c r="S146" s="112">
        <f>'Gas Type Curve'!A130</f>
        <v>8.4166666666666572</v>
      </c>
      <c r="T146" s="128">
        <f>'Gas Type Curve'!B130</f>
        <v>100.99999999999989</v>
      </c>
      <c r="U146" s="94">
        <f>'Gas Type Curve'!C130</f>
        <v>213.43774086469944</v>
      </c>
      <c r="V146" s="94">
        <f>'Gas Type Curve'!D130</f>
        <v>6492.0646179679416</v>
      </c>
      <c r="W146" s="94">
        <f>'Gas Type Curve'!E130</f>
        <v>1685344.4630828525</v>
      </c>
      <c r="X146" s="250"/>
      <c r="AK146" s="146">
        <f t="shared" si="34"/>
        <v>101</v>
      </c>
      <c r="AL146" s="146" t="e">
        <f t="shared" si="41"/>
        <v>#REF!</v>
      </c>
      <c r="AM146" s="146">
        <f t="shared" si="35"/>
        <v>2448.3187939569425</v>
      </c>
      <c r="AN146" s="133">
        <f>'Price Deck'!E105*F146+N146*'Price Deck'!T105+(V146*'Price Deck'!K105/$AB$3)</f>
        <v>72228.698795722812</v>
      </c>
      <c r="AO146" s="133">
        <f t="shared" si="36"/>
        <v>29.501345565782177</v>
      </c>
      <c r="AP146" s="133" t="e">
        <f>'Production Costs '!$N$22*(1+'Production Costs '!$P$2)^(AL146)</f>
        <v>#REF!</v>
      </c>
      <c r="AQ146" s="133" t="e">
        <f>'Production Costs '!$N$23*(1+'Production Costs '!$P$2)^AL146</f>
        <v>#REF!</v>
      </c>
      <c r="AR146" s="162">
        <f>-'Oil Royalties'!W111</f>
        <v>-11.274118151820357</v>
      </c>
      <c r="AS146" s="162">
        <f>-'Butane Royalties'!AD111</f>
        <v>-5.7305363486566145</v>
      </c>
      <c r="AT146" s="162">
        <f>-'Propane Royalties'!AD111</f>
        <v>-5.3888404612033165</v>
      </c>
      <c r="AU146" s="162">
        <f>-'Ethane Royalties'!AH111</f>
        <v>-0.36049859999999995</v>
      </c>
      <c r="AV146" s="162">
        <f>-'Natural Gas Royalties'!AB111</f>
        <v>-0.14176763054341238</v>
      </c>
      <c r="AW146" s="133" t="e">
        <f>AN146+AM146*(AP146+AQ146)+(AR146*F146)+(AV146*(V146/$AB$3))+(AS146*'Butane Royalties'!K116)+(AT146*'Propane Royalties'!K116)+(AU146*'Ethane Royalties'!K116)</f>
        <v>#REF!</v>
      </c>
      <c r="AX146" s="133" t="e">
        <f t="shared" si="37"/>
        <v>#REF!</v>
      </c>
      <c r="AY146" s="133">
        <f t="shared" si="30"/>
        <v>7426.8495893690642</v>
      </c>
      <c r="AZ146" s="133">
        <f t="shared" si="31"/>
        <v>288937.33567846625</v>
      </c>
      <c r="BA146" s="133" t="e">
        <f t="shared" si="27"/>
        <v>#REF!</v>
      </c>
      <c r="BB146" s="133" t="e">
        <f t="shared" si="38"/>
        <v>#REF!</v>
      </c>
      <c r="BC146" s="133" t="e">
        <f t="shared" si="28"/>
        <v>#REF!</v>
      </c>
      <c r="BD146" s="133" t="e">
        <f t="shared" si="29"/>
        <v>#REF!</v>
      </c>
      <c r="BE146" s="133" t="e">
        <f t="shared" si="33"/>
        <v>#REF!</v>
      </c>
      <c r="BF146" s="133"/>
    </row>
    <row r="147" spans="2:59">
      <c r="B147" s="109" t="e">
        <f>'[1]Oil Production'!#REF!</f>
        <v>#REF!</v>
      </c>
      <c r="C147" s="65"/>
      <c r="D147" s="116">
        <f>'[1]Oil Production'!A108</f>
        <v>102</v>
      </c>
      <c r="E147" s="65">
        <f>'[1]Oil Production'!B108</f>
        <v>35.549530927419077</v>
      </c>
      <c r="F147" s="65">
        <f>'[1]Oil Production'!C108</f>
        <v>1081.2982323756637</v>
      </c>
      <c r="G147" s="65">
        <f>'[1]Oil Production'!D108</f>
        <v>180742.49124215072</v>
      </c>
      <c r="H147" s="95"/>
      <c r="K147" s="109">
        <f>'Liquids Type Curve'!A124</f>
        <v>8.5052241321199791</v>
      </c>
      <c r="L147" s="116">
        <f>'Liquids Type Curve'!B124</f>
        <v>102.06268958543976</v>
      </c>
      <c r="M147" s="65">
        <f>'Liquids Type Curve'!C124</f>
        <v>9.1398139682027573</v>
      </c>
      <c r="N147" s="65">
        <f>'Liquids Type Curve'!D124</f>
        <v>278.00267486616718</v>
      </c>
      <c r="O147" s="65">
        <f>'Liquids Type Curve'!E124</f>
        <v>96681.633001068811</v>
      </c>
      <c r="P147" s="250"/>
      <c r="S147" s="112">
        <f>'Gas Type Curve'!A131</f>
        <v>8.4999999999999911</v>
      </c>
      <c r="T147" s="128">
        <f>'Gas Type Curve'!B131</f>
        <v>101.99999999999989</v>
      </c>
      <c r="U147" s="94">
        <f>'Gas Type Curve'!C131</f>
        <v>211.95776350293963</v>
      </c>
      <c r="V147" s="94">
        <f>'Gas Type Curve'!D131</f>
        <v>6447.0486398810808</v>
      </c>
      <c r="W147" s="94">
        <f>'Gas Type Curve'!E131</f>
        <v>1691791.5117227337</v>
      </c>
      <c r="X147" s="250"/>
      <c r="AK147" s="146">
        <f t="shared" si="34"/>
        <v>102</v>
      </c>
      <c r="AL147" s="146" t="e">
        <f t="shared" si="41"/>
        <v>#REF!</v>
      </c>
      <c r="AM147" s="146">
        <f t="shared" si="35"/>
        <v>2433.8090138886773</v>
      </c>
      <c r="AN147" s="133">
        <f>'Price Deck'!E106*F147+N147*'Price Deck'!T106+(V147*'Price Deck'!K106/$AB$3)</f>
        <v>71888.034166486672</v>
      </c>
      <c r="AO147" s="133">
        <f t="shared" si="36"/>
        <v>29.537253644905284</v>
      </c>
      <c r="AP147" s="133" t="e">
        <f>'Production Costs '!$N$22*(1+'Production Costs '!$P$2)^(AL147)</f>
        <v>#REF!</v>
      </c>
      <c r="AQ147" s="133" t="e">
        <f>'Production Costs '!$N$23*(1+'Production Costs '!$P$2)^AL147</f>
        <v>#REF!</v>
      </c>
      <c r="AR147" s="162">
        <f>-'Oil Royalties'!W112</f>
        <v>-11.207945450625243</v>
      </c>
      <c r="AS147" s="162">
        <f>-'Butane Royalties'!AD112</f>
        <v>-5.7197424103190455</v>
      </c>
      <c r="AT147" s="162">
        <f>-'Propane Royalties'!AD112</f>
        <v>-5.3795222597038608</v>
      </c>
      <c r="AU147" s="162">
        <f>-'Ethane Royalties'!AH112</f>
        <v>-0.3604986</v>
      </c>
      <c r="AV147" s="162">
        <f>-'Natural Gas Royalties'!AB112</f>
        <v>-0.14297301625028264</v>
      </c>
      <c r="AW147" s="133" t="e">
        <f>AN147+AM147*(AP147+AQ147)+(AR147*F147)+(AV147*(V147/$AB$3))+(AS147*'Butane Royalties'!K117)+(AT147*'Propane Royalties'!K117)+(AU147*'Ethane Royalties'!K117)</f>
        <v>#REF!</v>
      </c>
      <c r="AX147" s="133" t="e">
        <f t="shared" si="37"/>
        <v>#REF!</v>
      </c>
      <c r="AY147" s="133">
        <f t="shared" si="30"/>
        <v>7240.7336632045617</v>
      </c>
      <c r="AZ147" s="133">
        <f t="shared" si="31"/>
        <v>281696.60201526171</v>
      </c>
      <c r="BA147" s="133" t="e">
        <f t="shared" si="27"/>
        <v>#REF!</v>
      </c>
      <c r="BB147" s="133" t="e">
        <f t="shared" si="38"/>
        <v>#REF!</v>
      </c>
      <c r="BC147" s="133" t="e">
        <f t="shared" si="28"/>
        <v>#REF!</v>
      </c>
      <c r="BD147" s="133" t="e">
        <f t="shared" si="29"/>
        <v>#REF!</v>
      </c>
      <c r="BE147" s="133" t="e">
        <f t="shared" si="33"/>
        <v>#REF!</v>
      </c>
      <c r="BF147" s="133"/>
    </row>
    <row r="148" spans="2:59">
      <c r="B148" s="109" t="e">
        <f>'[1]Oil Production'!#REF!</f>
        <v>#REF!</v>
      </c>
      <c r="C148" s="65"/>
      <c r="D148" s="116">
        <f>'[1]Oil Production'!A109</f>
        <v>103</v>
      </c>
      <c r="E148" s="65">
        <f>'[1]Oil Production'!B109</f>
        <v>35.405441120964475</v>
      </c>
      <c r="F148" s="65">
        <f>'[1]Oil Production'!C109</f>
        <v>1076.9155007626696</v>
      </c>
      <c r="G148" s="65">
        <f>'[1]Oil Production'!D109</f>
        <v>181819.40674291339</v>
      </c>
      <c r="H148" s="95"/>
      <c r="K148" s="109">
        <f>'Liquids Type Curve'!A125</f>
        <v>8.588557465453313</v>
      </c>
      <c r="L148" s="116">
        <f>'Liquids Type Curve'!B125</f>
        <v>103.06268958543976</v>
      </c>
      <c r="M148" s="65">
        <f>'Liquids Type Curve'!C125</f>
        <v>9.0571277729217918</v>
      </c>
      <c r="N148" s="65">
        <f>'Liquids Type Curve'!D125</f>
        <v>275.48763642637118</v>
      </c>
      <c r="O148" s="65">
        <f>'Liquids Type Curve'!E125</f>
        <v>96957.120637495187</v>
      </c>
      <c r="P148" s="250"/>
      <c r="S148" s="112">
        <f>'Gas Type Curve'!A132</f>
        <v>8.583333333333325</v>
      </c>
      <c r="T148" s="128">
        <f>'Gas Type Curve'!B132</f>
        <v>102.9999999999999</v>
      </c>
      <c r="U148" s="94">
        <f>'Gas Type Curve'!C132</f>
        <v>210.50233787482057</v>
      </c>
      <c r="V148" s="94">
        <f>'Gas Type Curve'!D132</f>
        <v>6402.7794436924596</v>
      </c>
      <c r="W148" s="94">
        <f>'Gas Type Curve'!E132</f>
        <v>1698194.2911664261</v>
      </c>
      <c r="X148" s="250"/>
      <c r="AK148" s="146">
        <f t="shared" si="34"/>
        <v>103</v>
      </c>
      <c r="AL148" s="146" t="e">
        <f t="shared" si="41"/>
        <v>#REF!</v>
      </c>
      <c r="AM148" s="146">
        <f t="shared" si="35"/>
        <v>2419.5330444711171</v>
      </c>
      <c r="AN148" s="133">
        <f>'Price Deck'!E107*F148+N148*'Price Deck'!T107+(V148*'Price Deck'!K107/$AB$3)</f>
        <v>71523.179880827054</v>
      </c>
      <c r="AO148" s="133">
        <f t="shared" si="36"/>
        <v>29.560736954704918</v>
      </c>
      <c r="AP148" s="133" t="e">
        <f>'Production Costs '!$N$22*(1+'Production Costs '!$P$2)^(AL148)</f>
        <v>#REF!</v>
      </c>
      <c r="AQ148" s="133" t="e">
        <f>'Production Costs '!$N$23*(1+'Production Costs '!$P$2)^AL148</f>
        <v>#REF!</v>
      </c>
      <c r="AR148" s="162">
        <f>-'Oil Royalties'!W113</f>
        <v>-11.137245648065747</v>
      </c>
      <c r="AS148" s="162">
        <f>-'Butane Royalties'!AD113</f>
        <v>-5.7091612136655625</v>
      </c>
      <c r="AT148" s="162">
        <f>-'Propane Royalties'!AD113</f>
        <v>-5.3703877140506453</v>
      </c>
      <c r="AU148" s="162">
        <f>-'Ethane Royalties'!AH113</f>
        <v>-0.3604986</v>
      </c>
      <c r="AV148" s="162">
        <f>-'Natural Gas Royalties'!AB113</f>
        <v>-0.14330784561330215</v>
      </c>
      <c r="AW148" s="133" t="e">
        <f>AN148+AM148*(AP148+AQ148)+(AR148*F148)+(AV148*(V148/$AB$3))+(AS148*'Butane Royalties'!K118)+(AT148*'Propane Royalties'!K118)+(AU148*'Ethane Royalties'!K118)</f>
        <v>#REF!</v>
      </c>
      <c r="AX148" s="133" t="e">
        <f t="shared" si="37"/>
        <v>#REF!</v>
      </c>
      <c r="AY148" s="133">
        <f t="shared" si="30"/>
        <v>7059.2817789807568</v>
      </c>
      <c r="AZ148" s="133">
        <f t="shared" si="31"/>
        <v>274637.32023628097</v>
      </c>
      <c r="BA148" s="133" t="e">
        <f t="shared" si="27"/>
        <v>#REF!</v>
      </c>
      <c r="BB148" s="133" t="e">
        <f t="shared" si="38"/>
        <v>#REF!</v>
      </c>
      <c r="BC148" s="133" t="e">
        <f t="shared" si="28"/>
        <v>#REF!</v>
      </c>
      <c r="BD148" s="133" t="e">
        <f t="shared" si="29"/>
        <v>#REF!</v>
      </c>
      <c r="BE148" s="133" t="e">
        <f t="shared" si="33"/>
        <v>#REF!</v>
      </c>
      <c r="BF148" s="133"/>
    </row>
    <row r="149" spans="2:59">
      <c r="B149" s="109" t="e">
        <f>'[1]Oil Production'!#REF!</f>
        <v>#REF!</v>
      </c>
      <c r="C149" s="65"/>
      <c r="D149" s="116">
        <f>'[1]Oil Production'!A110</f>
        <v>104</v>
      </c>
      <c r="E149" s="65">
        <f>'[1]Oil Production'!B110</f>
        <v>35.263319105433148</v>
      </c>
      <c r="F149" s="65">
        <f>'[1]Oil Production'!C110</f>
        <v>1072.5926227902582</v>
      </c>
      <c r="G149" s="65">
        <f>'[1]Oil Production'!D110</f>
        <v>182891.99936570364</v>
      </c>
      <c r="H149" s="95"/>
      <c r="K149" s="109">
        <f>'Liquids Type Curve'!A126</f>
        <v>8.6718907987866469</v>
      </c>
      <c r="L149" s="116">
        <f>'Liquids Type Curve'!B126</f>
        <v>104.06268958543976</v>
      </c>
      <c r="M149" s="65">
        <f>'Liquids Type Curve'!C126</f>
        <v>8.9759772750913083</v>
      </c>
      <c r="N149" s="65">
        <f>'Liquids Type Curve'!D126</f>
        <v>273.01930878402732</v>
      </c>
      <c r="O149" s="65">
        <f>'Liquids Type Curve'!E126</f>
        <v>97230.139946279218</v>
      </c>
      <c r="P149" s="250"/>
      <c r="S149" s="112">
        <f>'Gas Type Curve'!A133</f>
        <v>8.666666666666659</v>
      </c>
      <c r="T149" s="128">
        <f>'Gas Type Curve'!B133</f>
        <v>103.99999999999991</v>
      </c>
      <c r="U149" s="94">
        <f>'Gas Type Curve'!C133</f>
        <v>209.07082419587343</v>
      </c>
      <c r="V149" s="94">
        <f>'Gas Type Curve'!D133</f>
        <v>6359.2375692911501</v>
      </c>
      <c r="W149" s="94">
        <f>'Gas Type Curve'!E133</f>
        <v>1704553.5287357173</v>
      </c>
      <c r="X149" s="250"/>
      <c r="AK149" s="146">
        <f t="shared" si="34"/>
        <v>104</v>
      </c>
      <c r="AL149" s="146" t="e">
        <f t="shared" si="41"/>
        <v>#REF!</v>
      </c>
      <c r="AM149" s="146">
        <f t="shared" si="35"/>
        <v>2405.484859789477</v>
      </c>
      <c r="AN149" s="133">
        <f>'Price Deck'!E108*F149+N149*'Price Deck'!T108+(V149*'Price Deck'!K108/$AB$3)</f>
        <v>71217.795694358429</v>
      </c>
      <c r="AO149" s="133">
        <f t="shared" si="36"/>
        <v>29.606420262645621</v>
      </c>
      <c r="AP149" s="133" t="e">
        <f>'Production Costs '!$N$22*(1+'Production Costs '!$P$2)^(AL149)</f>
        <v>#REF!</v>
      </c>
      <c r="AQ149" s="133" t="e">
        <f>'Production Costs '!$N$23*(1+'Production Costs '!$P$2)^AL149</f>
        <v>#REF!</v>
      </c>
      <c r="AR149" s="162">
        <f>-'Oil Royalties'!W114</f>
        <v>-11.078163997575341</v>
      </c>
      <c r="AS149" s="162">
        <f>-'Butane Royalties'!AD114</f>
        <v>-5.6987864597439497</v>
      </c>
      <c r="AT149" s="162">
        <f>-'Propane Royalties'!AD114</f>
        <v>-5.3614313864781273</v>
      </c>
      <c r="AU149" s="162">
        <f>-'Ethane Royalties'!AH114</f>
        <v>-0.36049859999999989</v>
      </c>
      <c r="AV149" s="162">
        <f>-'Natural Gas Royalties'!AB114</f>
        <v>-0.14518289004621138</v>
      </c>
      <c r="AW149" s="133" t="e">
        <f>AN149+AM149*(AP149+AQ149)+(AR149*F149)+(AV149*(V149/$AB$3))+(AS149*'Butane Royalties'!K119)+(AT149*'Propane Royalties'!K119)+(AU149*'Ethane Royalties'!K119)</f>
        <v>#REF!</v>
      </c>
      <c r="AX149" s="133" t="e">
        <f t="shared" si="37"/>
        <v>#REF!</v>
      </c>
      <c r="AY149" s="133">
        <f t="shared" si="30"/>
        <v>6882.3770563872276</v>
      </c>
      <c r="AZ149" s="133">
        <f t="shared" si="31"/>
        <v>267754.94317989371</v>
      </c>
      <c r="BA149" s="133" t="e">
        <f t="shared" si="27"/>
        <v>#REF!</v>
      </c>
      <c r="BB149" s="133" t="e">
        <f t="shared" si="38"/>
        <v>#REF!</v>
      </c>
      <c r="BC149" s="133" t="e">
        <f t="shared" si="28"/>
        <v>#REF!</v>
      </c>
      <c r="BD149" s="133" t="e">
        <f t="shared" si="29"/>
        <v>#REF!</v>
      </c>
      <c r="BE149" s="133" t="e">
        <f t="shared" si="33"/>
        <v>#REF!</v>
      </c>
      <c r="BF149" s="133"/>
    </row>
    <row r="150" spans="2:59">
      <c r="B150" s="109" t="e">
        <f>'[1]Oil Production'!#REF!</f>
        <v>#REF!</v>
      </c>
      <c r="C150" s="65"/>
      <c r="D150" s="116">
        <f>'[1]Oil Production'!A111</f>
        <v>105</v>
      </c>
      <c r="E150" s="65">
        <f>'[1]Oil Production'!B111</f>
        <v>35.123119470445374</v>
      </c>
      <c r="F150" s="65">
        <f>'[1]Oil Production'!C111</f>
        <v>1068.3282172260469</v>
      </c>
      <c r="G150" s="65">
        <f>'[1]Oil Production'!D111</f>
        <v>183960.32758292969</v>
      </c>
      <c r="H150" s="95"/>
      <c r="K150" s="109">
        <f>'Liquids Type Curve'!A127</f>
        <v>8.7552241321199809</v>
      </c>
      <c r="L150" s="116">
        <f>'Liquids Type Curve'!B127</f>
        <v>105.06268958543977</v>
      </c>
      <c r="M150" s="65">
        <f>'Liquids Type Curve'!C127</f>
        <v>8.8963196026496991</v>
      </c>
      <c r="N150" s="65">
        <f>'Liquids Type Curve'!D127</f>
        <v>270.59638791392837</v>
      </c>
      <c r="O150" s="65">
        <f>'Liquids Type Curve'!E127</f>
        <v>97500.736334193149</v>
      </c>
      <c r="P150" s="250"/>
      <c r="S150" s="112">
        <f>'Gas Type Curve'!A134</f>
        <v>8.7499999999999929</v>
      </c>
      <c r="T150" s="128">
        <f>'Gas Type Curve'!B134</f>
        <v>104.99999999999991</v>
      </c>
      <c r="U150" s="94">
        <f>'Gas Type Curve'!C134</f>
        <v>207.66260529635315</v>
      </c>
      <c r="V150" s="94">
        <f>'Gas Type Curve'!D134</f>
        <v>6316.4042444307415</v>
      </c>
      <c r="W150" s="94">
        <f>'Gas Type Curve'!E134</f>
        <v>1710869.9329801481</v>
      </c>
      <c r="X150" s="250"/>
      <c r="AK150" s="146">
        <f t="shared" si="34"/>
        <v>105</v>
      </c>
      <c r="AL150" s="146" t="e">
        <f t="shared" si="41"/>
        <v>#REF!</v>
      </c>
      <c r="AM150" s="146">
        <f t="shared" si="35"/>
        <v>2391.6586458784323</v>
      </c>
      <c r="AN150" s="133">
        <f>'Price Deck'!E109*F150+N150*'Price Deck'!T109+(V150*'Price Deck'!K109/$AB$3)</f>
        <v>71002.666011629364</v>
      </c>
      <c r="AO150" s="133">
        <f t="shared" si="36"/>
        <v>29.687625420119598</v>
      </c>
      <c r="AP150" s="133" t="e">
        <f>'Production Costs '!$N$22*(1+'Production Costs '!$P$2)^(AL150)</f>
        <v>#REF!</v>
      </c>
      <c r="AQ150" s="133" t="e">
        <f>'Production Costs '!$N$23*(1+'Production Costs '!$P$2)^AL150</f>
        <v>#REF!</v>
      </c>
      <c r="AR150" s="162">
        <f>-'Oil Royalties'!W115</f>
        <v>-11.035985553539703</v>
      </c>
      <c r="AS150" s="162">
        <f>-'Butane Royalties'!AD115</f>
        <v>-5.688612097211446</v>
      </c>
      <c r="AT150" s="162">
        <f>-'Propane Royalties'!AD115</f>
        <v>-5.3526480529772851</v>
      </c>
      <c r="AU150" s="162">
        <f>-'Ethane Royalties'!AH115</f>
        <v>-0.36049859999999995</v>
      </c>
      <c r="AV150" s="162">
        <f>-'Natural Gas Royalties'!AB115</f>
        <v>-0.14960263763806886</v>
      </c>
      <c r="AW150" s="133" t="e">
        <f>AN150+AM150*(AP150+AQ150)+(AR150*F150)+(AV150*(V150/$AB$3))+(AS150*'Butane Royalties'!K120)+(AT150*'Propane Royalties'!K120)+(AU150*'Ethane Royalties'!K120)</f>
        <v>#REF!</v>
      </c>
      <c r="AX150" s="133" t="e">
        <f t="shared" si="37"/>
        <v>#REF!</v>
      </c>
      <c r="AY150" s="133">
        <f t="shared" si="30"/>
        <v>6709.9055441195815</v>
      </c>
      <c r="AZ150" s="133">
        <f t="shared" si="31"/>
        <v>261045.03763577412</v>
      </c>
      <c r="BA150" s="133" t="e">
        <f t="shared" si="27"/>
        <v>#REF!</v>
      </c>
      <c r="BB150" s="133" t="e">
        <f t="shared" si="38"/>
        <v>#REF!</v>
      </c>
      <c r="BC150" s="133" t="e">
        <f t="shared" si="28"/>
        <v>#REF!</v>
      </c>
      <c r="BD150" s="133" t="e">
        <f t="shared" si="29"/>
        <v>#REF!</v>
      </c>
      <c r="BE150" s="133" t="e">
        <f t="shared" si="33"/>
        <v>#REF!</v>
      </c>
      <c r="BF150" s="133"/>
    </row>
    <row r="151" spans="2:59">
      <c r="B151" s="109" t="e">
        <f>'[1]Oil Production'!#REF!</f>
        <v>#REF!</v>
      </c>
      <c r="C151" s="65"/>
      <c r="D151" s="116">
        <f>'[1]Oil Production'!A112</f>
        <v>106</v>
      </c>
      <c r="E151" s="65">
        <f>'[1]Oil Production'!B112</f>
        <v>34.984798273231078</v>
      </c>
      <c r="F151" s="65">
        <f>'[1]Oil Production'!C112</f>
        <v>1064.1209474774453</v>
      </c>
      <c r="G151" s="65">
        <f>'[1]Oil Production'!D112</f>
        <v>185024.44853040713</v>
      </c>
      <c r="H151" s="95"/>
      <c r="K151" s="109">
        <f>'Liquids Type Curve'!A128</f>
        <v>8.8385574654533148</v>
      </c>
      <c r="L151" s="116">
        <f>'Liquids Type Curve'!B128</f>
        <v>106.06268958543978</v>
      </c>
      <c r="M151" s="65">
        <f>'Liquids Type Curve'!C128</f>
        <v>8.8181134734519553</v>
      </c>
      <c r="N151" s="65">
        <f>'Liquids Type Curve'!D128</f>
        <v>268.21761815083033</v>
      </c>
      <c r="O151" s="65">
        <f>'Liquids Type Curve'!E128</f>
        <v>97768.953952343974</v>
      </c>
      <c r="P151" s="250"/>
      <c r="S151" s="112">
        <f>'Gas Type Curve'!A135</f>
        <v>8.8333333333333268</v>
      </c>
      <c r="T151" s="128">
        <f>'Gas Type Curve'!B135</f>
        <v>105.99999999999991</v>
      </c>
      <c r="U151" s="94">
        <f>'Gas Type Curve'!C135</f>
        <v>206.27708561577086</v>
      </c>
      <c r="V151" s="94">
        <f>'Gas Type Curve'!D135</f>
        <v>6274.2613541463643</v>
      </c>
      <c r="W151" s="94">
        <f>'Gas Type Curve'!E135</f>
        <v>1717144.1943342944</v>
      </c>
      <c r="X151" s="250"/>
      <c r="AK151" s="146">
        <f t="shared" si="34"/>
        <v>106</v>
      </c>
      <c r="AL151" s="146" t="e">
        <f t="shared" si="41"/>
        <v>#REF!</v>
      </c>
      <c r="AM151" s="146">
        <f t="shared" si="35"/>
        <v>2378.0487913193365</v>
      </c>
      <c r="AN151" s="133">
        <f>'Price Deck'!E110*F151+N151*'Price Deck'!T110+(V151*'Price Deck'!K110/$AB$3)</f>
        <v>70867.562703096599</v>
      </c>
      <c r="AO151" s="133">
        <f t="shared" si="36"/>
        <v>29.800718539412063</v>
      </c>
      <c r="AP151" s="133" t="e">
        <f>'Production Costs '!$N$22*(1+'Production Costs '!$P$2)^(AL151)</f>
        <v>#REF!</v>
      </c>
      <c r="AQ151" s="133" t="e">
        <f>'Production Costs '!$N$23*(1+'Production Costs '!$P$2)^AL151</f>
        <v>#REF!</v>
      </c>
      <c r="AR151" s="162">
        <f>-'Oil Royalties'!W116</f>
        <v>-10.973093510500121</v>
      </c>
      <c r="AS151" s="162">
        <f>-'Butane Royalties'!AD116</f>
        <v>-5.6786323102467477</v>
      </c>
      <c r="AT151" s="162">
        <f>-'Propane Royalties'!AD116</f>
        <v>-5.3440326928603001</v>
      </c>
      <c r="AU151" s="162">
        <f>-'Ethane Royalties'!AH116</f>
        <v>-0.36049859999999995</v>
      </c>
      <c r="AV151" s="162">
        <f>-'Natural Gas Royalties'!AB116</f>
        <v>-0.15971448440125804</v>
      </c>
      <c r="AW151" s="133" t="e">
        <f>AN151+AM151*(AP151+AQ151)+(AR151*F151)+(AV151*(V151/$AB$3))+(AS151*'Butane Royalties'!K121)+(AT151*'Propane Royalties'!K121)+(AU151*'Ethane Royalties'!K121)</f>
        <v>#REF!</v>
      </c>
      <c r="AX151" s="133" t="e">
        <f t="shared" si="37"/>
        <v>#REF!</v>
      </c>
      <c r="AY151" s="133">
        <f t="shared" si="30"/>
        <v>6541.756146478926</v>
      </c>
      <c r="AZ151" s="133">
        <f t="shared" si="31"/>
        <v>254503.28148929519</v>
      </c>
      <c r="BA151" s="133" t="e">
        <f t="shared" si="27"/>
        <v>#REF!</v>
      </c>
      <c r="BB151" s="133" t="e">
        <f t="shared" si="38"/>
        <v>#REF!</v>
      </c>
      <c r="BC151" s="133" t="e">
        <f t="shared" si="28"/>
        <v>#REF!</v>
      </c>
      <c r="BD151" s="133" t="e">
        <f t="shared" si="29"/>
        <v>#REF!</v>
      </c>
      <c r="BE151" s="133" t="e">
        <f t="shared" si="33"/>
        <v>#REF!</v>
      </c>
      <c r="BF151" s="133"/>
    </row>
    <row r="152" spans="2:59" ht="16.3" thickBot="1">
      <c r="B152" s="109" t="e">
        <f>'[1]Oil Production'!#REF!</f>
        <v>#REF!</v>
      </c>
      <c r="C152" s="65"/>
      <c r="D152" s="116">
        <f>'[1]Oil Production'!A113</f>
        <v>107</v>
      </c>
      <c r="E152" s="65">
        <f>'[1]Oil Production'!B113</f>
        <v>34.848312977888888</v>
      </c>
      <c r="F152" s="65">
        <f>'[1]Oil Production'!C113</f>
        <v>1059.9695197441204</v>
      </c>
      <c r="G152" s="65">
        <f>'[1]Oil Production'!D113</f>
        <v>186084.41805015126</v>
      </c>
      <c r="H152" s="95"/>
      <c r="K152" s="109">
        <f>'Liquids Type Curve'!A129</f>
        <v>8.9218907987866487</v>
      </c>
      <c r="L152" s="116">
        <f>'Liquids Type Curve'!B129</f>
        <v>107.06268958543978</v>
      </c>
      <c r="M152" s="65">
        <f>'Liquids Type Curve'!C129</f>
        <v>8.7413191220031141</v>
      </c>
      <c r="N152" s="65">
        <f>'Liquids Type Curve'!D129</f>
        <v>265.88178996092807</v>
      </c>
      <c r="O152" s="65">
        <f>'Liquids Type Curve'!E129</f>
        <v>98034.835742304902</v>
      </c>
      <c r="P152" s="250"/>
      <c r="S152" s="112">
        <f>'Gas Type Curve'!A136</f>
        <v>8.9166666666666607</v>
      </c>
      <c r="T152" s="128">
        <f>'Gas Type Curve'!B136</f>
        <v>106.99999999999993</v>
      </c>
      <c r="U152" s="94">
        <f>'Gas Type Curve'!C136</f>
        <v>204.91369025112272</v>
      </c>
      <c r="V152" s="94">
        <f>'Gas Type Curve'!D136</f>
        <v>6232.791411804983</v>
      </c>
      <c r="W152" s="94">
        <f>'Gas Type Curve'!E136</f>
        <v>1723376.9857460994</v>
      </c>
      <c r="X152" s="250"/>
      <c r="AK152" s="166">
        <f t="shared" si="34"/>
        <v>107</v>
      </c>
      <c r="AL152" s="166" t="e">
        <f t="shared" si="41"/>
        <v>#REF!</v>
      </c>
      <c r="AM152" s="166">
        <f t="shared" si="35"/>
        <v>2364.6498783392121</v>
      </c>
      <c r="AN152" s="167">
        <f>'Price Deck'!E111*F152+N152*'Price Deck'!T111+(V152*'Price Deck'!K111/$AB$3)</f>
        <v>70813.342899742536</v>
      </c>
      <c r="AO152" s="167">
        <f t="shared" si="36"/>
        <v>29.94665026243867</v>
      </c>
      <c r="AP152" s="167" t="e">
        <f>'Production Costs '!$N$22*(1+'Production Costs '!$P$2)^(AL152)</f>
        <v>#REF!</v>
      </c>
      <c r="AQ152" s="167" t="e">
        <f>'Production Costs '!$N$23*(1+'Production Costs '!$P$2)^AL152</f>
        <v>#REF!</v>
      </c>
      <c r="AR152" s="168">
        <f>-'Oil Royalties'!W117</f>
        <v>-10.873592848570683</v>
      </c>
      <c r="AS152" s="168">
        <f>-'Butane Royalties'!AD117</f>
        <v>-6.2047744004128695</v>
      </c>
      <c r="AT152" s="168">
        <f>-'Propane Royalties'!AD117</f>
        <v>-5.606391030728763</v>
      </c>
      <c r="AU152" s="168">
        <f>-'Ethane Royalties'!AH117</f>
        <v>-0.36770857200000001</v>
      </c>
      <c r="AV152" s="168">
        <f>-'Natural Gas Royalties'!AB117</f>
        <v>-0.16788432085893407</v>
      </c>
      <c r="AW152" s="167" t="e">
        <f>AN152+AM152*(AP152+AQ152)+(AR152*F152)+(AV152*(V152/$AB$3))+(AS152*'Butane Royalties'!K122)+(AT152*'Propane Royalties'!K122)+(AU152*'Ethane Royalties'!K122)</f>
        <v>#REF!</v>
      </c>
      <c r="AX152" s="167" t="e">
        <f t="shared" si="37"/>
        <v>#REF!</v>
      </c>
      <c r="AY152" s="167">
        <f t="shared" si="30"/>
        <v>6377.8205518107579</v>
      </c>
      <c r="AZ152" s="167">
        <f t="shared" si="31"/>
        <v>248125.46093748443</v>
      </c>
      <c r="BA152" s="167" t="e">
        <f t="shared" si="27"/>
        <v>#REF!</v>
      </c>
      <c r="BB152" s="167" t="e">
        <f t="shared" si="38"/>
        <v>#REF!</v>
      </c>
      <c r="BC152" s="167" t="e">
        <f t="shared" si="28"/>
        <v>#REF!</v>
      </c>
      <c r="BD152" s="167" t="e">
        <f t="shared" si="29"/>
        <v>#REF!</v>
      </c>
      <c r="BE152" s="167" t="e">
        <f t="shared" si="33"/>
        <v>#REF!</v>
      </c>
      <c r="BF152" s="133"/>
    </row>
    <row r="153" spans="2:59">
      <c r="B153" s="278" t="e">
        <f>'[1]Oil Production'!#REF!</f>
        <v>#REF!</v>
      </c>
      <c r="C153" s="279"/>
      <c r="D153" s="280">
        <f>'[1]Oil Production'!A114</f>
        <v>108</v>
      </c>
      <c r="E153" s="279">
        <f>'[1]Oil Production'!B114</f>
        <v>34.713622397699801</v>
      </c>
      <c r="F153" s="279">
        <f>'[1]Oil Production'!C114</f>
        <v>1055.872681263369</v>
      </c>
      <c r="G153" s="279">
        <f>'[1]Oil Production'!D114</f>
        <v>187140.29073141463</v>
      </c>
      <c r="H153" s="281"/>
      <c r="I153" s="282"/>
      <c r="J153" s="282"/>
      <c r="K153" s="278">
        <f>'Liquids Type Curve'!A130</f>
        <v>9.0052241321199826</v>
      </c>
      <c r="L153" s="280">
        <f>'Liquids Type Curve'!B130</f>
        <v>108.06268958543978</v>
      </c>
      <c r="M153" s="279">
        <f>'Liquids Type Curve'!C130</f>
        <v>8.665898230215042</v>
      </c>
      <c r="N153" s="279">
        <f>'Liquids Type Curve'!D130</f>
        <v>263.58773783570751</v>
      </c>
      <c r="O153" s="279">
        <f>'Liquids Type Curve'!E130</f>
        <v>98298.423480140613</v>
      </c>
      <c r="P153" s="283"/>
      <c r="Q153" s="282"/>
      <c r="R153" s="282"/>
      <c r="S153" s="284">
        <f>'Gas Type Curve'!A137</f>
        <v>8.9999999999999947</v>
      </c>
      <c r="T153" s="285">
        <f>'Gas Type Curve'!B137</f>
        <v>107.99999999999994</v>
      </c>
      <c r="U153" s="286">
        <f>'Gas Type Curve'!C137</f>
        <v>203.57186405547512</v>
      </c>
      <c r="V153" s="286">
        <f>'Gas Type Curve'!D137</f>
        <v>6191.9775316873684</v>
      </c>
      <c r="W153" s="286">
        <f>'Gas Type Curve'!E137</f>
        <v>1729568.9632777867</v>
      </c>
      <c r="X153" s="283"/>
      <c r="AK153" s="146">
        <f t="shared" si="34"/>
        <v>108</v>
      </c>
      <c r="AL153" s="146" t="e">
        <f>$B$153</f>
        <v>#REF!</v>
      </c>
      <c r="AM153" s="146">
        <f t="shared" si="35"/>
        <v>2351.4566743803043</v>
      </c>
      <c r="AN153" s="133">
        <f>'Price Deck'!E112*F153+N153*'Price Deck'!T112+(V153*'Price Deck'!K112/$AB$3)</f>
        <v>70445.535252770642</v>
      </c>
      <c r="AO153" s="133">
        <f t="shared" si="36"/>
        <v>29.958253545681696</v>
      </c>
      <c r="AP153" s="133" t="e">
        <f>'Production Costs '!$N$22*(1+'Production Costs '!$P$2)^(AL153)</f>
        <v>#REF!</v>
      </c>
      <c r="AQ153" s="133" t="e">
        <f>'Production Costs '!$N$23*(1+'Production Costs '!$P$2)^AL153</f>
        <v>#REF!</v>
      </c>
      <c r="AR153" s="162">
        <f>-'Oil Royalties'!W118</f>
        <v>-10.822990469728143</v>
      </c>
      <c r="AS153" s="162">
        <f>-'Butane Royalties'!AD118</f>
        <v>-6.1949750589858947</v>
      </c>
      <c r="AT153" s="162">
        <f>-'Propane Royalties'!AD118</f>
        <v>-5.5979314458096328</v>
      </c>
      <c r="AU153" s="162">
        <f>-'Ethane Royalties'!AH118</f>
        <v>-0.3677085719999999</v>
      </c>
      <c r="AV153" s="162">
        <f>-'Natural Gas Royalties'!AB118</f>
        <v>-0.16554051531779757</v>
      </c>
      <c r="AW153" s="133" t="e">
        <f>AN153+AM153*(AP153+AQ153)+(AR153*F153)+(AV153*(V153/$AB$3))+(AS153*'Butane Royalties'!K123)+(AT153*'Propane Royalties'!K123)+(AU153*'Ethane Royalties'!K123)</f>
        <v>#REF!</v>
      </c>
      <c r="AX153" s="133" t="e">
        <f t="shared" si="37"/>
        <v>#REF!</v>
      </c>
      <c r="AY153" s="133">
        <f t="shared" si="30"/>
        <v>6217.9931627371507</v>
      </c>
      <c r="AZ153" s="133">
        <f t="shared" si="31"/>
        <v>241907.46777474729</v>
      </c>
      <c r="BA153" s="133" t="e">
        <f t="shared" si="27"/>
        <v>#REF!</v>
      </c>
      <c r="BB153" s="133" t="e">
        <f t="shared" si="38"/>
        <v>#REF!</v>
      </c>
      <c r="BC153" s="133" t="e">
        <f t="shared" si="28"/>
        <v>#REF!</v>
      </c>
      <c r="BD153" s="133" t="e">
        <f t="shared" si="29"/>
        <v>#REF!</v>
      </c>
      <c r="BE153" s="133" t="e">
        <f t="shared" ref="BE153:BE184" si="42">BD153/(1+$AC$3)^AL153</f>
        <v>#REF!</v>
      </c>
      <c r="BF153" s="133"/>
      <c r="BG153" s="212">
        <v>-1000000</v>
      </c>
    </row>
    <row r="154" spans="2:59">
      <c r="B154" s="109" t="e">
        <f>'[1]Oil Production'!#REF!</f>
        <v>#REF!</v>
      </c>
      <c r="C154" s="65" t="e">
        <f>B153</f>
        <v>#REF!</v>
      </c>
      <c r="D154" s="116">
        <f>'[1]Oil Production'!A115</f>
        <v>109</v>
      </c>
      <c r="E154" s="65">
        <f>'[1]Oil Production'!B115</f>
        <v>34.580686640315051</v>
      </c>
      <c r="F154" s="65">
        <f>'[1]Oil Production'!C115</f>
        <v>1051.8292186429162</v>
      </c>
      <c r="G154" s="65">
        <f>'[1]Oil Production'!D115</f>
        <v>188192.11995005753</v>
      </c>
      <c r="H154" s="95" t="e">
        <f>IF(C154&gt;0,((E154-E142)/(E142)),0)</f>
        <v>#REF!</v>
      </c>
      <c r="K154" s="109">
        <f>'Liquids Type Curve'!A131</f>
        <v>9.0885574654533166</v>
      </c>
      <c r="L154" s="116">
        <f>'Liquids Type Curve'!B131</f>
        <v>109.0626895854398</v>
      </c>
      <c r="M154" s="65">
        <f>'Liquids Type Curve'!C131</f>
        <v>8.5918138619305733</v>
      </c>
      <c r="N154" s="65">
        <f>'Liquids Type Curve'!D131</f>
        <v>261.33433830038825</v>
      </c>
      <c r="O154" s="65">
        <f>'Liquids Type Curve'!E131</f>
        <v>98559.757818440994</v>
      </c>
      <c r="P154" s="250" t="e">
        <f t="shared" ref="P154:P202" si="43">IF(C154&gt;0,((M154-M142)/M142))</f>
        <v>#REF!</v>
      </c>
      <c r="S154" s="112">
        <f>'Gas Type Curve'!A138</f>
        <v>9.0833333333333286</v>
      </c>
      <c r="T154" s="128">
        <f>'Gas Type Curve'!B138</f>
        <v>108.99999999999994</v>
      </c>
      <c r="U154" s="94">
        <f>'Gas Type Curve'!C138</f>
        <v>202.2510707838035</v>
      </c>
      <c r="V154" s="94">
        <f>'Gas Type Curve'!D138</f>
        <v>6151.8034030073568</v>
      </c>
      <c r="W154" s="94">
        <f>'Gas Type Curve'!E138</f>
        <v>1735720.7666807941</v>
      </c>
      <c r="X154" s="250" t="e">
        <f t="shared" si="39"/>
        <v>#REF!</v>
      </c>
      <c r="AK154" s="146">
        <f t="shared" si="34"/>
        <v>109</v>
      </c>
      <c r="AL154" s="146" t="e">
        <f t="shared" ref="AL154:AL164" si="44">$B$153</f>
        <v>#REF!</v>
      </c>
      <c r="AM154" s="146">
        <f t="shared" si="35"/>
        <v>2338.4641241111972</v>
      </c>
      <c r="AN154" s="133">
        <f>'Price Deck'!E113*F154+N154*'Price Deck'!T113+(V154*'Price Deck'!K113/$AB$3)</f>
        <v>76100.373360741636</v>
      </c>
      <c r="AO154" s="133">
        <f t="shared" si="36"/>
        <v>32.54288683589099</v>
      </c>
      <c r="AP154" s="133" t="e">
        <f>'Production Costs '!$N$22*(1+'Production Costs '!$P$2)^(AL154)</f>
        <v>#REF!</v>
      </c>
      <c r="AQ154" s="133" t="e">
        <f>'Production Costs '!$N$23*(1+'Production Costs '!$P$2)^AL154</f>
        <v>#REF!</v>
      </c>
      <c r="AR154" s="162">
        <f>-'Oil Royalties'!W119</f>
        <v>-13.282211310754361</v>
      </c>
      <c r="AS154" s="162">
        <f>-'Butane Royalties'!AD119</f>
        <v>-6.1853577167861777</v>
      </c>
      <c r="AT154" s="162">
        <f>-'Propane Royalties'!AD119</f>
        <v>-5.5896289773589585</v>
      </c>
      <c r="AU154" s="162">
        <f>-'Ethane Royalties'!AH119</f>
        <v>-0.36770857199999996</v>
      </c>
      <c r="AV154" s="162">
        <f>-'Natural Gas Royalties'!AB119</f>
        <v>-0.16118773359854391</v>
      </c>
      <c r="AW154" s="133" t="e">
        <f>AN154+AM154*(AP154+AQ154)+(AR154*F154)+(AV154*(V154/$AB$3))+(AS154*'Butane Royalties'!K124)+(AT154*'Propane Royalties'!K124)+(AU154*'Ethane Royalties'!K124)</f>
        <v>#REF!</v>
      </c>
      <c r="AX154" s="133" t="e">
        <f t="shared" si="37"/>
        <v>#REF!</v>
      </c>
      <c r="AY154" s="133">
        <f t="shared" si="30"/>
        <v>6062.1710281373189</v>
      </c>
      <c r="AZ154" s="133">
        <f t="shared" si="31"/>
        <v>235845.29674660997</v>
      </c>
      <c r="BA154" s="133" t="e">
        <f t="shared" si="27"/>
        <v>#REF!</v>
      </c>
      <c r="BB154" s="133" t="e">
        <f t="shared" si="38"/>
        <v>#REF!</v>
      </c>
      <c r="BC154" s="133" t="e">
        <f t="shared" si="28"/>
        <v>#REF!</v>
      </c>
      <c r="BD154" s="133" t="e">
        <f t="shared" si="29"/>
        <v>#REF!</v>
      </c>
      <c r="BE154" s="133" t="e">
        <f t="shared" si="42"/>
        <v>#REF!</v>
      </c>
      <c r="BF154" s="133"/>
    </row>
    <row r="155" spans="2:59">
      <c r="B155" s="109" t="e">
        <f>'[1]Oil Production'!#REF!</f>
        <v>#REF!</v>
      </c>
      <c r="C155" s="65"/>
      <c r="D155" s="116">
        <f>'[1]Oil Production'!A116</f>
        <v>110</v>
      </c>
      <c r="E155" s="65">
        <f>'[1]Oil Production'!B116</f>
        <v>34.449467055650111</v>
      </c>
      <c r="F155" s="65">
        <f>'[1]Oil Production'!C116</f>
        <v>1047.8379562760242</v>
      </c>
      <c r="G155" s="65">
        <f>'[1]Oil Production'!D116</f>
        <v>189239.95790633356</v>
      </c>
      <c r="H155" s="95"/>
      <c r="K155" s="109">
        <f>'Liquids Type Curve'!A132</f>
        <v>9.1718907987866505</v>
      </c>
      <c r="L155" s="116">
        <f>'Liquids Type Curve'!B132</f>
        <v>110.06268958543981</v>
      </c>
      <c r="M155" s="65">
        <f>'Liquids Type Curve'!C132</f>
        <v>8.5190304009777069</v>
      </c>
      <c r="N155" s="65">
        <f>'Liquids Type Curve'!D132</f>
        <v>259.12050802973857</v>
      </c>
      <c r="O155" s="65">
        <f>'Liquids Type Curve'!E132</f>
        <v>98818.878326470731</v>
      </c>
      <c r="P155" s="250"/>
      <c r="S155" s="112">
        <f>'Gas Type Curve'!A139</f>
        <v>9.1666666666666625</v>
      </c>
      <c r="T155" s="128">
        <f>'Gas Type Curve'!B139</f>
        <v>109.99999999999994</v>
      </c>
      <c r="U155" s="94">
        <f>'Gas Type Curve'!C139</f>
        <v>200.95079228320145</v>
      </c>
      <c r="V155" s="94">
        <f>'Gas Type Curve'!D139</f>
        <v>6112.2532652807113</v>
      </c>
      <c r="W155" s="94">
        <f>'Gas Type Curve'!E139</f>
        <v>1741833.0199460748</v>
      </c>
      <c r="X155" s="250"/>
      <c r="AK155" s="146">
        <f t="shared" si="34"/>
        <v>110</v>
      </c>
      <c r="AL155" s="146" t="e">
        <f t="shared" si="44"/>
        <v>#REF!</v>
      </c>
      <c r="AM155" s="146">
        <f t="shared" si="35"/>
        <v>2325.6673418525479</v>
      </c>
      <c r="AN155" s="133">
        <f>'Price Deck'!E114*F155+N155*'Price Deck'!T114+(V155*'Price Deck'!K114/$AB$3)</f>
        <v>75408.321050437851</v>
      </c>
      <c r="AO155" s="133">
        <f t="shared" si="36"/>
        <v>32.424379743996461</v>
      </c>
      <c r="AP155" s="133" t="e">
        <f>'Production Costs '!$N$22*(1+'Production Costs '!$P$2)^(AL155)</f>
        <v>#REF!</v>
      </c>
      <c r="AQ155" s="133" t="e">
        <f>'Production Costs '!$N$23*(1+'Production Costs '!$P$2)^AL155</f>
        <v>#REF!</v>
      </c>
      <c r="AR155" s="162">
        <f>-'Oil Royalties'!W120</f>
        <v>-13.221913529566045</v>
      </c>
      <c r="AS155" s="162">
        <f>-'Butane Royalties'!AD120</f>
        <v>-6.1759172929417714</v>
      </c>
      <c r="AT155" s="162">
        <f>-'Propane Royalties'!AD120</f>
        <v>-5.5814792391567094</v>
      </c>
      <c r="AU155" s="162">
        <f>-'Ethane Royalties'!AH120</f>
        <v>-0.36770857199999996</v>
      </c>
      <c r="AV155" s="162">
        <f>-'Natural Gas Royalties'!AB120</f>
        <v>-0.14404447021194505</v>
      </c>
      <c r="AW155" s="133" t="e">
        <f>AN155+AM155*(AP155+AQ155)+(AR155*F155)+(AV155*(V155/$AB$3))+(AS155*'Butane Royalties'!K125)+(AT155*'Propane Royalties'!K125)+(AU155*'Ethane Royalties'!K125)</f>
        <v>#REF!</v>
      </c>
      <c r="AX155" s="133" t="e">
        <f t="shared" si="37"/>
        <v>#REF!</v>
      </c>
      <c r="AY155" s="133">
        <f t="shared" si="30"/>
        <v>5910.2537768327529</v>
      </c>
      <c r="AZ155" s="133">
        <f t="shared" si="31"/>
        <v>229935.04296977722</v>
      </c>
      <c r="BA155" s="133" t="e">
        <f t="shared" si="27"/>
        <v>#REF!</v>
      </c>
      <c r="BB155" s="133" t="e">
        <f t="shared" si="38"/>
        <v>#REF!</v>
      </c>
      <c r="BC155" s="133" t="e">
        <f t="shared" si="28"/>
        <v>#REF!</v>
      </c>
      <c r="BD155" s="133" t="e">
        <f t="shared" si="29"/>
        <v>#REF!</v>
      </c>
      <c r="BE155" s="133" t="e">
        <f t="shared" si="42"/>
        <v>#REF!</v>
      </c>
      <c r="BF155" s="133"/>
    </row>
    <row r="156" spans="2:59">
      <c r="B156" s="109" t="e">
        <f>'[1]Oil Production'!#REF!</f>
        <v>#REF!</v>
      </c>
      <c r="C156" s="65"/>
      <c r="D156" s="116">
        <f>'[1]Oil Production'!A117</f>
        <v>111</v>
      </c>
      <c r="E156" s="65">
        <f>'[1]Oil Production'!B117</f>
        <v>34.319926186328118</v>
      </c>
      <c r="F156" s="65">
        <f>'[1]Oil Production'!C117</f>
        <v>1043.897754834147</v>
      </c>
      <c r="G156" s="65">
        <f>'[1]Oil Production'!D117</f>
        <v>190283.8556611677</v>
      </c>
      <c r="H156" s="95"/>
      <c r="K156" s="109">
        <f>'Liquids Type Curve'!A133</f>
        <v>9.2552241321199844</v>
      </c>
      <c r="L156" s="116">
        <f>'Liquids Type Curve'!B133</f>
        <v>111.06268958543981</v>
      </c>
      <c r="M156" s="65">
        <f>'Liquids Type Curve'!C133</f>
        <v>8.4475134925335755</v>
      </c>
      <c r="N156" s="65">
        <f>'Liquids Type Curve'!D133</f>
        <v>256.94520206456292</v>
      </c>
      <c r="O156" s="65">
        <f>'Liquids Type Curve'!E133</f>
        <v>99075.8235285353</v>
      </c>
      <c r="P156" s="250"/>
      <c r="S156" s="112">
        <f>'Gas Type Curve'!A140</f>
        <v>9.2499999999999964</v>
      </c>
      <c r="T156" s="128">
        <f>'Gas Type Curve'!B140</f>
        <v>110.99999999999996</v>
      </c>
      <c r="U156" s="94">
        <f>'Gas Type Curve'!C140</f>
        <v>199.67052772477433</v>
      </c>
      <c r="V156" s="94">
        <f>'Gas Type Curve'!D140</f>
        <v>6073.3118849618859</v>
      </c>
      <c r="W156" s="94">
        <f>'Gas Type Curve'!E140</f>
        <v>1747906.3318310366</v>
      </c>
      <c r="X156" s="250"/>
      <c r="AK156" s="146">
        <f t="shared" si="34"/>
        <v>111</v>
      </c>
      <c r="AL156" s="146" t="e">
        <f t="shared" si="44"/>
        <v>#REF!</v>
      </c>
      <c r="AM156" s="146">
        <f t="shared" si="35"/>
        <v>2313.0616043923574</v>
      </c>
      <c r="AN156" s="133">
        <f>'Price Deck'!E115*F156+N156*'Price Deck'!T115+(V156*'Price Deck'!K115/$AB$3)</f>
        <v>75045.47874883331</v>
      </c>
      <c r="AO156" s="133">
        <f t="shared" si="36"/>
        <v>32.44421964651815</v>
      </c>
      <c r="AP156" s="133" t="e">
        <f>'Production Costs '!$N$22*(1+'Production Costs '!$P$2)^(AL156)</f>
        <v>#REF!</v>
      </c>
      <c r="AQ156" s="133" t="e">
        <f>'Production Costs '!$N$23*(1+'Production Costs '!$P$2)^AL156</f>
        <v>#REF!</v>
      </c>
      <c r="AR156" s="162">
        <f>-'Oil Royalties'!W121</f>
        <v>-13.162387148551607</v>
      </c>
      <c r="AS156" s="162">
        <f>-'Butane Royalties'!AD121</f>
        <v>-6.1666488950056175</v>
      </c>
      <c r="AT156" s="162">
        <f>-'Propane Royalties'!AD121</f>
        <v>-5.5734780076464601</v>
      </c>
      <c r="AU156" s="162">
        <f>-'Ethane Royalties'!AH121</f>
        <v>-0.3677085719999999</v>
      </c>
      <c r="AV156" s="162">
        <f>-'Natural Gas Royalties'!AB121</f>
        <v>-0.142705152759867</v>
      </c>
      <c r="AW156" s="133" t="e">
        <f>AN156+AM156*(AP156+AQ156)+(AR156*F156)+(AV156*(V156/$AB$3))+(AS156*'Butane Royalties'!K126)+(AT156*'Propane Royalties'!K126)+(AU156*'Ethane Royalties'!K126)</f>
        <v>#REF!</v>
      </c>
      <c r="AX156" s="133" t="e">
        <f t="shared" si="37"/>
        <v>#REF!</v>
      </c>
      <c r="AY156" s="133">
        <f t="shared" si="30"/>
        <v>5762.1435529341798</v>
      </c>
      <c r="AZ156" s="133">
        <f t="shared" si="31"/>
        <v>224172.89941684305</v>
      </c>
      <c r="BA156" s="133" t="e">
        <f t="shared" si="27"/>
        <v>#REF!</v>
      </c>
      <c r="BB156" s="133" t="e">
        <f t="shared" si="38"/>
        <v>#REF!</v>
      </c>
      <c r="BC156" s="133" t="e">
        <f t="shared" si="28"/>
        <v>#REF!</v>
      </c>
      <c r="BD156" s="133" t="e">
        <f t="shared" si="29"/>
        <v>#REF!</v>
      </c>
      <c r="BE156" s="133" t="e">
        <f t="shared" si="42"/>
        <v>#REF!</v>
      </c>
      <c r="BF156" s="133"/>
    </row>
    <row r="157" spans="2:59">
      <c r="B157" s="109" t="e">
        <f>'[1]Oil Production'!#REF!</f>
        <v>#REF!</v>
      </c>
      <c r="C157" s="65"/>
      <c r="D157" s="116">
        <f>'[1]Oil Production'!A118</f>
        <v>112</v>
      </c>
      <c r="E157" s="65">
        <f>'[1]Oil Production'!B118</f>
        <v>34.192027720525978</v>
      </c>
      <c r="F157" s="65">
        <f>'[1]Oil Production'!C118</f>
        <v>1040.0075098326652</v>
      </c>
      <c r="G157" s="65">
        <f>'[1]Oil Production'!D118</f>
        <v>191323.86317100038</v>
      </c>
      <c r="H157" s="95"/>
      <c r="K157" s="109">
        <f>'Liquids Type Curve'!A134</f>
        <v>9.3385574654533183</v>
      </c>
      <c r="L157" s="116">
        <f>'Liquids Type Curve'!B134</f>
        <v>112.06268958543981</v>
      </c>
      <c r="M157" s="65">
        <f>'Liquids Type Curve'!C134</f>
        <v>8.3772299875931573</v>
      </c>
      <c r="N157" s="65">
        <f>'Liquids Type Curve'!D134</f>
        <v>254.80741212262521</v>
      </c>
      <c r="O157" s="65">
        <f>'Liquids Type Curve'!E134</f>
        <v>99330.630940657924</v>
      </c>
      <c r="P157" s="250"/>
      <c r="S157" s="112">
        <f>'Gas Type Curve'!A141</f>
        <v>9.3333333333333304</v>
      </c>
      <c r="T157" s="128">
        <f>'Gas Type Curve'!B141</f>
        <v>111.99999999999997</v>
      </c>
      <c r="U157" s="94">
        <f>'Gas Type Curve'!C141</f>
        <v>198.40979287471927</v>
      </c>
      <c r="V157" s="94">
        <f>'Gas Type Curve'!D141</f>
        <v>6034.9645332727114</v>
      </c>
      <c r="W157" s="94">
        <f>'Gas Type Curve'!E141</f>
        <v>1753941.2963643093</v>
      </c>
      <c r="X157" s="250"/>
      <c r="AK157" s="146">
        <f t="shared" si="34"/>
        <v>112</v>
      </c>
      <c r="AL157" s="146" t="e">
        <f t="shared" si="44"/>
        <v>#REF!</v>
      </c>
      <c r="AM157" s="146">
        <f t="shared" si="35"/>
        <v>2300.6423441674087</v>
      </c>
      <c r="AN157" s="133">
        <f>'Price Deck'!E116*F157+N157*'Price Deck'!T116+(V157*'Price Deck'!K116/$AB$3)</f>
        <v>74755.007941671531</v>
      </c>
      <c r="AO157" s="133">
        <f t="shared" si="36"/>
        <v>32.49310268985986</v>
      </c>
      <c r="AP157" s="133" t="e">
        <f>'Production Costs '!$N$22*(1+'Production Costs '!$P$2)^(AL157)</f>
        <v>#REF!</v>
      </c>
      <c r="AQ157" s="133" t="e">
        <f>'Production Costs '!$N$23*(1+'Production Costs '!$P$2)^AL157</f>
        <v>#REF!</v>
      </c>
      <c r="AR157" s="162">
        <f>-'Oil Royalties'!W122</f>
        <v>-13.103615481769156</v>
      </c>
      <c r="AS157" s="162">
        <f>-'Butane Royalties'!AD122</f>
        <v>-6.1575478102725079</v>
      </c>
      <c r="AT157" s="162">
        <f>-'Propane Royalties'!AD122</f>
        <v>-5.5656212144395232</v>
      </c>
      <c r="AU157" s="162">
        <f>-'Ethane Royalties'!AH122</f>
        <v>-0.36770857200000001</v>
      </c>
      <c r="AV157" s="162">
        <f>-'Natural Gas Royalties'!AB122</f>
        <v>-0.14471412893798402</v>
      </c>
      <c r="AW157" s="133" t="e">
        <f>AN157+AM157*(AP157+AQ157)+(AR157*F157)+(AV157*(V157/$AB$3))+(AS157*'Butane Royalties'!K127)+(AT157*'Propane Royalties'!K127)+(AU157*'Ethane Royalties'!K127)</f>
        <v>#REF!</v>
      </c>
      <c r="AX157" s="133" t="e">
        <f t="shared" si="37"/>
        <v>#REF!</v>
      </c>
      <c r="AY157" s="133">
        <f t="shared" si="30"/>
        <v>5617.7449528087309</v>
      </c>
      <c r="AZ157" s="133">
        <f t="shared" si="31"/>
        <v>218555.15446403431</v>
      </c>
      <c r="BA157" s="133" t="e">
        <f t="shared" si="27"/>
        <v>#REF!</v>
      </c>
      <c r="BB157" s="133" t="e">
        <f t="shared" si="38"/>
        <v>#REF!</v>
      </c>
      <c r="BC157" s="133" t="e">
        <f t="shared" si="28"/>
        <v>#REF!</v>
      </c>
      <c r="BD157" s="133" t="e">
        <f t="shared" si="29"/>
        <v>#REF!</v>
      </c>
      <c r="BE157" s="133" t="e">
        <f t="shared" si="42"/>
        <v>#REF!</v>
      </c>
      <c r="BF157" s="133"/>
    </row>
    <row r="158" spans="2:59">
      <c r="B158" s="109" t="e">
        <f>'[1]Oil Production'!#REF!</f>
        <v>#REF!</v>
      </c>
      <c r="C158" s="65"/>
      <c r="D158" s="116">
        <f>'[1]Oil Production'!A119</f>
        <v>113</v>
      </c>
      <c r="E158" s="65">
        <f>'[1]Oil Production'!B119</f>
        <v>34.065736447086728</v>
      </c>
      <c r="F158" s="65">
        <f>'[1]Oil Production'!C119</f>
        <v>1036.1661502655547</v>
      </c>
      <c r="G158" s="65">
        <f>'[1]Oil Production'!D119</f>
        <v>192360.02932126593</v>
      </c>
      <c r="H158" s="95"/>
      <c r="K158" s="109">
        <f>'Liquids Type Curve'!A135</f>
        <v>9.4218907987866523</v>
      </c>
      <c r="L158" s="116">
        <f>'Liquids Type Curve'!B135</f>
        <v>113.06268958543983</v>
      </c>
      <c r="M158" s="65">
        <f>'Liquids Type Curve'!C135</f>
        <v>8.3081478903525152</v>
      </c>
      <c r="N158" s="65">
        <f>'Liquids Type Curve'!D135</f>
        <v>252.70616499822233</v>
      </c>
      <c r="O158" s="65">
        <f>'Liquids Type Curve'!E135</f>
        <v>99583.337105656145</v>
      </c>
      <c r="P158" s="250"/>
      <c r="S158" s="112">
        <f>'Gas Type Curve'!A142</f>
        <v>9.4166666666666643</v>
      </c>
      <c r="T158" s="128">
        <f>'Gas Type Curve'!B142</f>
        <v>112.99999999999997</v>
      </c>
      <c r="U158" s="94">
        <f>'Gas Type Curve'!C142</f>
        <v>197.16811940226239</v>
      </c>
      <c r="V158" s="94">
        <f>'Gas Type Curve'!D142</f>
        <v>5997.1969651521476</v>
      </c>
      <c r="W158" s="94">
        <f>'Gas Type Curve'!E142</f>
        <v>1759938.4933294614</v>
      </c>
      <c r="X158" s="250"/>
      <c r="AK158" s="146">
        <f t="shared" si="34"/>
        <v>113</v>
      </c>
      <c r="AL158" s="146" t="e">
        <f t="shared" si="44"/>
        <v>#REF!</v>
      </c>
      <c r="AM158" s="146">
        <f t="shared" si="35"/>
        <v>2288.405142789135</v>
      </c>
      <c r="AN158" s="133">
        <f>'Price Deck'!E117*F158+N158*'Price Deck'!T117+(V158*'Price Deck'!K117/$AB$3)</f>
        <v>74481.981456294379</v>
      </c>
      <c r="AO158" s="133">
        <f t="shared" si="36"/>
        <v>32.547550284524739</v>
      </c>
      <c r="AP158" s="133" t="e">
        <f>'Production Costs '!$N$22*(1+'Production Costs '!$P$2)^(AL158)</f>
        <v>#REF!</v>
      </c>
      <c r="AQ158" s="133" t="e">
        <f>'Production Costs '!$N$23*(1+'Production Costs '!$P$2)^AL158</f>
        <v>#REF!</v>
      </c>
      <c r="AR158" s="162">
        <f>-'Oil Royalties'!W123</f>
        <v>-13.045582349052893</v>
      </c>
      <c r="AS158" s="162">
        <f>-'Butane Royalties'!AD123</f>
        <v>-6.1486094975729451</v>
      </c>
      <c r="AT158" s="162">
        <f>-'Propane Royalties'!AD123</f>
        <v>-5.5579049392307089</v>
      </c>
      <c r="AU158" s="162">
        <f>-'Ethane Royalties'!AH123</f>
        <v>-0.36770857200000001</v>
      </c>
      <c r="AV158" s="162">
        <f>-'Natural Gas Royalties'!AB123</f>
        <v>-0.14739276384214015</v>
      </c>
      <c r="AW158" s="133" t="e">
        <f>AN158+AM158*(AP158+AQ158)+(AR158*F158)+(AV158*(V158/$AB$3))+(AS158*'Butane Royalties'!K128)+(AT158*'Propane Royalties'!K128)+(AU158*'Ethane Royalties'!K128)</f>
        <v>#REF!</v>
      </c>
      <c r="AX158" s="133" t="e">
        <f t="shared" si="37"/>
        <v>#REF!</v>
      </c>
      <c r="AY158" s="133">
        <f t="shared" si="30"/>
        <v>5476.9649636266986</v>
      </c>
      <c r="AZ158" s="133">
        <f t="shared" si="31"/>
        <v>213078.18950040761</v>
      </c>
      <c r="BA158" s="133" t="e">
        <f t="shared" si="27"/>
        <v>#REF!</v>
      </c>
      <c r="BB158" s="133" t="e">
        <f t="shared" si="38"/>
        <v>#REF!</v>
      </c>
      <c r="BC158" s="133" t="e">
        <f t="shared" si="28"/>
        <v>#REF!</v>
      </c>
      <c r="BD158" s="133" t="e">
        <f t="shared" si="29"/>
        <v>#REF!</v>
      </c>
      <c r="BE158" s="133" t="e">
        <f t="shared" si="42"/>
        <v>#REF!</v>
      </c>
      <c r="BF158" s="133"/>
    </row>
    <row r="159" spans="2:59">
      <c r="B159" s="109" t="e">
        <f>'[1]Oil Production'!#REF!</f>
        <v>#REF!</v>
      </c>
      <c r="C159" s="65"/>
      <c r="D159" s="116">
        <f>'[1]Oil Production'!A120</f>
        <v>114</v>
      </c>
      <c r="E159" s="65">
        <f>'[1]Oil Production'!B120</f>
        <v>33.941018212770032</v>
      </c>
      <c r="F159" s="65">
        <f>'[1]Oil Production'!C120</f>
        <v>1032.3726373050886</v>
      </c>
      <c r="G159" s="65">
        <f>'[1]Oil Production'!D120</f>
        <v>193392.40195857102</v>
      </c>
      <c r="H159" s="95"/>
      <c r="K159" s="109">
        <f>'Liquids Type Curve'!A136</f>
        <v>9.5052241321199862</v>
      </c>
      <c r="L159" s="116">
        <f>'Liquids Type Curve'!B136</f>
        <v>114.06268958543984</v>
      </c>
      <c r="M159" s="65">
        <f>'Liquids Type Curve'!C136</f>
        <v>8.2402363083293348</v>
      </c>
      <c r="N159" s="65">
        <f>'Liquids Type Curve'!D136</f>
        <v>250.64052104501727</v>
      </c>
      <c r="O159" s="65">
        <f>'Liquids Type Curve'!E136</f>
        <v>99833.977626701162</v>
      </c>
      <c r="P159" s="250"/>
      <c r="S159" s="112">
        <f>'Gas Type Curve'!A143</f>
        <v>9.4999999999999982</v>
      </c>
      <c r="T159" s="128">
        <f>'Gas Type Curve'!B143</f>
        <v>113.99999999999997</v>
      </c>
      <c r="U159" s="94">
        <f>'Gas Type Curve'!C143</f>
        <v>195.94505422228104</v>
      </c>
      <c r="V159" s="94">
        <f>'Gas Type Curve'!D143</f>
        <v>5959.995399261049</v>
      </c>
      <c r="W159" s="94">
        <f>'Gas Type Curve'!E143</f>
        <v>1765898.4887287226</v>
      </c>
      <c r="X159" s="250"/>
      <c r="AK159" s="146">
        <f t="shared" si="34"/>
        <v>114</v>
      </c>
      <c r="AL159" s="146" t="e">
        <f t="shared" si="44"/>
        <v>#REF!</v>
      </c>
      <c r="AM159" s="146">
        <f t="shared" si="35"/>
        <v>2276.3457248936138</v>
      </c>
      <c r="AN159" s="133">
        <f>'Price Deck'!E118*F159+N159*'Price Deck'!T118+(V159*'Price Deck'!K118/$AB$3)</f>
        <v>74212.753954174768</v>
      </c>
      <c r="AO159" s="133">
        <f t="shared" si="36"/>
        <v>32.601705945894111</v>
      </c>
      <c r="AP159" s="133" t="e">
        <f>'Production Costs '!$N$22*(1+'Production Costs '!$P$2)^(AL159)</f>
        <v>#REF!</v>
      </c>
      <c r="AQ159" s="133" t="e">
        <f>'Production Costs '!$N$23*(1+'Production Costs '!$P$2)^AL159</f>
        <v>#REF!</v>
      </c>
      <c r="AR159" s="162">
        <f>-'Oil Royalties'!W124</f>
        <v>-12.988272056368887</v>
      </c>
      <c r="AS159" s="162">
        <f>-'Butane Royalties'!AD124</f>
        <v>-6.1398295795134157</v>
      </c>
      <c r="AT159" s="162">
        <f>-'Propane Royalties'!AD124</f>
        <v>-5.5503254030995226</v>
      </c>
      <c r="AU159" s="162">
        <f>-'Ethane Royalties'!AH124</f>
        <v>-0.36770857199999996</v>
      </c>
      <c r="AV159" s="162">
        <f>-'Natural Gas Royalties'!AB124</f>
        <v>-0.15007139874629621</v>
      </c>
      <c r="AW159" s="133" t="e">
        <f>AN159+AM159*(AP159+AQ159)+(AR159*F159)+(AV159*(V159/$AB$3))+(AS159*'Butane Royalties'!K129)+(AT159*'Propane Royalties'!K129)+(AU159*'Ethane Royalties'!K129)</f>
        <v>#REF!</v>
      </c>
      <c r="AX159" s="133" t="e">
        <f t="shared" si="37"/>
        <v>#REF!</v>
      </c>
      <c r="AY159" s="133">
        <f t="shared" si="30"/>
        <v>5339.7129034483105</v>
      </c>
      <c r="AZ159" s="133">
        <f t="shared" si="31"/>
        <v>207738.47659695928</v>
      </c>
      <c r="BA159" s="133" t="e">
        <f t="shared" si="27"/>
        <v>#REF!</v>
      </c>
      <c r="BB159" s="133" t="e">
        <f t="shared" si="38"/>
        <v>#REF!</v>
      </c>
      <c r="BC159" s="133" t="e">
        <f t="shared" si="28"/>
        <v>#REF!</v>
      </c>
      <c r="BD159" s="133" t="e">
        <f t="shared" si="29"/>
        <v>#REF!</v>
      </c>
      <c r="BE159" s="133" t="e">
        <f t="shared" si="42"/>
        <v>#REF!</v>
      </c>
      <c r="BF159" s="133"/>
    </row>
    <row r="160" spans="2:59">
      <c r="B160" s="109" t="e">
        <f>'[1]Oil Production'!#REF!</f>
        <v>#REF!</v>
      </c>
      <c r="C160" s="65"/>
      <c r="D160" s="116">
        <f>'[1]Oil Production'!A121</f>
        <v>115</v>
      </c>
      <c r="E160" s="65">
        <f>'[1]Oil Production'!B121</f>
        <v>33.817839881521202</v>
      </c>
      <c r="F160" s="65">
        <f>'[1]Oil Production'!C121</f>
        <v>1028.6259630629365</v>
      </c>
      <c r="G160" s="65">
        <f>'[1]Oil Production'!D121</f>
        <v>194421.02792163397</v>
      </c>
      <c r="H160" s="95"/>
      <c r="K160" s="109">
        <f>'Liquids Type Curve'!A137</f>
        <v>9.5885574654533201</v>
      </c>
      <c r="L160" s="116">
        <f>'Liquids Type Curve'!B137</f>
        <v>115.06268958543984</v>
      </c>
      <c r="M160" s="65">
        <f>'Liquids Type Curve'!C137</f>
        <v>8.1734654050556976</v>
      </c>
      <c r="N160" s="65">
        <f>'Liquids Type Curve'!D137</f>
        <v>248.60957273711082</v>
      </c>
      <c r="O160" s="65">
        <f>'Liquids Type Curve'!E137</f>
        <v>100082.58719943828</v>
      </c>
      <c r="P160" s="250"/>
      <c r="S160" s="112">
        <f>'Gas Type Curve'!A144</f>
        <v>9.5833333333333321</v>
      </c>
      <c r="T160" s="128">
        <f>'Gas Type Curve'!B144</f>
        <v>114.99999999999999</v>
      </c>
      <c r="U160" s="94">
        <f>'Gas Type Curve'!C144</f>
        <v>194.74015887058908</v>
      </c>
      <c r="V160" s="94">
        <f>'Gas Type Curve'!D144</f>
        <v>5923.3464989804179</v>
      </c>
      <c r="W160" s="94">
        <f>'Gas Type Curve'!E144</f>
        <v>1771821.835227703</v>
      </c>
      <c r="X160" s="250"/>
      <c r="AK160" s="146">
        <f t="shared" si="34"/>
        <v>115</v>
      </c>
      <c r="AL160" s="146" t="e">
        <f t="shared" si="44"/>
        <v>#REF!</v>
      </c>
      <c r="AM160" s="146">
        <f t="shared" si="35"/>
        <v>2264.4599522967837</v>
      </c>
      <c r="AN160" s="133">
        <f>'Price Deck'!E119*F160+N160*'Price Deck'!T119+(V160*'Price Deck'!K119/$AB$3)</f>
        <v>73911.540112763745</v>
      </c>
      <c r="AO160" s="133">
        <f t="shared" si="36"/>
        <v>32.639808903574192</v>
      </c>
      <c r="AP160" s="133" t="e">
        <f>'Production Costs '!$N$22*(1+'Production Costs '!$P$2)^(AL160)</f>
        <v>#REF!</v>
      </c>
      <c r="AQ160" s="133" t="e">
        <f>'Production Costs '!$N$23*(1+'Production Costs '!$P$2)^AL160</f>
        <v>#REF!</v>
      </c>
      <c r="AR160" s="162">
        <f>-'Oil Royalties'!W125</f>
        <v>-12.931669377098489</v>
      </c>
      <c r="AS160" s="162">
        <f>-'Butane Royalties'!AD125</f>
        <v>-6.1312038351350386</v>
      </c>
      <c r="AT160" s="162">
        <f>-'Propane Royalties'!AD125</f>
        <v>-5.5428789621725141</v>
      </c>
      <c r="AU160" s="162">
        <f>-'Ethane Royalties'!AH125</f>
        <v>-0.36770857199999996</v>
      </c>
      <c r="AV160" s="162">
        <f>-'Natural Gas Royalties'!AB125</f>
        <v>-0.15094195509014693</v>
      </c>
      <c r="AW160" s="133" t="e">
        <f>AN160+AM160*(AP160+AQ160)+(AR160*F160)+(AV160*(V160/$AB$3))+(AS160*'Butane Royalties'!K130)+(AT160*'Propane Royalties'!K130)+(AU160*'Ethane Royalties'!K130)</f>
        <v>#REF!</v>
      </c>
      <c r="AX160" s="133" t="e">
        <f t="shared" si="37"/>
        <v>#REF!</v>
      </c>
      <c r="AY160" s="133">
        <f t="shared" si="30"/>
        <v>5205.9003628119171</v>
      </c>
      <c r="AZ160" s="133">
        <f t="shared" si="31"/>
        <v>202532.57623414736</v>
      </c>
      <c r="BA160" s="133" t="e">
        <f t="shared" si="27"/>
        <v>#REF!</v>
      </c>
      <c r="BB160" s="133" t="e">
        <f t="shared" si="38"/>
        <v>#REF!</v>
      </c>
      <c r="BC160" s="133" t="e">
        <f t="shared" si="28"/>
        <v>#REF!</v>
      </c>
      <c r="BD160" s="133" t="e">
        <f t="shared" si="29"/>
        <v>#REF!</v>
      </c>
      <c r="BE160" s="133" t="e">
        <f t="shared" si="42"/>
        <v>#REF!</v>
      </c>
      <c r="BF160" s="133"/>
    </row>
    <row r="161" spans="2:58">
      <c r="B161" s="109" t="e">
        <f>'[1]Oil Production'!#REF!</f>
        <v>#REF!</v>
      </c>
      <c r="C161" s="65"/>
      <c r="D161" s="116">
        <f>'[1]Oil Production'!A122</f>
        <v>116</v>
      </c>
      <c r="E161" s="65">
        <f>'[1]Oil Production'!B122</f>
        <v>33.696169295647003</v>
      </c>
      <c r="F161" s="65">
        <f>'[1]Oil Production'!C122</f>
        <v>1024.925149409263</v>
      </c>
      <c r="G161" s="65">
        <f>'[1]Oil Production'!D122</f>
        <v>195445.95307104324</v>
      </c>
      <c r="H161" s="95"/>
      <c r="K161" s="109">
        <f>'Liquids Type Curve'!A138</f>
        <v>9.671890798786654</v>
      </c>
      <c r="L161" s="116">
        <f>'Liquids Type Curve'!B138</f>
        <v>116.06268958543984</v>
      </c>
      <c r="M161" s="65">
        <f>'Liquids Type Curve'!C138</f>
        <v>8.1078063551895418</v>
      </c>
      <c r="N161" s="65">
        <f>'Liquids Type Curve'!D138</f>
        <v>246.61244330368191</v>
      </c>
      <c r="O161" s="65">
        <f>'Liquids Type Curve'!E138</f>
        <v>100329.19964274195</v>
      </c>
      <c r="P161" s="250"/>
      <c r="S161" s="112">
        <f>'Gas Type Curve'!A145</f>
        <v>9.6666666666666661</v>
      </c>
      <c r="T161" s="128">
        <f>'Gas Type Curve'!B145</f>
        <v>116</v>
      </c>
      <c r="U161" s="94">
        <f>'Gas Type Curve'!C145</f>
        <v>193.55300890999069</v>
      </c>
      <c r="V161" s="94">
        <f>'Gas Type Curve'!D145</f>
        <v>5887.2373543455506</v>
      </c>
      <c r="W161" s="94">
        <f>'Gas Type Curve'!E145</f>
        <v>1777709.0725820486</v>
      </c>
      <c r="X161" s="250"/>
      <c r="AK161" s="146">
        <f t="shared" si="34"/>
        <v>116</v>
      </c>
      <c r="AL161" s="146" t="e">
        <f t="shared" si="44"/>
        <v>#REF!</v>
      </c>
      <c r="AM161" s="146">
        <f t="shared" si="35"/>
        <v>2252.7438184372031</v>
      </c>
      <c r="AN161" s="133">
        <f>'Price Deck'!E120*F161+N161*'Price Deck'!T120+(V161*'Price Deck'!K120/$AB$3)</f>
        <v>73657.758544631521</v>
      </c>
      <c r="AO161" s="133">
        <f t="shared" si="36"/>
        <v>32.696908517423054</v>
      </c>
      <c r="AP161" s="133" t="e">
        <f>'Production Costs '!$N$22*(1+'Production Costs '!$P$2)^(AL161)</f>
        <v>#REF!</v>
      </c>
      <c r="AQ161" s="133" t="e">
        <f>'Production Costs '!$N$23*(1+'Production Costs '!$P$2)^AL161</f>
        <v>#REF!</v>
      </c>
      <c r="AR161" s="162">
        <f>-'Oil Royalties'!W126</f>
        <v>-12.875759534197904</v>
      </c>
      <c r="AS161" s="162">
        <f>-'Butane Royalties'!AD126</f>
        <v>-6.1227281929644901</v>
      </c>
      <c r="AT161" s="162">
        <f>-'Propane Royalties'!AD126</f>
        <v>-5.5355621016242562</v>
      </c>
      <c r="AU161" s="162">
        <f>-'Ethane Royalties'!AH126</f>
        <v>-0.36770857200000001</v>
      </c>
      <c r="AV161" s="162">
        <f>-'Natural Gas Royalties'!AB126</f>
        <v>-0.15402238522992645</v>
      </c>
      <c r="AW161" s="133" t="e">
        <f>AN161+AM161*(AP161+AQ161)+(AR161*F161)+(AV161*(V161/$AB$3))+(AS161*'Butane Royalties'!K131)+(AT161*'Propane Royalties'!K131)+(AU161*'Ethane Royalties'!K131)</f>
        <v>#REF!</v>
      </c>
      <c r="AX161" s="133" t="e">
        <f t="shared" si="37"/>
        <v>#REF!</v>
      </c>
      <c r="AY161" s="133">
        <f t="shared" si="30"/>
        <v>5075.4411477859703</v>
      </c>
      <c r="AZ161" s="133">
        <f t="shared" si="31"/>
        <v>197457.13508636138</v>
      </c>
      <c r="BA161" s="133" t="e">
        <f t="shared" si="27"/>
        <v>#REF!</v>
      </c>
      <c r="BB161" s="133" t="e">
        <f t="shared" si="38"/>
        <v>#REF!</v>
      </c>
      <c r="BC161" s="133" t="e">
        <f t="shared" si="28"/>
        <v>#REF!</v>
      </c>
      <c r="BD161" s="133" t="e">
        <f t="shared" si="29"/>
        <v>#REF!</v>
      </c>
      <c r="BE161" s="133" t="e">
        <f t="shared" si="42"/>
        <v>#REF!</v>
      </c>
      <c r="BF161" s="133"/>
    </row>
    <row r="162" spans="2:58">
      <c r="B162" s="109" t="e">
        <f>'[1]Oil Production'!#REF!</f>
        <v>#REF!</v>
      </c>
      <c r="C162" s="65"/>
      <c r="D162" s="116">
        <f>'[1]Oil Production'!A123</f>
        <v>117</v>
      </c>
      <c r="E162" s="65">
        <f>'[1]Oil Production'!B123</f>
        <v>33.575975238793227</v>
      </c>
      <c r="F162" s="65">
        <f>'[1]Oil Production'!C123</f>
        <v>1021.2692468466273</v>
      </c>
      <c r="G162" s="65">
        <f>'[1]Oil Production'!D123</f>
        <v>196467.22231788989</v>
      </c>
      <c r="H162" s="95"/>
      <c r="K162" s="109">
        <f>'Liquids Type Curve'!A139</f>
        <v>9.755224132119988</v>
      </c>
      <c r="L162" s="116">
        <f>'Liquids Type Curve'!B139</f>
        <v>117.06268958543986</v>
      </c>
      <c r="M162" s="65">
        <f>'Liquids Type Curve'!C139</f>
        <v>8.0432313019014909</v>
      </c>
      <c r="N162" s="65">
        <f>'Liquids Type Curve'!D139</f>
        <v>244.64828543283701</v>
      </c>
      <c r="O162" s="65">
        <f>'Liquids Type Curve'!E139</f>
        <v>100573.84792817479</v>
      </c>
      <c r="P162" s="250"/>
      <c r="S162" s="112">
        <f>'Gas Type Curve'!A146</f>
        <v>9.75</v>
      </c>
      <c r="T162" s="128">
        <f>'Gas Type Curve'!B146</f>
        <v>117</v>
      </c>
      <c r="U162" s="94">
        <f>'Gas Type Curve'!C146</f>
        <v>192.38319336533851</v>
      </c>
      <c r="V162" s="94">
        <f>'Gas Type Curve'!D146</f>
        <v>5851.6554648623796</v>
      </c>
      <c r="W162" s="94">
        <f>'Gas Type Curve'!E146</f>
        <v>1783560.7280469111</v>
      </c>
      <c r="X162" s="250"/>
      <c r="AK162" s="146">
        <f t="shared" si="34"/>
        <v>117</v>
      </c>
      <c r="AL162" s="146" t="e">
        <f t="shared" si="44"/>
        <v>#REF!</v>
      </c>
      <c r="AM162" s="146">
        <f t="shared" si="35"/>
        <v>2241.1934430898609</v>
      </c>
      <c r="AN162" s="133">
        <f>'Price Deck'!E121*F162+N162*'Price Deck'!T121+(V162*'Price Deck'!K121/$AB$3)</f>
        <v>73433.552247091313</v>
      </c>
      <c r="AO162" s="133">
        <f t="shared" si="36"/>
        <v>32.765378853621328</v>
      </c>
      <c r="AP162" s="133" t="e">
        <f>'Production Costs '!$N$22*(1+'Production Costs '!$P$2)^(AL162)</f>
        <v>#REF!</v>
      </c>
      <c r="AQ162" s="133" t="e">
        <f>'Production Costs '!$N$23*(1+'Production Costs '!$P$2)^AL162</f>
        <v>#REF!</v>
      </c>
      <c r="AR162" s="162">
        <f>-'Oil Royalties'!W127</f>
        <v>-12.820528183185701</v>
      </c>
      <c r="AS162" s="162">
        <f>-'Butane Royalties'!AD127</f>
        <v>-6.1143987244328262</v>
      </c>
      <c r="AT162" s="162">
        <f>-'Propane Royalties'!AD127</f>
        <v>-5.5283714299959748</v>
      </c>
      <c r="AU162" s="162">
        <f>-'Ethane Royalties'!AH127</f>
        <v>-0.36770857199999996</v>
      </c>
      <c r="AV162" s="162">
        <f>-'Natural Gas Royalties'!AB127</f>
        <v>-0.15844213282178393</v>
      </c>
      <c r="AW162" s="133" t="e">
        <f>AN162+AM162*(AP162+AQ162)+(AR162*F162)+(AV162*(V162/$AB$3))+(AS162*'Butane Royalties'!K132)+(AT162*'Propane Royalties'!K132)+(AU162*'Ethane Royalties'!K132)</f>
        <v>#REF!</v>
      </c>
      <c r="AX162" s="133" t="e">
        <f t="shared" si="37"/>
        <v>#REF!</v>
      </c>
      <c r="AY162" s="133">
        <f t="shared" si="30"/>
        <v>4948.2512244481177</v>
      </c>
      <c r="AZ162" s="133">
        <f t="shared" si="31"/>
        <v>192508.88386191326</v>
      </c>
      <c r="BA162" s="133" t="e">
        <f t="shared" si="27"/>
        <v>#REF!</v>
      </c>
      <c r="BB162" s="133" t="e">
        <f t="shared" si="38"/>
        <v>#REF!</v>
      </c>
      <c r="BC162" s="133" t="e">
        <f t="shared" si="28"/>
        <v>#REF!</v>
      </c>
      <c r="BD162" s="133" t="e">
        <f t="shared" si="29"/>
        <v>#REF!</v>
      </c>
      <c r="BE162" s="133" t="e">
        <f t="shared" si="42"/>
        <v>#REF!</v>
      </c>
      <c r="BF162" s="133"/>
    </row>
    <row r="163" spans="2:58">
      <c r="B163" s="109" t="e">
        <f>'[1]Oil Production'!#REF!</f>
        <v>#REF!</v>
      </c>
      <c r="C163" s="65"/>
      <c r="D163" s="116">
        <f>'[1]Oil Production'!A124</f>
        <v>118</v>
      </c>
      <c r="E163" s="65">
        <f>'[1]Oil Production'!B124</f>
        <v>33.457227400625833</v>
      </c>
      <c r="F163" s="65">
        <f>'[1]Oil Production'!C124</f>
        <v>1017.6573334357024</v>
      </c>
      <c r="G163" s="65">
        <f>'[1]Oil Production'!D124</f>
        <v>197484.87965132558</v>
      </c>
      <c r="H163" s="95"/>
      <c r="K163" s="109">
        <f>'Liquids Type Curve'!A140</f>
        <v>9.8385574654533219</v>
      </c>
      <c r="L163" s="116">
        <f>'Liquids Type Curve'!B140</f>
        <v>118.06268958543987</v>
      </c>
      <c r="M163" s="65">
        <f>'Liquids Type Curve'!C140</f>
        <v>7.9797133164033838</v>
      </c>
      <c r="N163" s="65">
        <f>'Liquids Type Curve'!D140</f>
        <v>242.71628004060292</v>
      </c>
      <c r="O163" s="65">
        <f>'Liquids Type Curve'!E140</f>
        <v>100816.56420821539</v>
      </c>
      <c r="P163" s="250"/>
      <c r="S163" s="112">
        <f>'Gas Type Curve'!A147</f>
        <v>9.8333333333333339</v>
      </c>
      <c r="T163" s="128">
        <f>'Gas Type Curve'!B147</f>
        <v>118</v>
      </c>
      <c r="U163" s="94">
        <f>'Gas Type Curve'!C147</f>
        <v>191.23031418594687</v>
      </c>
      <c r="V163" s="94">
        <f>'Gas Type Curve'!D147</f>
        <v>5816.5887231558845</v>
      </c>
      <c r="W163" s="94">
        <f>'Gas Type Curve'!E147</f>
        <v>1789377.316770067</v>
      </c>
      <c r="X163" s="250"/>
      <c r="AK163" s="146">
        <f t="shared" si="34"/>
        <v>118</v>
      </c>
      <c r="AL163" s="146" t="e">
        <f t="shared" si="44"/>
        <v>#REF!</v>
      </c>
      <c r="AM163" s="146">
        <f t="shared" si="35"/>
        <v>2229.8050673356192</v>
      </c>
      <c r="AN163" s="133">
        <f>'Price Deck'!E122*F163+N163*'Price Deck'!T122+(V163*'Price Deck'!K122/$AB$3)</f>
        <v>73322.77014002268</v>
      </c>
      <c r="AO163" s="133">
        <f t="shared" si="36"/>
        <v>32.883040411974498</v>
      </c>
      <c r="AP163" s="133" t="e">
        <f>'Production Costs '!$N$22*(1+'Production Costs '!$P$2)^(AL163)</f>
        <v>#REF!</v>
      </c>
      <c r="AQ163" s="133" t="e">
        <f>'Production Costs '!$N$23*(1+'Production Costs '!$P$2)^AL163</f>
        <v>#REF!</v>
      </c>
      <c r="AR163" s="162">
        <f>-'Oil Royalties'!W128</f>
        <v>-12.765961395913157</v>
      </c>
      <c r="AS163" s="162">
        <f>-'Butane Royalties'!AD128</f>
        <v>-6.1062116376397748</v>
      </c>
      <c r="AT163" s="162">
        <f>-'Propane Royalties'!AD128</f>
        <v>-5.5213036738123327</v>
      </c>
      <c r="AU163" s="162">
        <f>-'Ethane Royalties'!AH128</f>
        <v>-0.36770857200000001</v>
      </c>
      <c r="AV163" s="162">
        <f>-'Natural Gas Royalties'!AB128</f>
        <v>-0.16855397958497315</v>
      </c>
      <c r="AW163" s="133" t="e">
        <f>AN163+AM163*(AP163+AQ163)+(AR163*F163)+(AV163*(V163/$AB$3))+(AS163*'Butane Royalties'!K133)+(AT163*'Propane Royalties'!K133)+(AU163*'Ethane Royalties'!K133)</f>
        <v>#REF!</v>
      </c>
      <c r="AX163" s="133" t="e">
        <f t="shared" si="37"/>
        <v>#REF!</v>
      </c>
      <c r="AY163" s="133">
        <f t="shared" si="30"/>
        <v>4824.2486647556389</v>
      </c>
      <c r="AZ163" s="133">
        <f t="shared" si="31"/>
        <v>187684.63519715762</v>
      </c>
      <c r="BA163" s="133" t="e">
        <f t="shared" si="27"/>
        <v>#REF!</v>
      </c>
      <c r="BB163" s="133" t="e">
        <f t="shared" si="38"/>
        <v>#REF!</v>
      </c>
      <c r="BC163" s="133" t="e">
        <f t="shared" si="28"/>
        <v>#REF!</v>
      </c>
      <c r="BD163" s="133" t="e">
        <f t="shared" si="29"/>
        <v>#REF!</v>
      </c>
      <c r="BE163" s="133" t="e">
        <f t="shared" si="42"/>
        <v>#REF!</v>
      </c>
      <c r="BF163" s="133"/>
    </row>
    <row r="164" spans="2:58">
      <c r="B164" s="109" t="e">
        <f>'[1]Oil Production'!#REF!</f>
        <v>#REF!</v>
      </c>
      <c r="C164" s="65"/>
      <c r="D164" s="116">
        <f>'[1]Oil Production'!A125</f>
        <v>119</v>
      </c>
      <c r="E164" s="65">
        <f>'[1]Oil Production'!B125</f>
        <v>33.339896343123769</v>
      </c>
      <c r="F164" s="65">
        <f>'[1]Oil Production'!C125</f>
        <v>1014.0885137700146</v>
      </c>
      <c r="G164" s="65">
        <f>'[1]Oil Production'!D125</f>
        <v>198498.9681650956</v>
      </c>
      <c r="H164" s="95"/>
      <c r="K164" s="109">
        <f>'Liquids Type Curve'!A141</f>
        <v>9.9218907987866558</v>
      </c>
      <c r="L164" s="116">
        <f>'Liquids Type Curve'!B141</f>
        <v>119.06268958543987</v>
      </c>
      <c r="M164" s="65">
        <f>'Liquids Type Curve'!C141</f>
        <v>7.9172263594938022</v>
      </c>
      <c r="N164" s="65">
        <f>'Liquids Type Curve'!D141</f>
        <v>240.81563510126983</v>
      </c>
      <c r="O164" s="65">
        <f>'Liquids Type Curve'!E141</f>
        <v>101057.37984331667</v>
      </c>
      <c r="P164" s="250"/>
      <c r="S164" s="112">
        <f>'Gas Type Curve'!A148</f>
        <v>9.9166666666666679</v>
      </c>
      <c r="T164" s="128">
        <f>'Gas Type Curve'!B148</f>
        <v>119.00000000000001</v>
      </c>
      <c r="U164" s="94">
        <f>'Gas Type Curve'!C148</f>
        <v>190.09398573381407</v>
      </c>
      <c r="V164" s="94">
        <f>'Gas Type Curve'!D148</f>
        <v>5782.0253994035111</v>
      </c>
      <c r="W164" s="94">
        <f>'Gas Type Curve'!E148</f>
        <v>1795159.3421694704</v>
      </c>
      <c r="X164" s="250"/>
      <c r="AK164" s="146">
        <f t="shared" si="34"/>
        <v>119</v>
      </c>
      <c r="AL164" s="146" t="e">
        <f t="shared" si="44"/>
        <v>#REF!</v>
      </c>
      <c r="AM164" s="146">
        <f t="shared" si="35"/>
        <v>2218.5750487718697</v>
      </c>
      <c r="AN164" s="133">
        <f>'Price Deck'!E123*F164+N164*'Price Deck'!T123+(V164*'Price Deck'!K123/$AB$3)</f>
        <v>73174.951950509829</v>
      </c>
      <c r="AO164" s="133">
        <f t="shared" si="36"/>
        <v>32.982860774088792</v>
      </c>
      <c r="AP164" s="133" t="e">
        <f>'Production Costs '!$N$22*(1+'Production Costs '!$P$2)^(AL164)</f>
        <v>#REF!</v>
      </c>
      <c r="AQ164" s="133" t="e">
        <f>'Production Costs '!$N$23*(1+'Production Costs '!$P$2)^AL164</f>
        <v>#REF!</v>
      </c>
      <c r="AR164" s="162">
        <f>-'Oil Royalties'!W129</f>
        <v>-12.712045645075209</v>
      </c>
      <c r="AS164" s="162">
        <f>-'Butane Royalties'!AD129</f>
        <v>-6.098163271442373</v>
      </c>
      <c r="AT164" s="162">
        <f>-'Propane Royalties'!AD129</f>
        <v>-5.5143556724783096</v>
      </c>
      <c r="AU164" s="162">
        <f>-'Ethane Royalties'!AH129</f>
        <v>-0.36770857200000001</v>
      </c>
      <c r="AV164" s="162">
        <f>-'Natural Gas Royalties'!AB129</f>
        <v>-0.17665685017004526</v>
      </c>
      <c r="AW164" s="133" t="e">
        <f>AN164+AM164*(AP164+AQ164)+(AR164*F164)+(AV164*(V164/$AB$3))+(AS164*'Butane Royalties'!K134)+(AT164*'Propane Royalties'!K134)+(AU164*'Ethane Royalties'!K134)</f>
        <v>#REF!</v>
      </c>
      <c r="AX164" s="133" t="e">
        <f t="shared" si="37"/>
        <v>#REF!</v>
      </c>
      <c r="AY164" s="133">
        <f t="shared" si="30"/>
        <v>4703.3535937723673</v>
      </c>
      <c r="AZ164" s="133">
        <f t="shared" si="31"/>
        <v>182981.28160338526</v>
      </c>
      <c r="BA164" s="133" t="e">
        <f t="shared" si="27"/>
        <v>#REF!</v>
      </c>
      <c r="BB164" s="133" t="e">
        <f t="shared" si="38"/>
        <v>#REF!</v>
      </c>
      <c r="BC164" s="133" t="e">
        <f t="shared" si="28"/>
        <v>#REF!</v>
      </c>
      <c r="BD164" s="133" t="e">
        <f t="shared" si="29"/>
        <v>#REF!</v>
      </c>
      <c r="BE164" s="133" t="e">
        <f t="shared" si="42"/>
        <v>#REF!</v>
      </c>
      <c r="BF164" s="133"/>
    </row>
    <row r="165" spans="2:58">
      <c r="B165" s="111" t="e">
        <f>'[1]Oil Production'!#REF!</f>
        <v>#REF!</v>
      </c>
      <c r="C165" s="65"/>
      <c r="D165" s="127">
        <f>'[1]Oil Production'!A126</f>
        <v>120</v>
      </c>
      <c r="E165" s="66">
        <f>'[1]Oil Production'!B126</f>
        <v>33.223953468396701</v>
      </c>
      <c r="F165" s="66">
        <f>'[1]Oil Production'!C126</f>
        <v>1010.5619179970663</v>
      </c>
      <c r="G165" s="66">
        <f>'[1]Oil Production'!D126</f>
        <v>199509.53008309266</v>
      </c>
      <c r="H165" s="95"/>
      <c r="K165" s="109">
        <f>'Liquids Type Curve'!A142</f>
        <v>10.00522413211999</v>
      </c>
      <c r="L165" s="116">
        <f>'Liquids Type Curve'!B142</f>
        <v>120.06268958543987</v>
      </c>
      <c r="M165" s="65">
        <f>'Liquids Type Curve'!C142</f>
        <v>7.8557452450041731</v>
      </c>
      <c r="N165" s="65">
        <f>'Liquids Type Curve'!D142</f>
        <v>238.94558453554362</v>
      </c>
      <c r="O165" s="65">
        <f>'Liquids Type Curve'!E142</f>
        <v>101296.32542785221</v>
      </c>
      <c r="P165" s="250"/>
      <c r="S165" s="112">
        <f>'Gas Type Curve'!A149</f>
        <v>10.000000000000002</v>
      </c>
      <c r="T165" s="128">
        <f>'Gas Type Curve'!B149</f>
        <v>120.00000000000003</v>
      </c>
      <c r="U165" s="94">
        <f>'Gas Type Curve'!C149</f>
        <v>188.97383429621172</v>
      </c>
      <c r="V165" s="94">
        <f>'Gas Type Curve'!D149</f>
        <v>5747.9541265097732</v>
      </c>
      <c r="W165" s="94">
        <f>'Gas Type Curve'!E149</f>
        <v>1800907.2962959802</v>
      </c>
      <c r="X165" s="250"/>
      <c r="AK165" s="146">
        <f t="shared" si="34"/>
        <v>120</v>
      </c>
      <c r="AL165" s="146" t="e">
        <f>$B$165</f>
        <v>#REF!</v>
      </c>
      <c r="AM165" s="146">
        <f t="shared" si="35"/>
        <v>2207.4998569509057</v>
      </c>
      <c r="AN165" s="133">
        <f>'Price Deck'!E124*F165+N165*'Price Deck'!T124+(V165*'Price Deck'!K124/$AB$3)</f>
        <v>72829.080290744125</v>
      </c>
      <c r="AO165" s="133">
        <f t="shared" si="36"/>
        <v>32.991657988752401</v>
      </c>
      <c r="AP165" s="133" t="e">
        <f>'Production Costs '!$N$22*(1+'Production Costs '!$P$2)^(AL165)</f>
        <v>#REF!</v>
      </c>
      <c r="AQ165" s="133" t="e">
        <f>'Production Costs '!$N$23*(1+'Production Costs '!$P$2)^AL165</f>
        <v>#REF!</v>
      </c>
      <c r="AR165" s="162">
        <f>-'Oil Royalties'!W130</f>
        <v>-12.658767789422122</v>
      </c>
      <c r="AS165" s="162">
        <f>-'Butane Royalties'!AD130</f>
        <v>-6.0902500898484861</v>
      </c>
      <c r="AT165" s="162">
        <f>-'Propane Royalties'!AD130</f>
        <v>-5.5075243734392023</v>
      </c>
      <c r="AU165" s="162">
        <f>-'Ethane Royalties'!AH130</f>
        <v>-0.36770857199999996</v>
      </c>
      <c r="AV165" s="162">
        <f>-'Natural Gas Royalties'!AB130</f>
        <v>-0.17431304462890868</v>
      </c>
      <c r="AW165" s="133" t="e">
        <f>AN165+AM165*(AP165+AQ165)+(AR165*F165)+(AV165*(V165/$AB$3))+(AS165*'Butane Royalties'!K135)+(AT165*'Propane Royalties'!K135)+(AU165*'Ethane Royalties'!K135)</f>
        <v>#REF!</v>
      </c>
      <c r="AX165" s="133" t="e">
        <f t="shared" si="37"/>
        <v>#REF!</v>
      </c>
      <c r="AY165" s="133">
        <f t="shared" si="30"/>
        <v>4585.4881382180893</v>
      </c>
      <c r="AZ165" s="133">
        <f t="shared" si="31"/>
        <v>178395.79346516717</v>
      </c>
      <c r="BA165" s="133" t="e">
        <f t="shared" si="27"/>
        <v>#REF!</v>
      </c>
      <c r="BB165" s="133" t="e">
        <f t="shared" si="38"/>
        <v>#REF!</v>
      </c>
      <c r="BC165" s="133" t="e">
        <f t="shared" si="28"/>
        <v>#REF!</v>
      </c>
      <c r="BD165" s="133" t="e">
        <f t="shared" si="29"/>
        <v>#REF!</v>
      </c>
      <c r="BE165" s="133" t="e">
        <f t="shared" si="42"/>
        <v>#REF!</v>
      </c>
      <c r="BF165" s="133"/>
    </row>
    <row r="166" spans="2:58">
      <c r="B166" s="111" t="e">
        <f>'[1]Oil Production'!#REF!</f>
        <v>#REF!</v>
      </c>
      <c r="C166" s="66" t="e">
        <f>B165</f>
        <v>#REF!</v>
      </c>
      <c r="D166" s="127">
        <f>'[1]Oil Production'!A127</f>
        <v>121</v>
      </c>
      <c r="E166" s="66">
        <f>'[1]Oil Production'!B127</f>
        <v>33.109370987947074</v>
      </c>
      <c r="F166" s="66">
        <f>'[1]Oil Production'!C127</f>
        <v>1007.0767008833902</v>
      </c>
      <c r="G166" s="66">
        <f>'[1]Oil Production'!D127</f>
        <v>200516.60678397605</v>
      </c>
      <c r="H166" s="95" t="e">
        <f>IF(C166&gt;0,((E166-E154)/(E154)),0)</f>
        <v>#REF!</v>
      </c>
      <c r="K166" s="109">
        <f>'Liquids Type Curve'!A143</f>
        <v>10.088557465453324</v>
      </c>
      <c r="L166" s="116">
        <f>'Liquids Type Curve'!B143</f>
        <v>121.06268958543988</v>
      </c>
      <c r="M166" s="65">
        <f>'Liquids Type Curve'!C143</f>
        <v>7.7952456050364054</v>
      </c>
      <c r="N166" s="65">
        <f>'Liquids Type Curve'!D143</f>
        <v>237.10538715319066</v>
      </c>
      <c r="O166" s="65">
        <f>'Liquids Type Curve'!E143</f>
        <v>101533.4308150054</v>
      </c>
      <c r="P166" s="250" t="e">
        <f t="shared" si="43"/>
        <v>#REF!</v>
      </c>
      <c r="S166" s="112">
        <f>'Gas Type Curve'!A150</f>
        <v>10.083333333333336</v>
      </c>
      <c r="T166" s="128">
        <f>'Gas Type Curve'!B150</f>
        <v>121.00000000000003</v>
      </c>
      <c r="U166" s="94">
        <f>'Gas Type Curve'!C150</f>
        <v>187.86949762128711</v>
      </c>
      <c r="V166" s="94">
        <f>'Gas Type Curve'!D150</f>
        <v>5714.3638859808161</v>
      </c>
      <c r="W166" s="94">
        <f>'Gas Type Curve'!E150</f>
        <v>1806621.660181961</v>
      </c>
      <c r="X166" s="250" t="e">
        <f t="shared" si="39"/>
        <v>#REF!</v>
      </c>
      <c r="AK166" s="146">
        <f t="shared" si="34"/>
        <v>121</v>
      </c>
      <c r="AL166" s="146" t="e">
        <f t="shared" ref="AL166:AL176" si="45">$B$165</f>
        <v>#REF!</v>
      </c>
      <c r="AM166" s="146">
        <f t="shared" si="35"/>
        <v>2196.5760690333836</v>
      </c>
      <c r="AN166" s="133">
        <f>'Price Deck'!E125*F166+N166*'Price Deck'!T125+(V166*'Price Deck'!K125/$AB$3)</f>
        <v>73355.708151532453</v>
      </c>
      <c r="AO166" s="133">
        <f t="shared" si="36"/>
        <v>33.395478165166878</v>
      </c>
      <c r="AP166" s="133" t="e">
        <f>'Production Costs '!$N$22*(1+'Production Costs '!$P$2)^(AL166)</f>
        <v>#REF!</v>
      </c>
      <c r="AQ166" s="133" t="e">
        <f>'Production Costs '!$N$23*(1+'Production Costs '!$P$2)^AL166</f>
        <v>#REF!</v>
      </c>
      <c r="AR166" s="162">
        <f>-'Oil Royalties'!W131</f>
        <v>-12.980240082967942</v>
      </c>
      <c r="AS166" s="162">
        <f>-'Butane Royalties'!AD131</f>
        <v>-6.0824686766969585</v>
      </c>
      <c r="AT166" s="162">
        <f>-'Propane Royalties'!AD131</f>
        <v>-5.5008068275881135</v>
      </c>
      <c r="AU166" s="162">
        <f>-'Ethane Royalties'!AH131</f>
        <v>-0.36770857199999996</v>
      </c>
      <c r="AV166" s="162">
        <f>-'Natural Gas Royalties'!AB131</f>
        <v>-0.1699602629096551</v>
      </c>
      <c r="AW166" s="133" t="e">
        <f>AN166+AM166*(AP166+AQ166)+(AR166*F166)+(AV166*(V166/$AB$3))+(AS166*'Butane Royalties'!K136)+(AT166*'Propane Royalties'!K136)+(AU166*'Ethane Royalties'!K136)</f>
        <v>#REF!</v>
      </c>
      <c r="AX166" s="133" t="e">
        <f t="shared" si="37"/>
        <v>#REF!</v>
      </c>
      <c r="AY166" s="133">
        <f t="shared" si="30"/>
        <v>4470.5763763073019</v>
      </c>
      <c r="AZ166" s="133">
        <f t="shared" si="31"/>
        <v>173925.21708885988</v>
      </c>
      <c r="BA166" s="133" t="e">
        <f t="shared" si="27"/>
        <v>#REF!</v>
      </c>
      <c r="BB166" s="133" t="e">
        <f t="shared" si="38"/>
        <v>#REF!</v>
      </c>
      <c r="BC166" s="133" t="e">
        <f t="shared" si="28"/>
        <v>#REF!</v>
      </c>
      <c r="BD166" s="133" t="e">
        <f t="shared" si="29"/>
        <v>#REF!</v>
      </c>
      <c r="BE166" s="133" t="e">
        <f t="shared" si="42"/>
        <v>#REF!</v>
      </c>
      <c r="BF166" s="133"/>
    </row>
    <row r="167" spans="2:58">
      <c r="B167" s="111" t="e">
        <f>'[1]Oil Production'!#REF!</f>
        <v>#REF!</v>
      </c>
      <c r="C167" s="66"/>
      <c r="D167" s="127">
        <f>'[1]Oil Production'!A128</f>
        <v>122</v>
      </c>
      <c r="E167" s="66">
        <f>'[1]Oil Production'!B128</f>
        <v>32.996121893299936</v>
      </c>
      <c r="F167" s="66">
        <f>'[1]Oil Production'!C128</f>
        <v>1003.6320409212065</v>
      </c>
      <c r="G167" s="66">
        <f>'[1]Oil Production'!D128</f>
        <v>201520.23882489727</v>
      </c>
      <c r="H167" s="95"/>
      <c r="K167" s="109">
        <f>'Liquids Type Curve'!A144</f>
        <v>10.171890798786658</v>
      </c>
      <c r="L167" s="116">
        <f>'Liquids Type Curve'!B144</f>
        <v>122.0626895854399</v>
      </c>
      <c r="M167" s="65">
        <f>'Liquids Type Curve'!C144</f>
        <v>7.7357038568905256</v>
      </c>
      <c r="N167" s="65">
        <f>'Liquids Type Curve'!D144</f>
        <v>235.29432564708682</v>
      </c>
      <c r="O167" s="65">
        <f>'Liquids Type Curve'!E144</f>
        <v>101768.72514065249</v>
      </c>
      <c r="P167" s="250"/>
      <c r="S167" s="112">
        <f>'Gas Type Curve'!A151</f>
        <v>10.16666666666667</v>
      </c>
      <c r="T167" s="128">
        <f>'Gas Type Curve'!B151</f>
        <v>122.00000000000003</v>
      </c>
      <c r="U167" s="94">
        <f>'Gas Type Curve'!C151</f>
        <v>186.78062447541461</v>
      </c>
      <c r="V167" s="94">
        <f>'Gas Type Curve'!D151</f>
        <v>5681.2439944605276</v>
      </c>
      <c r="W167" s="94">
        <f>'Gas Type Curve'!E151</f>
        <v>1812302.9041764215</v>
      </c>
      <c r="X167" s="250"/>
      <c r="AK167" s="146">
        <f t="shared" si="34"/>
        <v>122</v>
      </c>
      <c r="AL167" s="146" t="e">
        <f t="shared" si="45"/>
        <v>#REF!</v>
      </c>
      <c r="AM167" s="146">
        <f t="shared" si="35"/>
        <v>2185.8003656450478</v>
      </c>
      <c r="AN167" s="133">
        <f>'Price Deck'!E126*F167+N167*'Price Deck'!T126+(V167*'Price Deck'!K126/$AB$3)</f>
        <v>72685.93648408592</v>
      </c>
      <c r="AO167" s="133">
        <f t="shared" si="36"/>
        <v>33.253693990775638</v>
      </c>
      <c r="AP167" s="133" t="e">
        <f>'Production Costs '!$N$22*(1+'Production Costs '!$P$2)^(AL167)</f>
        <v>#REF!</v>
      </c>
      <c r="AQ167" s="133" t="e">
        <f>'Production Costs '!$N$23*(1+'Production Costs '!$P$2)^AL167</f>
        <v>#REF!</v>
      </c>
      <c r="AR167" s="162">
        <f>-'Oil Royalties'!W132</f>
        <v>-12.927419467939796</v>
      </c>
      <c r="AS167" s="162">
        <f>-'Butane Royalties'!AD132</f>
        <v>-6.0748157306074111</v>
      </c>
      <c r="AT167" s="162">
        <f>-'Propane Royalties'!AD132</f>
        <v>-5.4942001849062061</v>
      </c>
      <c r="AU167" s="162">
        <f>-'Ethane Royalties'!AH132</f>
        <v>-0.36770857199999996</v>
      </c>
      <c r="AV167" s="162">
        <f>-'Natural Gas Royalties'!AB132</f>
        <v>-0.15020533049150403</v>
      </c>
      <c r="AW167" s="133" t="e">
        <f>AN167+AM167*(AP167+AQ167)+(AR167*F167)+(AV167*(V167/$AB$3))+(AS167*'Butane Royalties'!K137)+(AT167*'Propane Royalties'!K137)+(AU167*'Ethane Royalties'!K137)</f>
        <v>#REF!</v>
      </c>
      <c r="AX167" s="133" t="e">
        <f t="shared" si="37"/>
        <v>#REF!</v>
      </c>
      <c r="AY167" s="133">
        <f t="shared" si="30"/>
        <v>4358.544288844997</v>
      </c>
      <c r="AZ167" s="133">
        <f t="shared" si="31"/>
        <v>169566.67280001487</v>
      </c>
      <c r="BA167" s="133" t="e">
        <f t="shared" si="27"/>
        <v>#REF!</v>
      </c>
      <c r="BB167" s="133" t="e">
        <f t="shared" si="38"/>
        <v>#REF!</v>
      </c>
      <c r="BC167" s="133" t="e">
        <f t="shared" si="28"/>
        <v>#REF!</v>
      </c>
      <c r="BD167" s="133" t="e">
        <f t="shared" si="29"/>
        <v>#REF!</v>
      </c>
      <c r="BE167" s="133" t="e">
        <f t="shared" si="42"/>
        <v>#REF!</v>
      </c>
      <c r="BF167" s="133"/>
    </row>
    <row r="168" spans="2:58">
      <c r="B168" s="111" t="e">
        <f>'[1]Oil Production'!#REF!</f>
        <v>#REF!</v>
      </c>
      <c r="C168" s="66"/>
      <c r="D168" s="127">
        <f>'[1]Oil Production'!A129</f>
        <v>123</v>
      </c>
      <c r="E168" s="66">
        <f>'[1]Oil Production'!B129</f>
        <v>32.884179927929281</v>
      </c>
      <c r="F168" s="66">
        <f>'[1]Oil Production'!C129</f>
        <v>1000.2271394745156</v>
      </c>
      <c r="G168" s="66">
        <f>'[1]Oil Production'!D129</f>
        <v>202520.46596437178</v>
      </c>
      <c r="H168" s="95"/>
      <c r="K168" s="109">
        <f>'Liquids Type Curve'!A145</f>
        <v>10.255224132119992</v>
      </c>
      <c r="L168" s="116">
        <f>'Liquids Type Curve'!B145</f>
        <v>123.0626895854399</v>
      </c>
      <c r="M168" s="65">
        <f>'Liquids Type Curve'!C145</f>
        <v>7.6770971715868761</v>
      </c>
      <c r="N168" s="65">
        <f>'Liquids Type Curve'!D145</f>
        <v>233.5117056357675</v>
      </c>
      <c r="O168" s="65">
        <f>'Liquids Type Curve'!E145</f>
        <v>102002.23684628826</v>
      </c>
      <c r="P168" s="250"/>
      <c r="S168" s="112">
        <f>'Gas Type Curve'!A152</f>
        <v>10.250000000000004</v>
      </c>
      <c r="T168" s="128">
        <f>'Gas Type Curve'!B152</f>
        <v>123.00000000000004</v>
      </c>
      <c r="U168" s="94">
        <f>'Gas Type Curve'!C152</f>
        <v>185.70687422110572</v>
      </c>
      <c r="V168" s="94">
        <f>'Gas Type Curve'!D152</f>
        <v>5648.5840908919663</v>
      </c>
      <c r="W168" s="94">
        <f>'Gas Type Curve'!E152</f>
        <v>1817951.4882673135</v>
      </c>
      <c r="X168" s="250"/>
      <c r="AK168" s="146">
        <f t="shared" si="34"/>
        <v>123</v>
      </c>
      <c r="AL168" s="146" t="e">
        <f t="shared" si="45"/>
        <v>#REF!</v>
      </c>
      <c r="AM168" s="146">
        <f t="shared" si="35"/>
        <v>2175.1695269256106</v>
      </c>
      <c r="AN168" s="133">
        <f>'Price Deck'!E127*F168+N168*'Price Deck'!T127+(V168*'Price Deck'!K127/$AB$3)</f>
        <v>72368.420822956818</v>
      </c>
      <c r="AO168" s="133">
        <f t="shared" si="36"/>
        <v>33.270243963578558</v>
      </c>
      <c r="AP168" s="133" t="e">
        <f>'Production Costs '!$N$22*(1+'Production Costs '!$P$2)^(AL168)</f>
        <v>#REF!</v>
      </c>
      <c r="AQ168" s="133" t="e">
        <f>'Production Costs '!$N$23*(1+'Production Costs '!$P$2)^AL168</f>
        <v>#REF!</v>
      </c>
      <c r="AR168" s="162">
        <f>-'Oil Royalties'!W133</f>
        <v>-12.875208512287026</v>
      </c>
      <c r="AS168" s="162">
        <f>-'Butane Royalties'!AD133</f>
        <v>-6.0672880601838983</v>
      </c>
      <c r="AT168" s="162">
        <f>-'Propane Royalties'!AD133</f>
        <v>-5.4877016903221065</v>
      </c>
      <c r="AU168" s="162">
        <f>-'Ethane Royalties'!AH133</f>
        <v>-0.36770857199999996</v>
      </c>
      <c r="AV168" s="162">
        <f>-'Natural Gas Royalties'!AB133</f>
        <v>-0.14873208129421817</v>
      </c>
      <c r="AW168" s="133" t="e">
        <f>AN168+AM168*(AP168+AQ168)+(AR168*F168)+(AV168*(V168/$AB$3))+(AS168*'Butane Royalties'!K138)+(AT168*'Propane Royalties'!K138)+(AU168*'Ethane Royalties'!K138)</f>
        <v>#REF!</v>
      </c>
      <c r="AX168" s="133" t="e">
        <f t="shared" si="37"/>
        <v>#REF!</v>
      </c>
      <c r="AY168" s="133">
        <f t="shared" si="30"/>
        <v>4249.3197115479761</v>
      </c>
      <c r="AZ168" s="133">
        <f t="shared" si="31"/>
        <v>165317.35308846689</v>
      </c>
      <c r="BA168" s="133" t="e">
        <f t="shared" si="27"/>
        <v>#REF!</v>
      </c>
      <c r="BB168" s="133" t="e">
        <f t="shared" si="38"/>
        <v>#REF!</v>
      </c>
      <c r="BC168" s="133" t="e">
        <f t="shared" si="28"/>
        <v>#REF!</v>
      </c>
      <c r="BD168" s="133" t="e">
        <f t="shared" si="29"/>
        <v>#REF!</v>
      </c>
      <c r="BE168" s="133" t="e">
        <f t="shared" si="42"/>
        <v>#REF!</v>
      </c>
      <c r="BF168" s="133"/>
    </row>
    <row r="169" spans="2:58">
      <c r="B169" s="111" t="e">
        <f>'[1]Oil Production'!#REF!</f>
        <v>#REF!</v>
      </c>
      <c r="C169" s="66"/>
      <c r="D169" s="127">
        <f>'[1]Oil Production'!A130</f>
        <v>124</v>
      </c>
      <c r="E169" s="66">
        <f>'[1]Oil Production'!B130</f>
        <v>32.773519560413455</v>
      </c>
      <c r="F169" s="66">
        <f>'[1]Oil Production'!C130</f>
        <v>996.861219962576</v>
      </c>
      <c r="G169" s="66">
        <f>'[1]Oil Production'!D130</f>
        <v>203517.32718433434</v>
      </c>
      <c r="H169" s="95"/>
      <c r="K169" s="109">
        <f>'Liquids Type Curve'!A146</f>
        <v>10.338557465453325</v>
      </c>
      <c r="L169" s="116">
        <f>'Liquids Type Curve'!B146</f>
        <v>124.0626895854399</v>
      </c>
      <c r="M169" s="65">
        <f>'Liquids Type Curve'!C146</f>
        <v>7.6194034438939058</v>
      </c>
      <c r="N169" s="65">
        <f>'Liquids Type Curve'!D146</f>
        <v>231.75685475177298</v>
      </c>
      <c r="O169" s="65">
        <f>'Liquids Type Curve'!E146</f>
        <v>102233.99370104003</v>
      </c>
      <c r="P169" s="250"/>
      <c r="S169" s="112">
        <f>'Gas Type Curve'!A153</f>
        <v>10.333333333333337</v>
      </c>
      <c r="T169" s="128">
        <f>'Gas Type Curve'!B153</f>
        <v>124.00000000000006</v>
      </c>
      <c r="U169" s="94">
        <f>'Gas Type Curve'!C153</f>
        <v>184.6479164143671</v>
      </c>
      <c r="V169" s="94">
        <f>'Gas Type Curve'!D153</f>
        <v>5616.3741242703327</v>
      </c>
      <c r="W169" s="94">
        <f>'Gas Type Curve'!E153</f>
        <v>1823567.8623915839</v>
      </c>
      <c r="X169" s="250"/>
      <c r="AK169" s="146">
        <f t="shared" si="34"/>
        <v>124</v>
      </c>
      <c r="AL169" s="146" t="e">
        <f t="shared" si="45"/>
        <v>#REF!</v>
      </c>
      <c r="AM169" s="146">
        <f t="shared" si="35"/>
        <v>2164.6804287594045</v>
      </c>
      <c r="AN169" s="133">
        <f>'Price Deck'!E128*F169+N169*'Price Deck'!T128+(V169*'Price Deck'!K128/$AB$3)</f>
        <v>72120.041545761633</v>
      </c>
      <c r="AO169" s="133">
        <f t="shared" si="36"/>
        <v>33.316715293210372</v>
      </c>
      <c r="AP169" s="133" t="e">
        <f>'Production Costs '!$N$22*(1+'Production Costs '!$P$2)^(AL169)</f>
        <v>#REF!</v>
      </c>
      <c r="AQ169" s="133" t="e">
        <f>'Production Costs '!$N$23*(1+'Production Costs '!$P$2)^AL169</f>
        <v>#REF!</v>
      </c>
      <c r="AR169" s="162">
        <f>-'Oil Royalties'!W134</f>
        <v>-12.823595307875646</v>
      </c>
      <c r="AS169" s="162">
        <f>-'Butane Royalties'!AD134</f>
        <v>-6.0598825794575326</v>
      </c>
      <c r="AT169" s="162">
        <f>-'Propane Royalties'!AD134</f>
        <v>-5.481308679777622</v>
      </c>
      <c r="AU169" s="162">
        <f>-'Ethane Royalties'!AH134</f>
        <v>-0.36770857199999996</v>
      </c>
      <c r="AV169" s="162">
        <f>-'Natural Gas Royalties'!AB134</f>
        <v>-0.15074105747233524</v>
      </c>
      <c r="AW169" s="133" t="e">
        <f>AN169+AM169*(AP169+AQ169)+(AR169*F169)+(AV169*(V169/$AB$3))+(AS169*'Butane Royalties'!K139)+(AT169*'Propane Royalties'!K139)+(AU169*'Ethane Royalties'!K139)</f>
        <v>#REF!</v>
      </c>
      <c r="AX169" s="133" t="e">
        <f t="shared" si="37"/>
        <v>#REF!</v>
      </c>
      <c r="AY169" s="133">
        <f t="shared" si="30"/>
        <v>4142.832288560995</v>
      </c>
      <c r="AZ169" s="133">
        <f t="shared" si="31"/>
        <v>161174.52079990591</v>
      </c>
      <c r="BA169" s="133" t="e">
        <f t="shared" si="27"/>
        <v>#REF!</v>
      </c>
      <c r="BB169" s="133" t="e">
        <f t="shared" si="38"/>
        <v>#REF!</v>
      </c>
      <c r="BC169" s="133" t="e">
        <f t="shared" si="28"/>
        <v>#REF!</v>
      </c>
      <c r="BD169" s="133" t="e">
        <f t="shared" si="29"/>
        <v>#REF!</v>
      </c>
      <c r="BE169" s="133" t="e">
        <f t="shared" si="42"/>
        <v>#REF!</v>
      </c>
      <c r="BF169" s="133"/>
    </row>
    <row r="170" spans="2:58">
      <c r="B170" s="111" t="e">
        <f>'[1]Oil Production'!#REF!</f>
        <v>#REF!</v>
      </c>
      <c r="C170" s="66"/>
      <c r="D170" s="127">
        <f>'[1]Oil Production'!A131</f>
        <v>125</v>
      </c>
      <c r="E170" s="66">
        <f>'[1]Oil Production'!B131</f>
        <v>32.664115958756632</v>
      </c>
      <c r="F170" s="66">
        <f>'[1]Oil Production'!C131</f>
        <v>993.53352707884756</v>
      </c>
      <c r="G170" s="66">
        <f>'[1]Oil Production'!D131</f>
        <v>204510.86071141317</v>
      </c>
      <c r="H170" s="95"/>
      <c r="K170" s="109">
        <f>'Liquids Type Curve'!A147</f>
        <v>10.421890798786659</v>
      </c>
      <c r="L170" s="116">
        <f>'Liquids Type Curve'!B147</f>
        <v>125.06268958543991</v>
      </c>
      <c r="M170" s="65">
        <f>'Liquids Type Curve'!C147</f>
        <v>7.5626012637779692</v>
      </c>
      <c r="N170" s="65">
        <f>'Liquids Type Curve'!D147</f>
        <v>230.02912177324657</v>
      </c>
      <c r="O170" s="65">
        <f>'Liquids Type Curve'!E147</f>
        <v>102464.02282281328</v>
      </c>
      <c r="P170" s="250"/>
      <c r="S170" s="112">
        <f>'Gas Type Curve'!A154</f>
        <v>10.416666666666671</v>
      </c>
      <c r="T170" s="128">
        <f>'Gas Type Curve'!B154</f>
        <v>125.00000000000006</v>
      </c>
      <c r="U170" s="94">
        <f>'Gas Type Curve'!C154</f>
        <v>183.60343042046051</v>
      </c>
      <c r="V170" s="94">
        <f>'Gas Type Curve'!D154</f>
        <v>5584.6043419556745</v>
      </c>
      <c r="W170" s="94">
        <f>'Gas Type Curve'!E154</f>
        <v>1829152.4667335395</v>
      </c>
      <c r="X170" s="250"/>
      <c r="AK170" s="146">
        <f t="shared" si="34"/>
        <v>125</v>
      </c>
      <c r="AL170" s="146" t="e">
        <f t="shared" si="45"/>
        <v>#REF!</v>
      </c>
      <c r="AM170" s="146">
        <f t="shared" si="35"/>
        <v>2154.3300391780399</v>
      </c>
      <c r="AN170" s="133">
        <f>'Price Deck'!E129*F170+N170*'Price Deck'!T129+(V170*'Price Deck'!K129/$AB$3)</f>
        <v>71887.25394958652</v>
      </c>
      <c r="AO170" s="133">
        <f t="shared" si="36"/>
        <v>33.368728394565899</v>
      </c>
      <c r="AP170" s="133" t="e">
        <f>'Production Costs '!$N$22*(1+'Production Costs '!$P$2)^(AL170)</f>
        <v>#REF!</v>
      </c>
      <c r="AQ170" s="133" t="e">
        <f>'Production Costs '!$N$23*(1+'Production Costs '!$P$2)^AL170</f>
        <v>#REF!</v>
      </c>
      <c r="AR170" s="162">
        <f>-'Oil Royalties'!W135</f>
        <v>-12.772568272791492</v>
      </c>
      <c r="AS170" s="162">
        <f>-'Butane Royalties'!AD135</f>
        <v>-6.0525963035544326</v>
      </c>
      <c r="AT170" s="162">
        <f>-'Propane Royalties'!AD135</f>
        <v>-5.475018576487944</v>
      </c>
      <c r="AU170" s="162">
        <f>-'Ethane Royalties'!AH135</f>
        <v>-0.36770857199999996</v>
      </c>
      <c r="AV170" s="162">
        <f>-'Natural Gas Royalties'!AB135</f>
        <v>-0.15341969237649133</v>
      </c>
      <c r="AW170" s="133" t="e">
        <f>AN170+AM170*(AP170+AQ170)+(AR170*F170)+(AV170*(V170/$AB$3))+(AS170*'Butane Royalties'!K140)+(AT170*'Propane Royalties'!K140)+(AU170*'Ethane Royalties'!K140)</f>
        <v>#REF!</v>
      </c>
      <c r="AX170" s="133" t="e">
        <f t="shared" si="37"/>
        <v>#REF!</v>
      </c>
      <c r="AY170" s="133">
        <f t="shared" si="30"/>
        <v>4039.0134271377847</v>
      </c>
      <c r="AZ170" s="133">
        <f t="shared" si="31"/>
        <v>157135.50737276813</v>
      </c>
      <c r="BA170" s="133" t="e">
        <f t="shared" si="27"/>
        <v>#REF!</v>
      </c>
      <c r="BB170" s="133" t="e">
        <f t="shared" si="38"/>
        <v>#REF!</v>
      </c>
      <c r="BC170" s="133" t="e">
        <f t="shared" si="28"/>
        <v>#REF!</v>
      </c>
      <c r="BD170" s="133" t="e">
        <f t="shared" si="29"/>
        <v>#REF!</v>
      </c>
      <c r="BE170" s="133" t="e">
        <f t="shared" si="42"/>
        <v>#REF!</v>
      </c>
      <c r="BF170" s="133"/>
    </row>
    <row r="171" spans="2:58">
      <c r="B171" s="111" t="e">
        <f>'[1]Oil Production'!#REF!</f>
        <v>#REF!</v>
      </c>
      <c r="C171" s="66"/>
      <c r="D171" s="127">
        <f>'[1]Oil Production'!A132</f>
        <v>126</v>
      </c>
      <c r="E171" s="66">
        <f>'[1]Oil Production'!B132</f>
        <v>32.555944965816622</v>
      </c>
      <c r="F171" s="66">
        <f>'[1]Oil Production'!C132</f>
        <v>990.24332604358892</v>
      </c>
      <c r="G171" s="66">
        <f>'[1]Oil Production'!D132</f>
        <v>205501.10403745677</v>
      </c>
      <c r="H171" s="95"/>
      <c r="K171" s="109">
        <f>'Liquids Type Curve'!A148</f>
        <v>10.505224132119993</v>
      </c>
      <c r="L171" s="116">
        <f>'Liquids Type Curve'!B148</f>
        <v>126.06268958543993</v>
      </c>
      <c r="M171" s="65">
        <f>'Liquids Type Curve'!C148</f>
        <v>7.5066698891970427</v>
      </c>
      <c r="N171" s="65">
        <f>'Liquids Type Curve'!D148</f>
        <v>228.32787579641007</v>
      </c>
      <c r="O171" s="65">
        <f>'Liquids Type Curve'!E148</f>
        <v>102692.35069860969</v>
      </c>
      <c r="P171" s="250"/>
      <c r="S171" s="112">
        <f>'Gas Type Curve'!A155</f>
        <v>10.500000000000005</v>
      </c>
      <c r="T171" s="128">
        <f>'Gas Type Curve'!B155</f>
        <v>126.00000000000006</v>
      </c>
      <c r="U171" s="94">
        <f>'Gas Type Curve'!C155</f>
        <v>182.57310504708522</v>
      </c>
      <c r="V171" s="94">
        <f>'Gas Type Curve'!D155</f>
        <v>5553.2652785155087</v>
      </c>
      <c r="W171" s="94">
        <f>'Gas Type Curve'!E155</f>
        <v>1834705.7320120549</v>
      </c>
      <c r="X171" s="250"/>
      <c r="AK171" s="146">
        <f t="shared" si="34"/>
        <v>126</v>
      </c>
      <c r="AL171" s="146" t="e">
        <f t="shared" si="45"/>
        <v>#REF!</v>
      </c>
      <c r="AM171" s="146">
        <f t="shared" si="35"/>
        <v>2144.1154149259173</v>
      </c>
      <c r="AN171" s="133">
        <f>'Price Deck'!E130*F171+N171*'Price Deck'!T130+(V171*'Price Deck'!K130/$AB$3)</f>
        <v>71657.388024824904</v>
      </c>
      <c r="AO171" s="133">
        <f t="shared" si="36"/>
        <v>33.420490112609343</v>
      </c>
      <c r="AP171" s="133" t="e">
        <f>'Production Costs '!$N$22*(1+'Production Costs '!$P$2)^(AL171)</f>
        <v>#REF!</v>
      </c>
      <c r="AQ171" s="133" t="e">
        <f>'Production Costs '!$N$23*(1+'Production Costs '!$P$2)^AL171</f>
        <v>#REF!</v>
      </c>
      <c r="AR171" s="162">
        <f>-'Oil Royalties'!W136</f>
        <v>-12.72211613987953</v>
      </c>
      <c r="AS171" s="162">
        <f>-'Butane Royalties'!AD136</f>
        <v>-6.0454263445759269</v>
      </c>
      <c r="AT171" s="162">
        <f>-'Propane Royalties'!AD136</f>
        <v>-5.4688288873851283</v>
      </c>
      <c r="AU171" s="162">
        <f>-'Ethane Royalties'!AH136</f>
        <v>-0.36770857200000001</v>
      </c>
      <c r="AV171" s="162">
        <f>-'Natural Gas Royalties'!AB136</f>
        <v>-0.1560983272806474</v>
      </c>
      <c r="AW171" s="133" t="e">
        <f>AN171+AM171*(AP171+AQ171)+(AR171*F171)+(AV171*(V171/$AB$3))+(AS171*'Butane Royalties'!K141)+(AT171*'Propane Royalties'!K141)+(AU171*'Ethane Royalties'!K141)</f>
        <v>#REF!</v>
      </c>
      <c r="AX171" s="133" t="e">
        <f t="shared" si="37"/>
        <v>#REF!</v>
      </c>
      <c r="AY171" s="133">
        <f t="shared" si="30"/>
        <v>3937.7962534577578</v>
      </c>
      <c r="AZ171" s="133">
        <f t="shared" si="31"/>
        <v>153197.71111931038</v>
      </c>
      <c r="BA171" s="133" t="e">
        <f t="shared" si="27"/>
        <v>#REF!</v>
      </c>
      <c r="BB171" s="133" t="e">
        <f t="shared" si="38"/>
        <v>#REF!</v>
      </c>
      <c r="BC171" s="133" t="e">
        <f t="shared" si="28"/>
        <v>#REF!</v>
      </c>
      <c r="BD171" s="133" t="e">
        <f t="shared" si="29"/>
        <v>#REF!</v>
      </c>
      <c r="BE171" s="133" t="e">
        <f t="shared" si="42"/>
        <v>#REF!</v>
      </c>
      <c r="BF171" s="133"/>
    </row>
    <row r="172" spans="2:58">
      <c r="B172" s="111" t="e">
        <f>'[1]Oil Production'!#REF!</f>
        <v>#REF!</v>
      </c>
      <c r="C172" s="66"/>
      <c r="D172" s="127">
        <f>'[1]Oil Production'!A133</f>
        <v>127</v>
      </c>
      <c r="E172" s="66">
        <f>'[1]Oil Production'!B133</f>
        <v>32.448983075783019</v>
      </c>
      <c r="F172" s="66">
        <f>'[1]Oil Production'!C133</f>
        <v>986.98990188840025</v>
      </c>
      <c r="G172" s="66">
        <f>'[1]Oil Production'!D133</f>
        <v>206488.09393934516</v>
      </c>
      <c r="H172" s="95"/>
      <c r="K172" s="109">
        <f>'Liquids Type Curve'!A149</f>
        <v>10.588557465453327</v>
      </c>
      <c r="L172" s="116">
        <f>'Liquids Type Curve'!B149</f>
        <v>127.06268958543993</v>
      </c>
      <c r="M172" s="65">
        <f>'Liquids Type Curve'!C149</f>
        <v>7.4515892201648501</v>
      </c>
      <c r="N172" s="65">
        <f>'Liquids Type Curve'!D149</f>
        <v>226.65250544668086</v>
      </c>
      <c r="O172" s="65">
        <f>'Liquids Type Curve'!E149</f>
        <v>102919.00320405637</v>
      </c>
      <c r="P172" s="250"/>
      <c r="S172" s="112">
        <f>'Gas Type Curve'!A156</f>
        <v>10.583333333333339</v>
      </c>
      <c r="T172" s="128">
        <f>'Gas Type Curve'!B156</f>
        <v>127.00000000000007</v>
      </c>
      <c r="U172" s="94">
        <f>'Gas Type Curve'!C156</f>
        <v>181.55663819406055</v>
      </c>
      <c r="V172" s="94">
        <f>'Gas Type Curve'!D156</f>
        <v>5522.3477450693417</v>
      </c>
      <c r="W172" s="94">
        <f>'Gas Type Curve'!E156</f>
        <v>1840228.0797571242</v>
      </c>
      <c r="X172" s="250"/>
      <c r="AK172" s="146">
        <f t="shared" si="34"/>
        <v>127</v>
      </c>
      <c r="AL172" s="146" t="e">
        <f t="shared" si="45"/>
        <v>#REF!</v>
      </c>
      <c r="AM172" s="146">
        <f t="shared" si="35"/>
        <v>2134.0336981799715</v>
      </c>
      <c r="AN172" s="133">
        <f>'Price Deck'!E131*F172+N172*'Price Deck'!T131+(V172*'Price Deck'!K131/$AB$3)</f>
        <v>71399.566842916</v>
      </c>
      <c r="AO172" s="133">
        <f t="shared" si="36"/>
        <v>33.45756297279172</v>
      </c>
      <c r="AP172" s="133" t="e">
        <f>'Production Costs '!$N$22*(1+'Production Costs '!$P$2)^(AL172)</f>
        <v>#REF!</v>
      </c>
      <c r="AQ172" s="133" t="e">
        <f>'Production Costs '!$N$23*(1+'Production Costs '!$P$2)^AL172</f>
        <v>#REF!</v>
      </c>
      <c r="AR172" s="162">
        <f>-'Oil Royalties'!W137</f>
        <v>-12.672227945772974</v>
      </c>
      <c r="AS172" s="162">
        <f>-'Butane Royalties'!AD137</f>
        <v>-6.0383699076790807</v>
      </c>
      <c r="AT172" s="162">
        <f>-'Propane Royalties'!AD137</f>
        <v>-5.4627371997344616</v>
      </c>
      <c r="AU172" s="162">
        <f>-'Ethane Royalties'!AH137</f>
        <v>-0.36770857199999996</v>
      </c>
      <c r="AV172" s="162">
        <f>-'Natural Gas Royalties'!AB137</f>
        <v>-0.15710281536970588</v>
      </c>
      <c r="AW172" s="133" t="e">
        <f>AN172+AM172*(AP172+AQ172)+(AR172*F172)+(AV172*(V172/$AB$3))+(AS172*'Butane Royalties'!K142)+(AT172*'Propane Royalties'!K142)+(AU172*'Ethane Royalties'!K142)</f>
        <v>#REF!</v>
      </c>
      <c r="AX172" s="133" t="e">
        <f t="shared" si="37"/>
        <v>#REF!</v>
      </c>
      <c r="AY172" s="133">
        <f t="shared" si="30"/>
        <v>3839.1155695499442</v>
      </c>
      <c r="AZ172" s="133">
        <f t="shared" si="31"/>
        <v>149358.59554976044</v>
      </c>
      <c r="BA172" s="133" t="e">
        <f t="shared" si="27"/>
        <v>#REF!</v>
      </c>
      <c r="BB172" s="133" t="e">
        <f t="shared" si="38"/>
        <v>#REF!</v>
      </c>
      <c r="BC172" s="133" t="e">
        <f t="shared" si="28"/>
        <v>#REF!</v>
      </c>
      <c r="BD172" s="133" t="e">
        <f t="shared" si="29"/>
        <v>#REF!</v>
      </c>
      <c r="BE172" s="133" t="e">
        <f t="shared" si="42"/>
        <v>#REF!</v>
      </c>
      <c r="BF172" s="133"/>
    </row>
    <row r="173" spans="2:58">
      <c r="B173" s="111" t="e">
        <f>'[1]Oil Production'!#REF!</f>
        <v>#REF!</v>
      </c>
      <c r="C173" s="66"/>
      <c r="D173" s="127">
        <f>'[1]Oil Production'!A134</f>
        <v>128</v>
      </c>
      <c r="E173" s="66">
        <f>'[1]Oil Production'!B134</f>
        <v>32.343207411653061</v>
      </c>
      <c r="F173" s="66">
        <f>'[1]Oil Production'!C134</f>
        <v>983.77255877111395</v>
      </c>
      <c r="G173" s="66">
        <f>'[1]Oil Production'!D134</f>
        <v>207471.86649811626</v>
      </c>
      <c r="H173" s="95"/>
      <c r="K173" s="109">
        <f>'Liquids Type Curve'!A150</f>
        <v>10.671890798786661</v>
      </c>
      <c r="L173" s="116">
        <f>'Liquids Type Curve'!B150</f>
        <v>128.06268958543993</v>
      </c>
      <c r="M173" s="65">
        <f>'Liquids Type Curve'!C150</f>
        <v>7.3973397740167597</v>
      </c>
      <c r="N173" s="65">
        <f>'Liquids Type Curve'!D150</f>
        <v>225.00241812634312</v>
      </c>
      <c r="O173" s="65">
        <f>'Liquids Type Curve'!E150</f>
        <v>103144.00562218271</v>
      </c>
      <c r="P173" s="250"/>
      <c r="S173" s="112">
        <f>'Gas Type Curve'!A157</f>
        <v>10.666666666666673</v>
      </c>
      <c r="T173" s="128">
        <f>'Gas Type Curve'!B157</f>
        <v>128.00000000000009</v>
      </c>
      <c r="U173" s="94">
        <f>'Gas Type Curve'!C157</f>
        <v>180.55373651864394</v>
      </c>
      <c r="V173" s="94">
        <f>'Gas Type Curve'!D157</f>
        <v>5491.8428191087532</v>
      </c>
      <c r="W173" s="94">
        <f>'Gas Type Curve'!E157</f>
        <v>1845719.922576233</v>
      </c>
      <c r="X173" s="250"/>
      <c r="AK173" s="146">
        <f t="shared" si="34"/>
        <v>128</v>
      </c>
      <c r="AL173" s="146" t="e">
        <f t="shared" si="45"/>
        <v>#REF!</v>
      </c>
      <c r="AM173" s="146">
        <f t="shared" si="35"/>
        <v>2124.0821134155826</v>
      </c>
      <c r="AN173" s="133">
        <f>'Price Deck'!E132*F173+N173*'Price Deck'!T132+(V173*'Price Deck'!K132/$AB$3)</f>
        <v>71182.892913390795</v>
      </c>
      <c r="AO173" s="133">
        <f t="shared" si="36"/>
        <v>33.512307487457129</v>
      </c>
      <c r="AP173" s="133" t="e">
        <f>'Production Costs '!$N$22*(1+'Production Costs '!$P$2)^(AL173)</f>
        <v>#REF!</v>
      </c>
      <c r="AQ173" s="133" t="e">
        <f>'Production Costs '!$N$23*(1+'Production Costs '!$P$2)^AL173</f>
        <v>#REF!</v>
      </c>
      <c r="AR173" s="162">
        <f>-'Oil Royalties'!W138</f>
        <v>-12.622893020387799</v>
      </c>
      <c r="AS173" s="162">
        <f>-'Butane Royalties'!AD138</f>
        <v>-6.031424287346181</v>
      </c>
      <c r="AT173" s="162">
        <f>-'Propane Royalties'!AD138</f>
        <v>-5.4567411779140098</v>
      </c>
      <c r="AU173" s="162">
        <f>-'Ethane Royalties'!AH138</f>
        <v>-0.36770857199999996</v>
      </c>
      <c r="AV173" s="162">
        <f>-'Natural Gas Royalties'!AB138</f>
        <v>-0.16018324550948543</v>
      </c>
      <c r="AW173" s="133" t="e">
        <f>AN173+AM173*(AP173+AQ173)+(AR173*F173)+(AV173*(V173/$AB$3))+(AS173*'Butane Royalties'!K143)+(AT173*'Propane Royalties'!K143)+(AU173*'Ethane Royalties'!K143)</f>
        <v>#REF!</v>
      </c>
      <c r="AX173" s="133" t="e">
        <f t="shared" si="37"/>
        <v>#REF!</v>
      </c>
      <c r="AY173" s="133">
        <f t="shared" si="30"/>
        <v>3742.9078112964144</v>
      </c>
      <c r="AZ173" s="133">
        <f t="shared" si="31"/>
        <v>145615.68773846404</v>
      </c>
      <c r="BA173" s="133" t="e">
        <f t="shared" si="27"/>
        <v>#REF!</v>
      </c>
      <c r="BB173" s="133" t="e">
        <f t="shared" si="38"/>
        <v>#REF!</v>
      </c>
      <c r="BC173" s="133" t="e">
        <f t="shared" si="28"/>
        <v>#REF!</v>
      </c>
      <c r="BD173" s="133" t="e">
        <f t="shared" si="29"/>
        <v>#REF!</v>
      </c>
      <c r="BE173" s="133" t="e">
        <f t="shared" si="42"/>
        <v>#REF!</v>
      </c>
      <c r="BF173" s="133"/>
    </row>
    <row r="174" spans="2:58">
      <c r="B174" s="111" t="e">
        <f>'[1]Oil Production'!#REF!</f>
        <v>#REF!</v>
      </c>
      <c r="C174" s="66"/>
      <c r="D174" s="127">
        <f>'[1]Oil Production'!A135</f>
        <v>129</v>
      </c>
      <c r="E174" s="66">
        <f>'[1]Oil Production'!B135</f>
        <v>32.238595703655406</v>
      </c>
      <c r="F174" s="66">
        <f>'[1]Oil Production'!C135</f>
        <v>980.59061931951862</v>
      </c>
      <c r="G174" s="66">
        <f>'[1]Oil Production'!D135</f>
        <v>208452.45711743578</v>
      </c>
      <c r="H174" s="95"/>
      <c r="K174" s="109">
        <f>'Liquids Type Curve'!A151</f>
        <v>10.755224132119995</v>
      </c>
      <c r="L174" s="116">
        <f>'Liquids Type Curve'!B151</f>
        <v>129.06268958543995</v>
      </c>
      <c r="M174" s="65">
        <f>'Liquids Type Curve'!C151</f>
        <v>7.3439026618128231</v>
      </c>
      <c r="N174" s="65">
        <f>'Liquids Type Curve'!D151</f>
        <v>223.37703929680671</v>
      </c>
      <c r="O174" s="65">
        <f>'Liquids Type Curve'!E151</f>
        <v>103367.38266147951</v>
      </c>
      <c r="P174" s="250"/>
      <c r="S174" s="112">
        <f>'Gas Type Curve'!A158</f>
        <v>10.750000000000007</v>
      </c>
      <c r="T174" s="128">
        <f>'Gas Type Curve'!B158</f>
        <v>129.00000000000009</v>
      </c>
      <c r="U174" s="94">
        <f>'Gas Type Curve'!C158</f>
        <v>179.56411511567032</v>
      </c>
      <c r="V174" s="94">
        <f>'Gas Type Curve'!D158</f>
        <v>5461.741834768306</v>
      </c>
      <c r="W174" s="94">
        <f>'Gas Type Curve'!E158</f>
        <v>1851181.6644110014</v>
      </c>
      <c r="X174" s="250"/>
      <c r="AK174" s="146">
        <f t="shared" si="34"/>
        <v>129</v>
      </c>
      <c r="AL174" s="146" t="e">
        <f t="shared" si="45"/>
        <v>#REF!</v>
      </c>
      <c r="AM174" s="146">
        <f t="shared" si="35"/>
        <v>2114.2579644110428</v>
      </c>
      <c r="AN174" s="133">
        <f>'Price Deck'!E133*F174+N174*'Price Deck'!T133+(V174*'Price Deck'!K133/$AB$3)</f>
        <v>71000.582522325494</v>
      </c>
      <c r="AO174" s="133">
        <f t="shared" si="36"/>
        <v>33.581797357496882</v>
      </c>
      <c r="AP174" s="133" t="e">
        <f>'Production Costs '!$N$22*(1+'Production Costs '!$P$2)^(AL174)</f>
        <v>#REF!</v>
      </c>
      <c r="AQ174" s="133" t="e">
        <f>'Production Costs '!$N$23*(1+'Production Costs '!$P$2)^AL174</f>
        <v>#REF!</v>
      </c>
      <c r="AR174" s="162">
        <f>-'Oil Royalties'!W139</f>
        <v>-12.574100976859347</v>
      </c>
      <c r="AS174" s="162">
        <f>-'Butane Royalties'!AD139</f>
        <v>-6.0245868638326474</v>
      </c>
      <c r="AT174" s="162">
        <f>-'Propane Royalties'!AD139</f>
        <v>-5.4508385603481484</v>
      </c>
      <c r="AU174" s="162">
        <f>-'Ethane Royalties'!AH139</f>
        <v>-0.3677085719999999</v>
      </c>
      <c r="AV174" s="162">
        <f>-'Natural Gas Royalties'!AB139</f>
        <v>-0.16500478833696633</v>
      </c>
      <c r="AW174" s="133" t="e">
        <f>AN174+AM174*(AP174+AQ174)+(AR174*F174)+(AV174*(V174/$AB$3))+(AS174*'Butane Royalties'!K144)+(AT174*'Propane Royalties'!K144)+(AU174*'Ethane Royalties'!K144)</f>
        <v>#REF!</v>
      </c>
      <c r="AX174" s="133" t="e">
        <f t="shared" si="37"/>
        <v>#REF!</v>
      </c>
      <c r="AY174" s="133">
        <f t="shared" si="30"/>
        <v>3649.1110074881176</v>
      </c>
      <c r="AZ174" s="133">
        <f t="shared" si="31"/>
        <v>141966.57673097591</v>
      </c>
      <c r="BA174" s="133" t="e">
        <f t="shared" si="27"/>
        <v>#REF!</v>
      </c>
      <c r="BB174" s="133" t="e">
        <f t="shared" si="38"/>
        <v>#REF!</v>
      </c>
      <c r="BC174" s="133" t="e">
        <f t="shared" si="28"/>
        <v>#REF!</v>
      </c>
      <c r="BD174" s="133" t="e">
        <f t="shared" si="29"/>
        <v>#REF!</v>
      </c>
      <c r="BE174" s="133" t="e">
        <f t="shared" si="42"/>
        <v>#REF!</v>
      </c>
      <c r="BF174" s="133"/>
    </row>
    <row r="175" spans="2:58">
      <c r="B175" s="111" t="e">
        <f>'[1]Oil Production'!#REF!</f>
        <v>#REF!</v>
      </c>
      <c r="C175" s="66"/>
      <c r="D175" s="127">
        <f>'[1]Oil Production'!A136</f>
        <v>130</v>
      </c>
      <c r="E175" s="66">
        <f>'[1]Oil Production'!B136</f>
        <v>32.135126268574695</v>
      </c>
      <c r="F175" s="66">
        <f>'[1]Oil Production'!C136</f>
        <v>977.44342400248036</v>
      </c>
      <c r="G175" s="66">
        <f>'[1]Oil Production'!D136</f>
        <v>209429.90054143826</v>
      </c>
      <c r="H175" s="95"/>
      <c r="K175" s="109">
        <f>'Liquids Type Curve'!A152</f>
        <v>10.838557465453329</v>
      </c>
      <c r="L175" s="116">
        <f>'Liquids Type Curve'!B152</f>
        <v>130.06268958543995</v>
      </c>
      <c r="M175" s="65">
        <f>'Liquids Type Curve'!C152</f>
        <v>7.2912595658173158</v>
      </c>
      <c r="N175" s="65">
        <f>'Liquids Type Curve'!D152</f>
        <v>221.77581179361002</v>
      </c>
      <c r="O175" s="65">
        <f>'Liquids Type Curve'!E152</f>
        <v>103589.15847327311</v>
      </c>
      <c r="P175" s="250"/>
      <c r="S175" s="112">
        <f>'Gas Type Curve'!A159</f>
        <v>10.833333333333341</v>
      </c>
      <c r="T175" s="128">
        <f>'Gas Type Curve'!B159</f>
        <v>130.00000000000009</v>
      </c>
      <c r="U175" s="94">
        <f>'Gas Type Curve'!C159</f>
        <v>178.58749721174817</v>
      </c>
      <c r="V175" s="94">
        <f>'Gas Type Curve'!D159</f>
        <v>5432.0363735240071</v>
      </c>
      <c r="W175" s="94">
        <f>'Gas Type Curve'!E159</f>
        <v>1856613.7007845254</v>
      </c>
      <c r="X175" s="250"/>
      <c r="AK175" s="146">
        <f t="shared" si="34"/>
        <v>130</v>
      </c>
      <c r="AL175" s="146" t="e">
        <f t="shared" si="45"/>
        <v>#REF!</v>
      </c>
      <c r="AM175" s="146">
        <f t="shared" si="35"/>
        <v>2104.5586313834247</v>
      </c>
      <c r="AN175" s="133">
        <f>'Price Deck'!E134*F175+N175*'Price Deck'!T134+(V175*'Price Deck'!K134/$AB$3)</f>
        <v>70917.542414938551</v>
      </c>
      <c r="AO175" s="133">
        <f t="shared" si="36"/>
        <v>33.69710938788203</v>
      </c>
      <c r="AP175" s="133" t="e">
        <f>'Production Costs '!$N$22*(1+'Production Costs '!$P$2)^(AL175)</f>
        <v>#REF!</v>
      </c>
      <c r="AQ175" s="133" t="e">
        <f>'Production Costs '!$N$23*(1+'Production Costs '!$P$2)^AL175</f>
        <v>#REF!</v>
      </c>
      <c r="AR175" s="162">
        <f>-'Oil Royalties'!W140</f>
        <v>-12.525841701899077</v>
      </c>
      <c r="AS175" s="162">
        <f>-'Butane Royalties'!AD140</f>
        <v>-6.0178550997835094</v>
      </c>
      <c r="AT175" s="162">
        <f>-'Propane Royalties'!AD140</f>
        <v>-5.4450271565866171</v>
      </c>
      <c r="AU175" s="162">
        <f>-'Ethane Royalties'!AH140</f>
        <v>-0.36770857199999996</v>
      </c>
      <c r="AV175" s="162">
        <f>-'Natural Gas Royalties'!AB140</f>
        <v>-0.17518360097275937</v>
      </c>
      <c r="AW175" s="133" t="e">
        <f>AN175+AM175*(AP175+AQ175)+(AR175*F175)+(AV175*(V175/$AB$3))+(AS175*'Butane Royalties'!K145)+(AT175*'Propane Royalties'!K145)+(AU175*'Ethane Royalties'!K145)</f>
        <v>#REF!</v>
      </c>
      <c r="AX175" s="133" t="e">
        <f t="shared" si="37"/>
        <v>#REF!</v>
      </c>
      <c r="AY175" s="133">
        <f t="shared" si="30"/>
        <v>3557.6647399067874</v>
      </c>
      <c r="AZ175" s="133">
        <f t="shared" si="31"/>
        <v>138408.91199106912</v>
      </c>
      <c r="BA175" s="133" t="e">
        <f t="shared" ref="BA175:BA225" si="46">AW175-AY175</f>
        <v>#REF!</v>
      </c>
      <c r="BB175" s="133" t="e">
        <f t="shared" si="38"/>
        <v>#REF!</v>
      </c>
      <c r="BC175" s="133" t="e">
        <f t="shared" ref="BC175:BC225" si="47">BA175*$AD$3</f>
        <v>#REF!</v>
      </c>
      <c r="BD175" s="133" t="e">
        <f t="shared" ref="BD175:BD225" si="48">BB175-BC175</f>
        <v>#REF!</v>
      </c>
      <c r="BE175" s="133" t="e">
        <f t="shared" si="42"/>
        <v>#REF!</v>
      </c>
      <c r="BF175" s="133"/>
    </row>
    <row r="176" spans="2:58">
      <c r="B176" s="111" t="e">
        <f>'[1]Oil Production'!#REF!</f>
        <v>#REF!</v>
      </c>
      <c r="C176" s="66"/>
      <c r="D176" s="127">
        <f>'[1]Oil Production'!A137</f>
        <v>131</v>
      </c>
      <c r="E176" s="66">
        <f>'[1]Oil Production'!B137</f>
        <v>32.032777989933102</v>
      </c>
      <c r="F176" s="66">
        <f>'[1]Oil Production'!C137</f>
        <v>974.33033052713188</v>
      </c>
      <c r="G176" s="66">
        <f>'[1]Oil Production'!D137</f>
        <v>210404.23087196538</v>
      </c>
      <c r="H176" s="95"/>
      <c r="K176" s="109">
        <f>'Liquids Type Curve'!A153</f>
        <v>10.921890798786663</v>
      </c>
      <c r="L176" s="116">
        <f>'Liquids Type Curve'!B153</f>
        <v>131.06268958543995</v>
      </c>
      <c r="M176" s="65">
        <f>'Liquids Type Curve'!C153</f>
        <v>7.2393927179979238</v>
      </c>
      <c r="N176" s="65">
        <f>'Liquids Type Curve'!D153</f>
        <v>220.19819517243687</v>
      </c>
      <c r="O176" s="65">
        <f>'Liquids Type Curve'!E153</f>
        <v>103809.35666844554</v>
      </c>
      <c r="P176" s="250"/>
      <c r="S176" s="112">
        <f>'Gas Type Curve'!A160</f>
        <v>10.916666666666675</v>
      </c>
      <c r="T176" s="128">
        <f>'Gas Type Curve'!B160</f>
        <v>131.00000000000011</v>
      </c>
      <c r="U176" s="94">
        <f>'Gas Type Curve'!C160</f>
        <v>177.62361387279017</v>
      </c>
      <c r="V176" s="94">
        <f>'Gas Type Curve'!D160</f>
        <v>5402.7182552973682</v>
      </c>
      <c r="W176" s="94">
        <f>'Gas Type Curve'!E160</f>
        <v>1862016.4190398226</v>
      </c>
      <c r="X176" s="250"/>
      <c r="AK176" s="146">
        <f t="shared" si="34"/>
        <v>131</v>
      </c>
      <c r="AL176" s="146" t="e">
        <f t="shared" si="45"/>
        <v>#REF!</v>
      </c>
      <c r="AM176" s="146">
        <f t="shared" si="35"/>
        <v>2094.9815682491299</v>
      </c>
      <c r="AN176" s="133">
        <f>'Price Deck'!E135*F176+N176*'Price Deck'!T135+(V176*'Price Deck'!K135/$AB$3)</f>
        <v>70809.145871299115</v>
      </c>
      <c r="AO176" s="133">
        <f t="shared" si="36"/>
        <v>33.799412340642931</v>
      </c>
      <c r="AP176" s="133" t="e">
        <f>'Production Costs '!$N$22*(1+'Production Costs '!$P$2)^(AL176)</f>
        <v>#REF!</v>
      </c>
      <c r="AQ176" s="133" t="e">
        <f>'Production Costs '!$N$23*(1+'Production Costs '!$P$2)^AL176</f>
        <v>#REF!</v>
      </c>
      <c r="AR176" s="162">
        <f>-'Oil Royalties'!W141</f>
        <v>-12.478105346551022</v>
      </c>
      <c r="AS176" s="162">
        <f>-'Butane Royalties'!AD141</f>
        <v>-6.0112265370090814</v>
      </c>
      <c r="AT176" s="162">
        <f>-'Propane Royalties'!AD141</f>
        <v>-5.4393048445210637</v>
      </c>
      <c r="AU176" s="162">
        <f>-'Ethane Royalties'!AH141</f>
        <v>-0.3677085719999999</v>
      </c>
      <c r="AV176" s="162">
        <f>-'Natural Gas Royalties'!AB141</f>
        <v>-0.18388916441126663</v>
      </c>
      <c r="AW176" s="133" t="e">
        <f>AN176+AM176*(AP176+AQ176)+(AR176*F176)+(AV176*(V176/$AB$3))+(AS176*'Butane Royalties'!K146)+(AT176*'Propane Royalties'!K146)+(AU176*'Ethane Royalties'!K146)</f>
        <v>#REF!</v>
      </c>
      <c r="AX176" s="133" t="e">
        <f t="shared" si="37"/>
        <v>#REF!</v>
      </c>
      <c r="AY176" s="133">
        <f t="shared" ref="AY176:AY225" si="49">AZ175*$AD$3/12</f>
        <v>3468.5101044071885</v>
      </c>
      <c r="AZ176" s="133">
        <f t="shared" si="31"/>
        <v>134940.40188666194</v>
      </c>
      <c r="BA176" s="133" t="e">
        <f t="shared" si="46"/>
        <v>#REF!</v>
      </c>
      <c r="BB176" s="133" t="e">
        <f t="shared" si="38"/>
        <v>#REF!</v>
      </c>
      <c r="BC176" s="133" t="e">
        <f t="shared" si="47"/>
        <v>#REF!</v>
      </c>
      <c r="BD176" s="133" t="e">
        <f t="shared" si="48"/>
        <v>#REF!</v>
      </c>
      <c r="BE176" s="133" t="e">
        <f t="shared" si="42"/>
        <v>#REF!</v>
      </c>
      <c r="BF176" s="133"/>
    </row>
    <row r="177" spans="2:58">
      <c r="B177" s="111" t="e">
        <f>'[1]Oil Production'!#REF!</f>
        <v>#REF!</v>
      </c>
      <c r="C177" s="66"/>
      <c r="D177" s="127">
        <f>'[1]Oil Production'!A138</f>
        <v>132</v>
      </c>
      <c r="E177" s="66">
        <f>'[1]Oil Production'!B138</f>
        <v>31.931530298986754</v>
      </c>
      <c r="F177" s="66">
        <f>'[1]Oil Production'!C138</f>
        <v>971.25071326084719</v>
      </c>
      <c r="G177" s="66">
        <f>'[1]Oil Production'!D138</f>
        <v>211375.48158522623</v>
      </c>
      <c r="H177" s="95"/>
      <c r="K177" s="109">
        <f>'Liquids Type Curve'!A154</f>
        <v>11.005224132119997</v>
      </c>
      <c r="L177" s="116">
        <f>'Liquids Type Curve'!B154</f>
        <v>132.06268958543995</v>
      </c>
      <c r="M177" s="65">
        <f>'Liquids Type Curve'!C154</f>
        <v>7.1882848794908654</v>
      </c>
      <c r="N177" s="65">
        <f>'Liquids Type Curve'!D154</f>
        <v>218.64366508451383</v>
      </c>
      <c r="O177" s="65">
        <f>'Liquids Type Curve'!E154</f>
        <v>104028.00033353006</v>
      </c>
      <c r="P177" s="250"/>
      <c r="S177" s="112">
        <f>'Gas Type Curve'!A161</f>
        <v>11.000000000000009</v>
      </c>
      <c r="T177" s="128">
        <f>'Gas Type Curve'!B161</f>
        <v>132.00000000000011</v>
      </c>
      <c r="U177" s="94">
        <f>'Gas Type Curve'!C161</f>
        <v>176.67220372420249</v>
      </c>
      <c r="V177" s="94">
        <f>'Gas Type Curve'!D161</f>
        <v>5373.7795299444924</v>
      </c>
      <c r="W177" s="94">
        <f>'Gas Type Curve'!E161</f>
        <v>1867390.1985697672</v>
      </c>
      <c r="X177" s="250"/>
      <c r="AK177" s="146">
        <f t="shared" si="34"/>
        <v>132</v>
      </c>
      <c r="AL177" s="146" t="e">
        <f>$B$177</f>
        <v>#REF!</v>
      </c>
      <c r="AM177" s="146">
        <f t="shared" si="35"/>
        <v>2085.5243000027763</v>
      </c>
      <c r="AN177" s="133">
        <f>'Price Deck'!E136*F177+N177*'Price Deck'!T136+(V177*'Price Deck'!K136/$AB$3)</f>
        <v>70504.262753822361</v>
      </c>
      <c r="AO177" s="133">
        <f t="shared" si="36"/>
        <v>33.806493050082658</v>
      </c>
      <c r="AP177" s="133" t="e">
        <f>'Production Costs '!$N$22*(1+'Production Costs '!$P$2)^(AL177)</f>
        <v>#REF!</v>
      </c>
      <c r="AQ177" s="133" t="e">
        <f>'Production Costs '!$N$23*(1+'Production Costs '!$P$2)^AL177</f>
        <v>#REF!</v>
      </c>
      <c r="AR177" s="162">
        <f>-'Oil Royalties'!W142</f>
        <v>-12.430882317328322</v>
      </c>
      <c r="AS177" s="162">
        <f>-'Butane Royalties'!AD142</f>
        <v>-6.0046987934112694</v>
      </c>
      <c r="AT177" s="162">
        <f>-'Propane Royalties'!AD142</f>
        <v>-5.4336695677315463</v>
      </c>
      <c r="AU177" s="162">
        <f>-'Ethane Royalties'!AH142</f>
        <v>-0.36770857200000001</v>
      </c>
      <c r="AV177" s="162">
        <f>-'Natural Gas Royalties'!AB142</f>
        <v>-0.18154535887013007</v>
      </c>
      <c r="AW177" s="133" t="e">
        <f>AN177+AM177*(AP177+AQ177)+(AR177*F177)+(AV177*(V177/$AB$3))+(AS177*'Butane Royalties'!K147)+(AT177*'Propane Royalties'!K147)+(AU177*'Ethane Royalties'!K147)</f>
        <v>#REF!</v>
      </c>
      <c r="AX177" s="133" t="e">
        <f t="shared" si="37"/>
        <v>#REF!</v>
      </c>
      <c r="AY177" s="133">
        <f t="shared" si="49"/>
        <v>3381.5896729746296</v>
      </c>
      <c r="AZ177" s="133">
        <f t="shared" si="31"/>
        <v>131558.81221368731</v>
      </c>
      <c r="BA177" s="133" t="e">
        <f t="shared" si="46"/>
        <v>#REF!</v>
      </c>
      <c r="BB177" s="133" t="e">
        <f t="shared" si="38"/>
        <v>#REF!</v>
      </c>
      <c r="BC177" s="133" t="e">
        <f t="shared" si="47"/>
        <v>#REF!</v>
      </c>
      <c r="BD177" s="133" t="e">
        <f t="shared" si="48"/>
        <v>#REF!</v>
      </c>
      <c r="BE177" s="133" t="e">
        <f t="shared" si="42"/>
        <v>#REF!</v>
      </c>
      <c r="BF177" s="133"/>
    </row>
    <row r="178" spans="2:58">
      <c r="B178" s="111" t="e">
        <f>'[1]Oil Production'!#REF!</f>
        <v>#REF!</v>
      </c>
      <c r="C178" s="66" t="e">
        <f>B177</f>
        <v>#REF!</v>
      </c>
      <c r="D178" s="127">
        <f>'[1]Oil Production'!A139</f>
        <v>133</v>
      </c>
      <c r="E178" s="66">
        <f>'[1]Oil Production'!B139</f>
        <v>31.831363156497865</v>
      </c>
      <c r="F178" s="66">
        <f>'[1]Oil Production'!C139</f>
        <v>968.20396267681008</v>
      </c>
      <c r="G178" s="66">
        <f>'[1]Oil Production'!D139</f>
        <v>212343.68554790303</v>
      </c>
      <c r="H178" s="95" t="e">
        <f>IF(C178&gt;0,((E178-E166)/(E166)),0)</f>
        <v>#REF!</v>
      </c>
      <c r="K178" s="109">
        <f>'Liquids Type Curve'!A155</f>
        <v>11.088557465453331</v>
      </c>
      <c r="L178" s="116">
        <f>'Liquids Type Curve'!B155</f>
        <v>133.06268958543995</v>
      </c>
      <c r="M178" s="65">
        <f>'Liquids Type Curve'!C155</f>
        <v>7.1379193209817853</v>
      </c>
      <c r="N178" s="65">
        <f>'Liquids Type Curve'!D155</f>
        <v>217.11171267986265</v>
      </c>
      <c r="O178" s="65">
        <f>'Liquids Type Curve'!E155</f>
        <v>104245.11204620992</v>
      </c>
      <c r="P178" s="250" t="e">
        <f t="shared" si="43"/>
        <v>#REF!</v>
      </c>
      <c r="S178" s="112">
        <f>'Gas Type Curve'!A162</f>
        <v>11.083333333333343</v>
      </c>
      <c r="T178" s="128">
        <f>'Gas Type Curve'!B162</f>
        <v>133.00000000000011</v>
      </c>
      <c r="U178" s="94">
        <f>'Gas Type Curve'!C162</f>
        <v>175.73301268309115</v>
      </c>
      <c r="V178" s="94">
        <f>'Gas Type Curve'!D162</f>
        <v>5345.2124691106892</v>
      </c>
      <c r="W178" s="94">
        <f>'Gas Type Curve'!E162</f>
        <v>1872735.4110388779</v>
      </c>
      <c r="X178" s="250" t="e">
        <f t="shared" si="39"/>
        <v>#REF!</v>
      </c>
      <c r="AK178" s="146">
        <f t="shared" si="34"/>
        <v>133</v>
      </c>
      <c r="AL178" s="146" t="e">
        <f t="shared" ref="AL178:AL188" si="50">$B$177</f>
        <v>#REF!</v>
      </c>
      <c r="AM178" s="146">
        <f t="shared" si="35"/>
        <v>2076.1844202084544</v>
      </c>
      <c r="AN178" s="133">
        <f>'Price Deck'!E137*F178+N178*'Price Deck'!T137+(V178*'Price Deck'!K137/$AB$3)</f>
        <v>71051.551794032464</v>
      </c>
      <c r="AO178" s="133">
        <f t="shared" si="36"/>
        <v>34.222177520674535</v>
      </c>
      <c r="AP178" s="133" t="e">
        <f>'Production Costs '!$N$22*(1+'Production Costs '!$P$2)^(AL178)</f>
        <v>#REF!</v>
      </c>
      <c r="AQ178" s="133" t="e">
        <f>'Production Costs '!$N$23*(1+'Production Costs '!$P$2)^AL178</f>
        <v>#REF!</v>
      </c>
      <c r="AR178" s="162">
        <f>-'Oil Royalties'!W143</f>
        <v>-12.7605516455809</v>
      </c>
      <c r="AS178" s="162">
        <f>-'Butane Royalties'!AD143</f>
        <v>-5.9982695600522682</v>
      </c>
      <c r="AT178" s="162">
        <f>-'Propane Royalties'!AD143</f>
        <v>-5.4281193329560073</v>
      </c>
      <c r="AU178" s="162">
        <f>-'Ethane Royalties'!AH143</f>
        <v>-0.3677085719999999</v>
      </c>
      <c r="AV178" s="162">
        <f>-'Natural Gas Royalties'!AB143</f>
        <v>-0.17719257715087647</v>
      </c>
      <c r="AW178" s="133" t="e">
        <f>AN178+AM178*(AP178+AQ178)+(AR178*F178)+(AV178*(V178/$AB$3))+(AS178*'Butane Royalties'!K148)+(AT178*'Propane Royalties'!K148)+(AU178*'Ethane Royalties'!K148)</f>
        <v>#REF!</v>
      </c>
      <c r="AX178" s="133" t="e">
        <f t="shared" si="37"/>
        <v>#REF!</v>
      </c>
      <c r="AY178" s="133">
        <f t="shared" si="49"/>
        <v>3296.847456733321</v>
      </c>
      <c r="AZ178" s="133">
        <f t="shared" ref="AZ178:AZ225" si="51">AZ177-AY178</f>
        <v>128261.964756954</v>
      </c>
      <c r="BA178" s="133" t="e">
        <f t="shared" si="46"/>
        <v>#REF!</v>
      </c>
      <c r="BB178" s="133" t="e">
        <f t="shared" si="38"/>
        <v>#REF!</v>
      </c>
      <c r="BC178" s="133" t="e">
        <f t="shared" si="47"/>
        <v>#REF!</v>
      </c>
      <c r="BD178" s="133" t="e">
        <f t="shared" si="48"/>
        <v>#REF!</v>
      </c>
      <c r="BE178" s="133" t="e">
        <f t="shared" si="42"/>
        <v>#REF!</v>
      </c>
      <c r="BF178" s="133"/>
    </row>
    <row r="179" spans="2:58">
      <c r="B179" s="111" t="e">
        <f>'[1]Oil Production'!#REF!</f>
        <v>#REF!</v>
      </c>
      <c r="C179" s="66"/>
      <c r="D179" s="127">
        <f>'[1]Oil Production'!A140</f>
        <v>134</v>
      </c>
      <c r="E179" s="66">
        <f>'[1]Oil Production'!B140</f>
        <v>31.732257035245237</v>
      </c>
      <c r="F179" s="66">
        <f>'[1]Oil Production'!C140</f>
        <v>965.18948482204269</v>
      </c>
      <c r="G179" s="66">
        <f>'[1]Oil Production'!D140</f>
        <v>213308.87503272507</v>
      </c>
      <c r="H179" s="95"/>
      <c r="K179" s="109">
        <f>'Liquids Type Curve'!A156</f>
        <v>11.171890798786665</v>
      </c>
      <c r="L179" s="116">
        <f>'Liquids Type Curve'!B156</f>
        <v>134.06268958543998</v>
      </c>
      <c r="M179" s="65">
        <f>'Liquids Type Curve'!C156</f>
        <v>7.0882798039549755</v>
      </c>
      <c r="N179" s="65">
        <f>'Liquids Type Curve'!D156</f>
        <v>215.60184403696385</v>
      </c>
      <c r="O179" s="65">
        <f>'Liquids Type Curve'!E156</f>
        <v>104460.71389024689</v>
      </c>
      <c r="P179" s="250"/>
      <c r="S179" s="112">
        <f>'Gas Type Curve'!A163</f>
        <v>11.166666666666677</v>
      </c>
      <c r="T179" s="128">
        <f>'Gas Type Curve'!B163</f>
        <v>134.00000000000011</v>
      </c>
      <c r="U179" s="94">
        <f>'Gas Type Curve'!C163</f>
        <v>174.80579370188622</v>
      </c>
      <c r="V179" s="94">
        <f>'Gas Type Curve'!D163</f>
        <v>5317.0095584323726</v>
      </c>
      <c r="W179" s="94">
        <f>'Gas Type Curve'!E163</f>
        <v>1878052.4205973102</v>
      </c>
      <c r="X179" s="250"/>
      <c r="AK179" s="146">
        <f t="shared" si="34"/>
        <v>134</v>
      </c>
      <c r="AL179" s="146" t="e">
        <f t="shared" si="50"/>
        <v>#REF!</v>
      </c>
      <c r="AM179" s="146">
        <f t="shared" si="35"/>
        <v>2066.9595885977355</v>
      </c>
      <c r="AN179" s="133">
        <f>'Price Deck'!E138*F179+N179*'Price Deck'!T138+(V179*'Price Deck'!K138/$AB$3)</f>
        <v>70428.235147868108</v>
      </c>
      <c r="AO179" s="133">
        <f t="shared" si="36"/>
        <v>34.073348862929613</v>
      </c>
      <c r="AP179" s="133" t="e">
        <f>'Production Costs '!$N$22*(1+'Production Costs '!$P$2)^(AL179)</f>
        <v>#REF!</v>
      </c>
      <c r="AQ179" s="133" t="e">
        <f>'Production Costs '!$N$23*(1+'Production Costs '!$P$2)^AL179</f>
        <v>#REF!</v>
      </c>
      <c r="AR179" s="162">
        <f>-'Oil Royalties'!W144</f>
        <v>-12.713634105194927</v>
      </c>
      <c r="AS179" s="162">
        <f>-'Butane Royalties'!AD144</f>
        <v>-5.9919365983580155</v>
      </c>
      <c r="AT179" s="162">
        <f>-'Propane Royalties'!AD144</f>
        <v>-5.4226522076760713</v>
      </c>
      <c r="AU179" s="162">
        <f>-'Ethane Royalties'!AH144</f>
        <v>-0.36770857199999996</v>
      </c>
      <c r="AV179" s="162">
        <f>-'Natural Gas Royalties'!AB144</f>
        <v>-0.15663405426147861</v>
      </c>
      <c r="AW179" s="133" t="e">
        <f>AN179+AM179*(AP179+AQ179)+(AR179*F179)+(AV179*(V179/$AB$3))+(AS179*'Butane Royalties'!K149)+(AT179*'Propane Royalties'!K149)+(AU179*'Ethane Royalties'!K149)</f>
        <v>#REF!</v>
      </c>
      <c r="AX179" s="133" t="e">
        <f t="shared" si="37"/>
        <v>#REF!</v>
      </c>
      <c r="AY179" s="133">
        <f t="shared" si="49"/>
        <v>3214.2288698817279</v>
      </c>
      <c r="AZ179" s="133">
        <f t="shared" si="51"/>
        <v>125047.73588707227</v>
      </c>
      <c r="BA179" s="133" t="e">
        <f t="shared" si="46"/>
        <v>#REF!</v>
      </c>
      <c r="BB179" s="133" t="e">
        <f t="shared" si="38"/>
        <v>#REF!</v>
      </c>
      <c r="BC179" s="133" t="e">
        <f t="shared" si="47"/>
        <v>#REF!</v>
      </c>
      <c r="BD179" s="133" t="e">
        <f t="shared" si="48"/>
        <v>#REF!</v>
      </c>
      <c r="BE179" s="133" t="e">
        <f t="shared" si="42"/>
        <v>#REF!</v>
      </c>
      <c r="BF179" s="133"/>
    </row>
    <row r="180" spans="2:58">
      <c r="B180" s="111" t="e">
        <f>'[1]Oil Production'!#REF!</f>
        <v>#REF!</v>
      </c>
      <c r="C180" s="66"/>
      <c r="D180" s="127">
        <f>'[1]Oil Production'!A141</f>
        <v>135</v>
      </c>
      <c r="E180" s="66">
        <f>'[1]Oil Production'!B141</f>
        <v>31.634192903237867</v>
      </c>
      <c r="F180" s="66">
        <f>'[1]Oil Production'!C141</f>
        <v>962.2067008068185</v>
      </c>
      <c r="G180" s="66">
        <f>'[1]Oil Production'!D141</f>
        <v>214271.0817335319</v>
      </c>
      <c r="H180" s="95"/>
      <c r="K180" s="109">
        <f>'Liquids Type Curve'!A157</f>
        <v>11.255224132119999</v>
      </c>
      <c r="L180" s="116">
        <f>'Liquids Type Curve'!B157</f>
        <v>135.06268958543998</v>
      </c>
      <c r="M180" s="65">
        <f>'Liquids Type Curve'!C157</f>
        <v>7.0393505627663586</v>
      </c>
      <c r="N180" s="65">
        <f>'Liquids Type Curve'!D157</f>
        <v>214.11357961747674</v>
      </c>
      <c r="O180" s="65">
        <f>'Liquids Type Curve'!E157</f>
        <v>104674.82746986437</v>
      </c>
      <c r="P180" s="250"/>
      <c r="S180" s="112">
        <f>'Gas Type Curve'!A164</f>
        <v>11.250000000000011</v>
      </c>
      <c r="T180" s="128">
        <f>'Gas Type Curve'!B164</f>
        <v>135.00000000000011</v>
      </c>
      <c r="U180" s="94">
        <f>'Gas Type Curve'!C164</f>
        <v>173.89030652281272</v>
      </c>
      <c r="V180" s="94">
        <f>'Gas Type Curve'!D164</f>
        <v>5289.1634900688869</v>
      </c>
      <c r="W180" s="94">
        <f>'Gas Type Curve'!E164</f>
        <v>1883341.584087379</v>
      </c>
      <c r="X180" s="250"/>
      <c r="AK180" s="146">
        <f t="shared" si="34"/>
        <v>135</v>
      </c>
      <c r="AL180" s="146" t="e">
        <f t="shared" si="50"/>
        <v>#REF!</v>
      </c>
      <c r="AM180" s="146">
        <f t="shared" si="35"/>
        <v>2057.8475287691099</v>
      </c>
      <c r="AN180" s="133">
        <f>'Price Deck'!E139*F180+N180*'Price Deck'!T139+(V180*'Price Deck'!K139/$AB$3)</f>
        <v>70148.189317845201</v>
      </c>
      <c r="AO180" s="133">
        <f t="shared" si="36"/>
        <v>34.088137404331384</v>
      </c>
      <c r="AP180" s="133" t="e">
        <f>'Production Costs '!$N$22*(1+'Production Costs '!$P$2)^(AL180)</f>
        <v>#REF!</v>
      </c>
      <c r="AQ180" s="133" t="e">
        <f>'Production Costs '!$N$23*(1+'Production Costs '!$P$2)^AL180</f>
        <v>#REF!</v>
      </c>
      <c r="AR180" s="162">
        <f>-'Oil Royalties'!W145</f>
        <v>-12.667209849904541</v>
      </c>
      <c r="AS180" s="162">
        <f>-'Butane Royalties'!AD145</f>
        <v>-5.9856977374492484</v>
      </c>
      <c r="AT180" s="162">
        <f>-'Propane Royalties'!AD145</f>
        <v>-5.4172663178129978</v>
      </c>
      <c r="AU180" s="162">
        <f>-'Ethane Royalties'!AH145</f>
        <v>-0.36770857199999996</v>
      </c>
      <c r="AV180" s="162">
        <f>-'Natural Gas Royalties'!AB145</f>
        <v>-0.15516080506419275</v>
      </c>
      <c r="AW180" s="133" t="e">
        <f>AN180+AM180*(AP180+AQ180)+(AR180*F180)+(AV180*(V180/$AB$3))+(AS180*'Butane Royalties'!K150)+(AT180*'Propane Royalties'!K150)+(AU180*'Ethane Royalties'!K150)</f>
        <v>#REF!</v>
      </c>
      <c r="AX180" s="133" t="e">
        <f t="shared" si="37"/>
        <v>#REF!</v>
      </c>
      <c r="AY180" s="133">
        <f t="shared" si="49"/>
        <v>3133.6806945317076</v>
      </c>
      <c r="AZ180" s="133">
        <f t="shared" si="51"/>
        <v>121914.05519254056</v>
      </c>
      <c r="BA180" s="133" t="e">
        <f t="shared" si="46"/>
        <v>#REF!</v>
      </c>
      <c r="BB180" s="133" t="e">
        <f t="shared" si="38"/>
        <v>#REF!</v>
      </c>
      <c r="BC180" s="133" t="e">
        <f t="shared" si="47"/>
        <v>#REF!</v>
      </c>
      <c r="BD180" s="133" t="e">
        <f t="shared" si="48"/>
        <v>#REF!</v>
      </c>
      <c r="BE180" s="133" t="e">
        <f t="shared" si="42"/>
        <v>#REF!</v>
      </c>
      <c r="BF180" s="133"/>
    </row>
    <row r="181" spans="2:58">
      <c r="B181" s="111" t="e">
        <f>'[1]Oil Production'!#REF!</f>
        <v>#REF!</v>
      </c>
      <c r="C181" s="66"/>
      <c r="D181" s="127">
        <f>'[1]Oil Production'!A142</f>
        <v>136</v>
      </c>
      <c r="E181" s="66">
        <f>'[1]Oil Production'!B142</f>
        <v>31.537152207598815</v>
      </c>
      <c r="F181" s="66">
        <f>'[1]Oil Production'!C142</f>
        <v>959.25504631446404</v>
      </c>
      <c r="G181" s="66">
        <f>'[1]Oil Production'!D142</f>
        <v>215230.33677984637</v>
      </c>
      <c r="H181" s="95"/>
      <c r="K181" s="109">
        <f>'Liquids Type Curve'!A158</f>
        <v>11.338557465453333</v>
      </c>
      <c r="L181" s="116">
        <f>'Liquids Type Curve'!B158</f>
        <v>136.06268958543998</v>
      </c>
      <c r="M181" s="65">
        <f>'Liquids Type Curve'!C158</f>
        <v>6.9911162874982287</v>
      </c>
      <c r="N181" s="65">
        <f>'Liquids Type Curve'!D158</f>
        <v>212.64645374473778</v>
      </c>
      <c r="O181" s="65">
        <f>'Liquids Type Curve'!E158</f>
        <v>104887.4739236091</v>
      </c>
      <c r="P181" s="250"/>
      <c r="S181" s="112">
        <f>'Gas Type Curve'!A165</f>
        <v>11.333333333333345</v>
      </c>
      <c r="T181" s="128">
        <f>'Gas Type Curve'!B165</f>
        <v>136.00000000000014</v>
      </c>
      <c r="U181" s="94">
        <f>'Gas Type Curve'!C165</f>
        <v>172.98631744267672</v>
      </c>
      <c r="V181" s="94">
        <f>'Gas Type Curve'!D165</f>
        <v>5261.6671555480834</v>
      </c>
      <c r="W181" s="94">
        <f>'Gas Type Curve'!E165</f>
        <v>1888603.251242927</v>
      </c>
      <c r="X181" s="250"/>
      <c r="AK181" s="146">
        <f t="shared" si="34"/>
        <v>136</v>
      </c>
      <c r="AL181" s="146" t="e">
        <f t="shared" si="50"/>
        <v>#REF!</v>
      </c>
      <c r="AM181" s="146">
        <f t="shared" si="35"/>
        <v>2048.8460259838826</v>
      </c>
      <c r="AN181" s="133">
        <f>'Price Deck'!E140*F181+N181*'Price Deck'!T140+(V181*'Price Deck'!K140/$AB$3)</f>
        <v>69938.250693135065</v>
      </c>
      <c r="AO181" s="133">
        <f t="shared" si="36"/>
        <v>34.135435169926843</v>
      </c>
      <c r="AP181" s="133" t="e">
        <f>'Production Costs '!$N$22*(1+'Production Costs '!$P$2)^(AL181)</f>
        <v>#REF!</v>
      </c>
      <c r="AQ181" s="133" t="e">
        <f>'Production Costs '!$N$23*(1+'Production Costs '!$P$2)^AL181</f>
        <v>#REF!</v>
      </c>
      <c r="AR181" s="162">
        <f>-'Oil Royalties'!W146</f>
        <v>-12.621270096646288</v>
      </c>
      <c r="AS181" s="162">
        <f>-'Butane Royalties'!AD146</f>
        <v>-5.9795508715933909</v>
      </c>
      <c r="AT181" s="162">
        <f>-'Propane Royalties'!AD146</f>
        <v>-5.411959845527937</v>
      </c>
      <c r="AU181" s="162">
        <f>-'Ethane Royalties'!AH146</f>
        <v>-0.3677085719999999</v>
      </c>
      <c r="AV181" s="162">
        <f>-'Natural Gas Royalties'!AB146</f>
        <v>-0.15750461060532933</v>
      </c>
      <c r="AW181" s="133" t="e">
        <f>AN181+AM181*(AP181+AQ181)+(AR181*F181)+(AV181*(V181/$AB$3))+(AS181*'Butane Royalties'!K151)+(AT181*'Propane Royalties'!K151)+(AU181*'Ethane Royalties'!K151)</f>
        <v>#REF!</v>
      </c>
      <c r="AX181" s="133" t="e">
        <f t="shared" si="37"/>
        <v>#REF!</v>
      </c>
      <c r="AY181" s="133">
        <f t="shared" si="49"/>
        <v>3055.1510464287712</v>
      </c>
      <c r="AZ181" s="133">
        <f t="shared" si="51"/>
        <v>118858.90414611179</v>
      </c>
      <c r="BA181" s="133" t="e">
        <f t="shared" si="46"/>
        <v>#REF!</v>
      </c>
      <c r="BB181" s="133" t="e">
        <f t="shared" si="38"/>
        <v>#REF!</v>
      </c>
      <c r="BC181" s="133" t="e">
        <f t="shared" si="47"/>
        <v>#REF!</v>
      </c>
      <c r="BD181" s="133" t="e">
        <f t="shared" si="48"/>
        <v>#REF!</v>
      </c>
      <c r="BE181" s="133" t="e">
        <f t="shared" si="42"/>
        <v>#REF!</v>
      </c>
      <c r="BF181" s="133"/>
    </row>
    <row r="182" spans="2:58">
      <c r="B182" s="111" t="e">
        <f>'[1]Oil Production'!#REF!</f>
        <v>#REF!</v>
      </c>
      <c r="C182" s="66"/>
      <c r="D182" s="127">
        <f>'[1]Oil Production'!A143</f>
        <v>137</v>
      </c>
      <c r="E182" s="66">
        <f>'[1]Oil Production'!B143</f>
        <v>31.441116859087256</v>
      </c>
      <c r="F182" s="66">
        <f>'[1]Oil Production'!C143</f>
        <v>956.33397113057072</v>
      </c>
      <c r="G182" s="66">
        <f>'[1]Oil Production'!D143</f>
        <v>216186.67075097695</v>
      </c>
      <c r="H182" s="95"/>
      <c r="K182" s="109">
        <f>'Liquids Type Curve'!A159</f>
        <v>11.421890798786666</v>
      </c>
      <c r="L182" s="116">
        <f>'Liquids Type Curve'!B159</f>
        <v>137.06268958544001</v>
      </c>
      <c r="M182" s="65">
        <f>'Liquids Type Curve'!C159</f>
        <v>6.9435621075562608</v>
      </c>
      <c r="N182" s="65">
        <f>'Liquids Type Curve'!D159</f>
        <v>211.20001410483627</v>
      </c>
      <c r="O182" s="65">
        <f>'Liquids Type Curve'!E159</f>
        <v>105098.67393771393</v>
      </c>
      <c r="P182" s="250"/>
      <c r="S182" s="112">
        <f>'Gas Type Curve'!A166</f>
        <v>11.416666666666679</v>
      </c>
      <c r="T182" s="128">
        <f>'Gas Type Curve'!B166</f>
        <v>137.00000000000014</v>
      </c>
      <c r="U182" s="94">
        <f>'Gas Type Curve'!C166</f>
        <v>172.09359908745697</v>
      </c>
      <c r="V182" s="94">
        <f>'Gas Type Curve'!D166</f>
        <v>5234.5136389101499</v>
      </c>
      <c r="W182" s="94">
        <f>'Gas Type Curve'!E166</f>
        <v>1893837.7648818372</v>
      </c>
      <c r="X182" s="250"/>
      <c r="AK182" s="146">
        <f t="shared" si="34"/>
        <v>137</v>
      </c>
      <c r="AL182" s="146" t="e">
        <f t="shared" si="50"/>
        <v>#REF!</v>
      </c>
      <c r="AM182" s="146">
        <f t="shared" si="35"/>
        <v>2039.9529250537653</v>
      </c>
      <c r="AN182" s="133">
        <f>'Price Deck'!E141*F182+N182*'Price Deck'!T141+(V182*'Price Deck'!K141/$AB$3)</f>
        <v>69736.564186393734</v>
      </c>
      <c r="AO182" s="133">
        <f t="shared" si="36"/>
        <v>34.185379147685843</v>
      </c>
      <c r="AP182" s="133" t="e">
        <f>'Production Costs '!$N$22*(1+'Production Costs '!$P$2)^(AL182)</f>
        <v>#REF!</v>
      </c>
      <c r="AQ182" s="133" t="e">
        <f>'Production Costs '!$N$23*(1+'Production Costs '!$P$2)^AL182</f>
        <v>#REF!</v>
      </c>
      <c r="AR182" s="162">
        <f>-'Oil Royalties'!W147</f>
        <v>-12.575806281845313</v>
      </c>
      <c r="AS182" s="162">
        <f>-'Butane Royalties'!AD147</f>
        <v>-5.9734939577709136</v>
      </c>
      <c r="AT182" s="162">
        <f>-'Propane Royalties'!AD147</f>
        <v>-5.4067310271210118</v>
      </c>
      <c r="AU182" s="162">
        <f>-'Ethane Royalties'!AH147</f>
        <v>-0.36770857199999996</v>
      </c>
      <c r="AV182" s="162">
        <f>-'Natural Gas Royalties'!AB147</f>
        <v>-0.16018324550948543</v>
      </c>
      <c r="AW182" s="133" t="e">
        <f>AN182+AM182*(AP182+AQ182)+(AR182*F182)+(AV182*(V182/$AB$3))+(AS182*'Butane Royalties'!K152)+(AT182*'Propane Royalties'!K152)+(AU182*'Ethane Royalties'!K152)</f>
        <v>#REF!</v>
      </c>
      <c r="AX182" s="133" t="e">
        <f t="shared" si="37"/>
        <v>#REF!</v>
      </c>
      <c r="AY182" s="133">
        <f t="shared" si="49"/>
        <v>2978.5893415313863</v>
      </c>
      <c r="AZ182" s="133">
        <f t="shared" si="51"/>
        <v>115880.3148045804</v>
      </c>
      <c r="BA182" s="133" t="e">
        <f t="shared" si="46"/>
        <v>#REF!</v>
      </c>
      <c r="BB182" s="133" t="e">
        <f t="shared" si="38"/>
        <v>#REF!</v>
      </c>
      <c r="BC182" s="133" t="e">
        <f t="shared" si="47"/>
        <v>#REF!</v>
      </c>
      <c r="BD182" s="133" t="e">
        <f t="shared" si="48"/>
        <v>#REF!</v>
      </c>
      <c r="BE182" s="133" t="e">
        <f t="shared" si="42"/>
        <v>#REF!</v>
      </c>
      <c r="BF182" s="133"/>
    </row>
    <row r="183" spans="2:58">
      <c r="B183" s="111" t="e">
        <f>'[1]Oil Production'!#REF!</f>
        <v>#REF!</v>
      </c>
      <c r="C183" s="66"/>
      <c r="D183" s="127">
        <f>'[1]Oil Production'!A144</f>
        <v>138</v>
      </c>
      <c r="E183" s="66">
        <f>'[1]Oil Production'!B144</f>
        <v>31.34606921722952</v>
      </c>
      <c r="F183" s="66">
        <f>'[1]Oil Production'!C144</f>
        <v>953.44293869073124</v>
      </c>
      <c r="G183" s="66">
        <f>'[1]Oil Production'!D144</f>
        <v>217140.11368966769</v>
      </c>
      <c r="H183" s="95"/>
      <c r="K183" s="109">
        <f>'Liquids Type Curve'!A160</f>
        <v>11.50522413212</v>
      </c>
      <c r="L183" s="116">
        <f>'Liquids Type Curve'!B160</f>
        <v>138.06268958544001</v>
      </c>
      <c r="M183" s="65">
        <f>'Liquids Type Curve'!C160</f>
        <v>6.8966735759714357</v>
      </c>
      <c r="N183" s="65">
        <f>'Liquids Type Curve'!D160</f>
        <v>209.77382126913119</v>
      </c>
      <c r="O183" s="65">
        <f>'Liquids Type Curve'!E160</f>
        <v>105308.44775898306</v>
      </c>
      <c r="P183" s="250"/>
      <c r="S183" s="112">
        <f>'Gas Type Curve'!A167</f>
        <v>11.500000000000012</v>
      </c>
      <c r="T183" s="128">
        <f>'Gas Type Curve'!B167</f>
        <v>138.00000000000014</v>
      </c>
      <c r="U183" s="94">
        <f>'Gas Type Curve'!C167</f>
        <v>171.21193019622837</v>
      </c>
      <c r="V183" s="94">
        <f>'Gas Type Curve'!D167</f>
        <v>5207.6962101352792</v>
      </c>
      <c r="W183" s="94">
        <f>'Gas Type Curve'!E167</f>
        <v>1899045.4610919724</v>
      </c>
      <c r="X183" s="250"/>
      <c r="AK183" s="146">
        <f t="shared" si="34"/>
        <v>138</v>
      </c>
      <c r="AL183" s="146" t="e">
        <f t="shared" si="50"/>
        <v>#REF!</v>
      </c>
      <c r="AM183" s="146">
        <f t="shared" si="35"/>
        <v>2031.1661283157423</v>
      </c>
      <c r="AN183" s="133">
        <f>'Price Deck'!E142*F183+N183*'Price Deck'!T142+(V183*'Price Deck'!K142/$AB$3)</f>
        <v>69537.182650200688</v>
      </c>
      <c r="AO183" s="133">
        <f t="shared" si="36"/>
        <v>34.235103510642638</v>
      </c>
      <c r="AP183" s="133" t="e">
        <f>'Production Costs '!$N$22*(1+'Production Costs '!$P$2)^(AL183)</f>
        <v>#REF!</v>
      </c>
      <c r="AQ183" s="133" t="e">
        <f>'Production Costs '!$N$23*(1+'Production Costs '!$P$2)^AL183</f>
        <v>#REF!</v>
      </c>
      <c r="AR183" s="162">
        <f>-'Oil Royalties'!W148</f>
        <v>-12.530810054376326</v>
      </c>
      <c r="AS183" s="162">
        <f>-'Butane Royalties'!AD148</f>
        <v>-5.9675250133502225</v>
      </c>
      <c r="AT183" s="162">
        <f>-'Propane Royalties'!AD148</f>
        <v>-5.4015781510241112</v>
      </c>
      <c r="AU183" s="162">
        <f>-'Ethane Royalties'!AH148</f>
        <v>-0.36770857199999996</v>
      </c>
      <c r="AV183" s="162">
        <f>-'Natural Gas Royalties'!AB148</f>
        <v>-0.1628618804136415</v>
      </c>
      <c r="AW183" s="133" t="e">
        <f>AN183+AM183*(AP183+AQ183)+(AR183*F183)+(AV183*(V183/$AB$3))+(AS183*'Butane Royalties'!K153)+(AT183*'Propane Royalties'!K153)+(AU183*'Ethane Royalties'!K153)</f>
        <v>#REF!</v>
      </c>
      <c r="AX183" s="133" t="e">
        <f t="shared" si="37"/>
        <v>#REF!</v>
      </c>
      <c r="AY183" s="133">
        <f t="shared" si="49"/>
        <v>2903.9462634278043</v>
      </c>
      <c r="AZ183" s="133">
        <f t="shared" si="51"/>
        <v>112976.36854115259</v>
      </c>
      <c r="BA183" s="133" t="e">
        <f t="shared" si="46"/>
        <v>#REF!</v>
      </c>
      <c r="BB183" s="133" t="e">
        <f t="shared" si="38"/>
        <v>#REF!</v>
      </c>
      <c r="BC183" s="133" t="e">
        <f t="shared" si="47"/>
        <v>#REF!</v>
      </c>
      <c r="BD183" s="133" t="e">
        <f t="shared" si="48"/>
        <v>#REF!</v>
      </c>
      <c r="BE183" s="133" t="e">
        <f t="shared" si="42"/>
        <v>#REF!</v>
      </c>
      <c r="BF183" s="133"/>
    </row>
    <row r="184" spans="2:58">
      <c r="B184" s="111" t="e">
        <f>'[1]Oil Production'!#REF!</f>
        <v>#REF!</v>
      </c>
      <c r="C184" s="66"/>
      <c r="D184" s="127">
        <f>'[1]Oil Production'!A145</f>
        <v>139</v>
      </c>
      <c r="E184" s="66">
        <f>'[1]Oil Production'!B145</f>
        <v>31.251992076030781</v>
      </c>
      <c r="F184" s="66">
        <f>'[1]Oil Production'!C145</f>
        <v>950.58142564593629</v>
      </c>
      <c r="G184" s="66">
        <f>'[1]Oil Production'!D145</f>
        <v>218090.69511531363</v>
      </c>
      <c r="H184" s="95"/>
      <c r="K184" s="109">
        <f>'Liquids Type Curve'!A161</f>
        <v>11.588557465453334</v>
      </c>
      <c r="L184" s="116">
        <f>'Liquids Type Curve'!B161</f>
        <v>139.06268958544001</v>
      </c>
      <c r="M184" s="65">
        <f>'Liquids Type Curve'!C161</f>
        <v>6.8504366543718378</v>
      </c>
      <c r="N184" s="65">
        <f>'Liquids Type Curve'!D161</f>
        <v>208.36744823714341</v>
      </c>
      <c r="O184" s="65">
        <f>'Liquids Type Curve'!E161</f>
        <v>105516.81520722021</v>
      </c>
      <c r="P184" s="250"/>
      <c r="S184" s="112">
        <f>'Gas Type Curve'!A168</f>
        <v>11.583333333333346</v>
      </c>
      <c r="T184" s="128">
        <f>'Gas Type Curve'!B168</f>
        <v>139.00000000000017</v>
      </c>
      <c r="U184" s="94">
        <f>'Gas Type Curve'!C168</f>
        <v>170.34109541396532</v>
      </c>
      <c r="V184" s="94">
        <f>'Gas Type Curve'!D168</f>
        <v>5181.2083188414454</v>
      </c>
      <c r="W184" s="94">
        <f>'Gas Type Curve'!E168</f>
        <v>1904226.6694108138</v>
      </c>
      <c r="X184" s="250"/>
      <c r="AK184" s="146">
        <f t="shared" si="34"/>
        <v>139</v>
      </c>
      <c r="AL184" s="146" t="e">
        <f t="shared" si="50"/>
        <v>#REF!</v>
      </c>
      <c r="AM184" s="146">
        <f t="shared" si="35"/>
        <v>2022.4835936899872</v>
      </c>
      <c r="AN184" s="133">
        <f>'Price Deck'!E143*F184+N184*'Price Deck'!T143+(V184*'Price Deck'!K143/$AB$3)</f>
        <v>69311.149619509102</v>
      </c>
      <c r="AO184" s="133">
        <f t="shared" si="36"/>
        <v>34.270314891925565</v>
      </c>
      <c r="AP184" s="133" t="e">
        <f>'Production Costs '!$N$22*(1+'Production Costs '!$P$2)^(AL184)</f>
        <v>#REF!</v>
      </c>
      <c r="AQ184" s="133" t="e">
        <f>'Production Costs '!$N$23*(1+'Production Costs '!$P$2)^AL184</f>
        <v>#REF!</v>
      </c>
      <c r="AR184" s="162">
        <f>-'Oil Royalties'!W149</f>
        <v>-12.486273268799405</v>
      </c>
      <c r="AS184" s="162">
        <f>-'Butane Royalties'!AD149</f>
        <v>-5.9616421138654534</v>
      </c>
      <c r="AT184" s="162">
        <f>-'Propane Royalties'!AD149</f>
        <v>-5.3964995558824924</v>
      </c>
      <c r="AU184" s="162">
        <f>-'Ethane Royalties'!AH149</f>
        <v>-0.36770857200000001</v>
      </c>
      <c r="AV184" s="162">
        <f>-'Natural Gas Royalties'!AB149</f>
        <v>-0.1638663685027</v>
      </c>
      <c r="AW184" s="133" t="e">
        <f>AN184+AM184*(AP184+AQ184)+(AR184*F184)+(AV184*(V184/$AB$3))+(AS184*'Butane Royalties'!K154)+(AT184*'Propane Royalties'!K154)+(AU184*'Ethane Royalties'!K154)</f>
        <v>#REF!</v>
      </c>
      <c r="AX184" s="133" t="e">
        <f t="shared" si="37"/>
        <v>#REF!</v>
      </c>
      <c r="AY184" s="133">
        <f t="shared" si="49"/>
        <v>2831.1737315694168</v>
      </c>
      <c r="AZ184" s="133">
        <f t="shared" si="51"/>
        <v>110145.19480958318</v>
      </c>
      <c r="BA184" s="133" t="e">
        <f t="shared" si="46"/>
        <v>#REF!</v>
      </c>
      <c r="BB184" s="133" t="e">
        <f t="shared" si="38"/>
        <v>#REF!</v>
      </c>
      <c r="BC184" s="133" t="e">
        <f t="shared" si="47"/>
        <v>#REF!</v>
      </c>
      <c r="BD184" s="133" t="e">
        <f t="shared" si="48"/>
        <v>#REF!</v>
      </c>
      <c r="BE184" s="133" t="e">
        <f t="shared" si="42"/>
        <v>#REF!</v>
      </c>
      <c r="BF184" s="133"/>
    </row>
    <row r="185" spans="2:58">
      <c r="B185" s="111" t="e">
        <f>'[1]Oil Production'!#REF!</f>
        <v>#REF!</v>
      </c>
      <c r="C185" s="66"/>
      <c r="D185" s="127">
        <f>'[1]Oil Production'!A146</f>
        <v>140</v>
      </c>
      <c r="E185" s="66">
        <f>'[1]Oil Production'!B146</f>
        <v>31.158868650240521</v>
      </c>
      <c r="F185" s="66">
        <f>'[1]Oil Production'!C146</f>
        <v>947.74892144481589</v>
      </c>
      <c r="G185" s="66">
        <f>'[1]Oil Production'!D146</f>
        <v>219038.44403675845</v>
      </c>
      <c r="H185" s="95"/>
      <c r="K185" s="109">
        <f>'Liquids Type Curve'!A162</f>
        <v>11.671890798786668</v>
      </c>
      <c r="L185" s="116">
        <f>'Liquids Type Curve'!B162</f>
        <v>140.06268958544001</v>
      </c>
      <c r="M185" s="65">
        <f>'Liquids Type Curve'!C162</f>
        <v>6.8048376985909904</v>
      </c>
      <c r="N185" s="65">
        <f>'Liquids Type Curve'!D162</f>
        <v>206.9804799988093</v>
      </c>
      <c r="O185" s="65">
        <f>'Liquids Type Curve'!E162</f>
        <v>105723.79568721901</v>
      </c>
      <c r="P185" s="250"/>
      <c r="S185" s="112">
        <f>'Gas Type Curve'!A169</f>
        <v>11.66666666666668</v>
      </c>
      <c r="T185" s="128">
        <f>'Gas Type Curve'!B169</f>
        <v>140.00000000000017</v>
      </c>
      <c r="U185" s="94">
        <f>'Gas Type Curve'!C169</f>
        <v>169.4808850927983</v>
      </c>
      <c r="V185" s="94">
        <f>'Gas Type Curve'!D169</f>
        <v>5155.0435882392821</v>
      </c>
      <c r="W185" s="94">
        <f>'Gas Type Curve'!E169</f>
        <v>1909381.7129990531</v>
      </c>
      <c r="X185" s="250"/>
      <c r="AK185" s="146">
        <f t="shared" si="34"/>
        <v>140</v>
      </c>
      <c r="AL185" s="146" t="e">
        <f t="shared" si="50"/>
        <v>#REF!</v>
      </c>
      <c r="AM185" s="146">
        <f t="shared" si="35"/>
        <v>2013.9033328168389</v>
      </c>
      <c r="AN185" s="133">
        <f>'Price Deck'!E144*F185+N185*'Price Deck'!T144+(V185*'Price Deck'!K144/$AB$3)</f>
        <v>69123.301014005032</v>
      </c>
      <c r="AO185" s="133">
        <f t="shared" si="36"/>
        <v>34.323048126308294</v>
      </c>
      <c r="AP185" s="133" t="e">
        <f>'Production Costs '!$N$22*(1+'Production Costs '!$P$2)^(AL185)</f>
        <v>#REF!</v>
      </c>
      <c r="AQ185" s="133" t="e">
        <f>'Production Costs '!$N$23*(1+'Production Costs '!$P$2)^AL185</f>
        <v>#REF!</v>
      </c>
      <c r="AR185" s="162">
        <f>-'Oil Royalties'!W150</f>
        <v>-12.44218797885795</v>
      </c>
      <c r="AS185" s="162">
        <f>-'Butane Royalties'!AD150</f>
        <v>-5.9558433908919168</v>
      </c>
      <c r="AT185" s="162">
        <f>-'Propane Royalties'!AD150</f>
        <v>-5.3914936287206841</v>
      </c>
      <c r="AU185" s="162">
        <f>-'Ethane Royalties'!AH150</f>
        <v>-0.36770857200000001</v>
      </c>
      <c r="AV185" s="162">
        <f>-'Natural Gas Royalties'!AB150</f>
        <v>-0.16694679864247949</v>
      </c>
      <c r="AW185" s="133" t="e">
        <f>AN185+AM185*(AP185+AQ185)+(AR185*F185)+(AV185*(V185/$AB$3))+(AS185*'Butane Royalties'!K155)+(AT185*'Propane Royalties'!K155)+(AU185*'Ethane Royalties'!K155)</f>
        <v>#REF!</v>
      </c>
      <c r="AX185" s="133" t="e">
        <f t="shared" si="37"/>
        <v>#REF!</v>
      </c>
      <c r="AY185" s="133">
        <f t="shared" si="49"/>
        <v>2760.2248703001769</v>
      </c>
      <c r="AZ185" s="133">
        <f t="shared" si="51"/>
        <v>107384.96993928299</v>
      </c>
      <c r="BA185" s="133" t="e">
        <f t="shared" si="46"/>
        <v>#REF!</v>
      </c>
      <c r="BB185" s="133" t="e">
        <f t="shared" si="38"/>
        <v>#REF!</v>
      </c>
      <c r="BC185" s="133" t="e">
        <f t="shared" si="47"/>
        <v>#REF!</v>
      </c>
      <c r="BD185" s="133" t="e">
        <f t="shared" si="48"/>
        <v>#REF!</v>
      </c>
      <c r="BE185" s="133" t="e">
        <f t="shared" ref="BE185:BE216" si="52">BD185/(1+$AC$3)^AL185</f>
        <v>#REF!</v>
      </c>
      <c r="BF185" s="133"/>
    </row>
    <row r="186" spans="2:58">
      <c r="B186" s="111" t="e">
        <f>'[1]Oil Production'!#REF!</f>
        <v>#REF!</v>
      </c>
      <c r="C186" s="66"/>
      <c r="D186" s="127">
        <f>'[1]Oil Production'!A147</f>
        <v>141</v>
      </c>
      <c r="E186" s="66">
        <f>'[1]Oil Production'!B147</f>
        <v>31.066682562146806</v>
      </c>
      <c r="F186" s="66">
        <f>'[1]Oil Production'!C147</f>
        <v>944.94492793196537</v>
      </c>
      <c r="G186" s="66">
        <f>'[1]Oil Production'!D147</f>
        <v>219983.38896469041</v>
      </c>
      <c r="H186" s="95"/>
      <c r="K186" s="109">
        <f>'Liquids Type Curve'!A163</f>
        <v>11.755224132120002</v>
      </c>
      <c r="L186" s="116">
        <f>'Liquids Type Curve'!B163</f>
        <v>141.06268958544001</v>
      </c>
      <c r="M186" s="65">
        <f>'Liquids Type Curve'!C163</f>
        <v>6.7598634448816757</v>
      </c>
      <c r="N186" s="65">
        <f>'Liquids Type Curve'!D163</f>
        <v>205.61251311515099</v>
      </c>
      <c r="O186" s="65">
        <f>'Liquids Type Curve'!E163</f>
        <v>105929.40820033416</v>
      </c>
      <c r="P186" s="250"/>
      <c r="S186" s="112">
        <f>'Gas Type Curve'!A170</f>
        <v>11.750000000000014</v>
      </c>
      <c r="T186" s="128">
        <f>'Gas Type Curve'!B170</f>
        <v>141.00000000000017</v>
      </c>
      <c r="U186" s="94">
        <f>'Gas Type Curve'!C170</f>
        <v>168.63109510132253</v>
      </c>
      <c r="V186" s="94">
        <f>'Gas Type Curve'!D170</f>
        <v>5129.1958093318935</v>
      </c>
      <c r="W186" s="94">
        <f>'Gas Type Curve'!E170</f>
        <v>1914510.908808385</v>
      </c>
      <c r="X186" s="250"/>
      <c r="AK186" s="146">
        <f t="shared" ref="AK186:AK249" si="53">D186</f>
        <v>141</v>
      </c>
      <c r="AL186" s="146" t="e">
        <f t="shared" si="50"/>
        <v>#REF!</v>
      </c>
      <c r="AM186" s="146">
        <f t="shared" ref="AM186:AM249" si="54">F186+N186+(V186/$AB$3)</f>
        <v>2005.4234092690986</v>
      </c>
      <c r="AN186" s="133">
        <f>'Price Deck'!E145*F186+N186*'Price Deck'!T145+(V186*'Price Deck'!K145/$AB$3)</f>
        <v>68967.329632703622</v>
      </c>
      <c r="AO186" s="133">
        <f t="shared" ref="AO186:AO249" si="55">AN186/(F186+N186+(V186/$AB$3))</f>
        <v>34.390408187086848</v>
      </c>
      <c r="AP186" s="133" t="e">
        <f>'Production Costs '!$N$22*(1+'Production Costs '!$P$2)^(AL186)</f>
        <v>#REF!</v>
      </c>
      <c r="AQ186" s="133" t="e">
        <f>'Production Costs '!$N$23*(1+'Production Costs '!$P$2)^AL186</f>
        <v>#REF!</v>
      </c>
      <c r="AR186" s="162">
        <f>-'Oil Royalties'!W151</f>
        <v>-12.398546431227032</v>
      </c>
      <c r="AS186" s="162">
        <f>-'Butane Royalties'!AD151</f>
        <v>-5.9501270300141504</v>
      </c>
      <c r="AT186" s="162">
        <f>-'Propane Royalties'!AD151</f>
        <v>-5.3865588031883576</v>
      </c>
      <c r="AU186" s="162">
        <f>-'Ethane Royalties'!AH151</f>
        <v>-0.36770857199999996</v>
      </c>
      <c r="AV186" s="162">
        <f>-'Natural Gas Royalties'!AB151</f>
        <v>-0.17176834146996042</v>
      </c>
      <c r="AW186" s="133" t="e">
        <f>AN186+AM186*(AP186+AQ186)+(AR186*F186)+(AV186*(V186/$AB$3))+(AS186*'Butane Royalties'!K156)+(AT186*'Propane Royalties'!K156)+(AU186*'Ethane Royalties'!K156)</f>
        <v>#REF!</v>
      </c>
      <c r="AX186" s="133" t="e">
        <f t="shared" ref="AX186:AX249" si="56">AW186/AM186</f>
        <v>#REF!</v>
      </c>
      <c r="AY186" s="133">
        <f t="shared" si="49"/>
        <v>2691.0539786621448</v>
      </c>
      <c r="AZ186" s="133">
        <f t="shared" si="51"/>
        <v>104693.91596062086</v>
      </c>
      <c r="BA186" s="133" t="e">
        <f t="shared" si="46"/>
        <v>#REF!</v>
      </c>
      <c r="BB186" s="133" t="e">
        <f t="shared" ref="BB186:BB225" si="57">AW186</f>
        <v>#REF!</v>
      </c>
      <c r="BC186" s="133" t="e">
        <f t="shared" si="47"/>
        <v>#REF!</v>
      </c>
      <c r="BD186" s="133" t="e">
        <f t="shared" si="48"/>
        <v>#REF!</v>
      </c>
      <c r="BE186" s="133" t="e">
        <f t="shared" si="52"/>
        <v>#REF!</v>
      </c>
      <c r="BF186" s="133"/>
    </row>
    <row r="187" spans="2:58">
      <c r="B187" s="111" t="e">
        <f>'[1]Oil Production'!#REF!</f>
        <v>#REF!</v>
      </c>
      <c r="C187" s="66"/>
      <c r="D187" s="127">
        <f>'[1]Oil Production'!A148</f>
        <v>142</v>
      </c>
      <c r="E187" s="66">
        <f>'[1]Oil Production'!B148</f>
        <v>30.975417828875344</v>
      </c>
      <c r="F187" s="66">
        <f>'[1]Oil Production'!C148</f>
        <v>942.16895896162509</v>
      </c>
      <c r="G187" s="66">
        <f>'[1]Oil Production'!D148</f>
        <v>220925.55792365203</v>
      </c>
      <c r="H187" s="95"/>
      <c r="K187" s="109">
        <f>'Liquids Type Curve'!A164</f>
        <v>11.838557465453336</v>
      </c>
      <c r="L187" s="116">
        <f>'Liquids Type Curve'!B164</f>
        <v>142.06268958544004</v>
      </c>
      <c r="M187" s="65">
        <f>'Liquids Type Curve'!C164</f>
        <v>6.7155009967054475</v>
      </c>
      <c r="N187" s="65">
        <f>'Liquids Type Curve'!D164</f>
        <v>204.26315531645736</v>
      </c>
      <c r="O187" s="65">
        <f>'Liquids Type Curve'!E164</f>
        <v>106133.67135565061</v>
      </c>
      <c r="P187" s="250"/>
      <c r="S187" s="112">
        <f>'Gas Type Curve'!A171</f>
        <v>11.833333333333348</v>
      </c>
      <c r="T187" s="128">
        <f>'Gas Type Curve'!B171</f>
        <v>142.00000000000017</v>
      </c>
      <c r="U187" s="94">
        <f>'Gas Type Curve'!C171</f>
        <v>167.79152664157766</v>
      </c>
      <c r="V187" s="94">
        <f>'Gas Type Curve'!D171</f>
        <v>5103.6589353479876</v>
      </c>
      <c r="W187" s="94">
        <f>'Gas Type Curve'!E171</f>
        <v>1919614.5677437331</v>
      </c>
      <c r="X187" s="250"/>
      <c r="AK187" s="146">
        <f t="shared" si="53"/>
        <v>142</v>
      </c>
      <c r="AL187" s="146" t="e">
        <f t="shared" si="50"/>
        <v>#REF!</v>
      </c>
      <c r="AM187" s="146">
        <f t="shared" si="54"/>
        <v>1997.0419368360804</v>
      </c>
      <c r="AN187" s="133">
        <f>'Price Deck'!E146*F187+N187*'Price Deck'!T146+(V187*'Price Deck'!K146/$AB$3)</f>
        <v>68907.689020995953</v>
      </c>
      <c r="AO187" s="133">
        <f t="shared" si="55"/>
        <v>34.504878315257926</v>
      </c>
      <c r="AP187" s="133" t="e">
        <f>'Production Costs '!$N$22*(1+'Production Costs '!$P$2)^(AL187)</f>
        <v>#REF!</v>
      </c>
      <c r="AQ187" s="133" t="e">
        <f>'Production Costs '!$N$23*(1+'Production Costs '!$P$2)^AL187</f>
        <v>#REF!</v>
      </c>
      <c r="AR187" s="162">
        <f>-'Oil Royalties'!W152</f>
        <v>-12.355341059500654</v>
      </c>
      <c r="AS187" s="162">
        <f>-'Butane Royalties'!AD152</f>
        <v>-5.944491268881988</v>
      </c>
      <c r="AT187" s="162">
        <f>-'Propane Royalties'!AD152</f>
        <v>-5.3816935578821532</v>
      </c>
      <c r="AU187" s="162">
        <f>-'Ethane Royalties'!AH152</f>
        <v>-0.36770857199999996</v>
      </c>
      <c r="AV187" s="162">
        <f>-'Natural Gas Royalties'!AB152</f>
        <v>-0.18214805172356521</v>
      </c>
      <c r="AW187" s="133" t="e">
        <f>AN187+AM187*(AP187+AQ187)+(AR187*F187)+(AV187*(V187/$AB$3))+(AS187*'Butane Royalties'!K157)+(AT187*'Propane Royalties'!K157)+(AU187*'Ethane Royalties'!K157)</f>
        <v>#REF!</v>
      </c>
      <c r="AX187" s="133" t="e">
        <f t="shared" si="56"/>
        <v>#REF!</v>
      </c>
      <c r="AY187" s="133">
        <f t="shared" si="49"/>
        <v>2623.6165009576957</v>
      </c>
      <c r="AZ187" s="133">
        <f t="shared" si="51"/>
        <v>102070.29945966316</v>
      </c>
      <c r="BA187" s="133" t="e">
        <f t="shared" si="46"/>
        <v>#REF!</v>
      </c>
      <c r="BB187" s="133" t="e">
        <f t="shared" si="57"/>
        <v>#REF!</v>
      </c>
      <c r="BC187" s="133" t="e">
        <f t="shared" si="47"/>
        <v>#REF!</v>
      </c>
      <c r="BD187" s="133" t="e">
        <f t="shared" si="48"/>
        <v>#REF!</v>
      </c>
      <c r="BE187" s="133" t="e">
        <f t="shared" si="52"/>
        <v>#REF!</v>
      </c>
      <c r="BF187" s="133"/>
    </row>
    <row r="188" spans="2:58">
      <c r="B188" s="111" t="e">
        <f>'[1]Oil Production'!#REF!</f>
        <v>#REF!</v>
      </c>
      <c r="C188" s="66"/>
      <c r="D188" s="127">
        <f>'[1]Oil Production'!A149</f>
        <v>143</v>
      </c>
      <c r="E188" s="66">
        <f>'[1]Oil Production'!B149</f>
        <v>30.885058850170484</v>
      </c>
      <c r="F188" s="66">
        <f>'[1]Oil Production'!C149</f>
        <v>939.4205400260189</v>
      </c>
      <c r="G188" s="66">
        <f>'[1]Oil Production'!D149</f>
        <v>221864.97846367804</v>
      </c>
      <c r="H188" s="95"/>
      <c r="K188" s="109">
        <f>'Liquids Type Curve'!A165</f>
        <v>11.92189079878667</v>
      </c>
      <c r="L188" s="116">
        <f>'Liquids Type Curve'!B165</f>
        <v>143.06268958544004</v>
      </c>
      <c r="M188" s="65">
        <f>'Liquids Type Curve'!C165</f>
        <v>6.6717378120701438</v>
      </c>
      <c r="N188" s="65">
        <f>'Liquids Type Curve'!D165</f>
        <v>202.93202511713355</v>
      </c>
      <c r="O188" s="65">
        <f>'Liquids Type Curve'!E165</f>
        <v>106336.60338076774</v>
      </c>
      <c r="P188" s="250"/>
      <c r="S188" s="112">
        <f>'Gas Type Curve'!A172</f>
        <v>11.916666666666682</v>
      </c>
      <c r="T188" s="128">
        <f>'Gas Type Curve'!B172</f>
        <v>143.00000000000017</v>
      </c>
      <c r="U188" s="94">
        <f>'Gas Type Curve'!C172</f>
        <v>166.96198607333812</v>
      </c>
      <c r="V188" s="94">
        <f>'Gas Type Curve'!D172</f>
        <v>5078.4270763973682</v>
      </c>
      <c r="W188" s="94">
        <f>'Gas Type Curve'!E172</f>
        <v>1924692.9948201305</v>
      </c>
      <c r="X188" s="250"/>
      <c r="AK188" s="146">
        <f t="shared" si="53"/>
        <v>143</v>
      </c>
      <c r="AL188" s="146" t="e">
        <f t="shared" si="50"/>
        <v>#REF!</v>
      </c>
      <c r="AM188" s="146">
        <f t="shared" si="54"/>
        <v>1988.7570778760469</v>
      </c>
      <c r="AN188" s="133">
        <f>'Price Deck'!E147*F188+N188*'Price Deck'!T147+(V188*'Price Deck'!K147/$AB$3)</f>
        <v>68820.5154412501</v>
      </c>
      <c r="AO188" s="133">
        <f t="shared" si="55"/>
        <v>34.604787184339799</v>
      </c>
      <c r="AP188" s="133" t="e">
        <f>'Production Costs '!$N$22*(1+'Production Costs '!$P$2)^(AL188)</f>
        <v>#REF!</v>
      </c>
      <c r="AQ188" s="133" t="e">
        <f>'Production Costs '!$N$23*(1+'Production Costs '!$P$2)^AL188</f>
        <v>#REF!</v>
      </c>
      <c r="AR188" s="162">
        <f>-'Oil Royalties'!W153</f>
        <v>-12.3125644784072</v>
      </c>
      <c r="AS188" s="162">
        <f>-'Butane Royalties'!AD153</f>
        <v>-5.9389343953501008</v>
      </c>
      <c r="AT188" s="162">
        <f>-'Propane Royalties'!AD153</f>
        <v>-5.3768964147396119</v>
      </c>
      <c r="AU188" s="162">
        <f>-'Ethane Royalties'!AH153</f>
        <v>-0.36770857199999996</v>
      </c>
      <c r="AV188" s="162">
        <f>-'Natural Gas Royalties'!AB153</f>
        <v>-0.19085361516207247</v>
      </c>
      <c r="AW188" s="133" t="e">
        <f>AN188+AM188*(AP188+AQ188)+(AR188*F188)+(AV188*(V188/$AB$3))+(AS188*'Butane Royalties'!K158)+(AT188*'Propane Royalties'!K158)+(AU188*'Ethane Royalties'!K158)</f>
        <v>#REF!</v>
      </c>
      <c r="AX188" s="133" t="e">
        <f t="shared" si="56"/>
        <v>#REF!</v>
      </c>
      <c r="AY188" s="133">
        <f t="shared" si="49"/>
        <v>2557.868998049441</v>
      </c>
      <c r="AZ188" s="133">
        <f t="shared" si="51"/>
        <v>99512.430461613723</v>
      </c>
      <c r="BA188" s="133" t="e">
        <f t="shared" si="46"/>
        <v>#REF!</v>
      </c>
      <c r="BB188" s="133" t="e">
        <f t="shared" si="57"/>
        <v>#REF!</v>
      </c>
      <c r="BC188" s="133" t="e">
        <f t="shared" si="47"/>
        <v>#REF!</v>
      </c>
      <c r="BD188" s="133" t="e">
        <f t="shared" si="48"/>
        <v>#REF!</v>
      </c>
      <c r="BE188" s="133" t="e">
        <f t="shared" si="52"/>
        <v>#REF!</v>
      </c>
      <c r="BF188" s="133"/>
    </row>
    <row r="189" spans="2:58">
      <c r="B189" s="111" t="e">
        <f>'[1]Oil Production'!#REF!</f>
        <v>#REF!</v>
      </c>
      <c r="C189" s="66"/>
      <c r="D189" s="127">
        <f>'[1]Oil Production'!A150</f>
        <v>144</v>
      </c>
      <c r="E189" s="66">
        <f>'[1]Oil Production'!B150</f>
        <v>30.795590396636815</v>
      </c>
      <c r="F189" s="66">
        <f>'[1]Oil Production'!C150</f>
        <v>936.6992078977031</v>
      </c>
      <c r="G189" s="66">
        <f>'[1]Oil Production'!D150</f>
        <v>222801.67767157574</v>
      </c>
      <c r="H189" s="95"/>
      <c r="K189" s="109">
        <f>'Liquids Type Curve'!A166</f>
        <v>12.005224132120004</v>
      </c>
      <c r="L189" s="116">
        <f>'Liquids Type Curve'!B166</f>
        <v>144.06268958544004</v>
      </c>
      <c r="M189" s="65">
        <f>'Liquids Type Curve'!C166</f>
        <v>6.6285616913888292</v>
      </c>
      <c r="N189" s="65">
        <f>'Liquids Type Curve'!D166</f>
        <v>201.61875144641024</v>
      </c>
      <c r="O189" s="65">
        <f>'Liquids Type Curve'!E166</f>
        <v>106538.22213221416</v>
      </c>
      <c r="P189" s="250"/>
      <c r="S189" s="112">
        <f>'Gas Type Curve'!A173</f>
        <v>12.000000000000016</v>
      </c>
      <c r="T189" s="128">
        <f>'Gas Type Curve'!B173</f>
        <v>144.0000000000002</v>
      </c>
      <c r="U189" s="94">
        <f>'Gas Type Curve'!C173</f>
        <v>166.14228474537325</v>
      </c>
      <c r="V189" s="94">
        <f>'Gas Type Curve'!D173</f>
        <v>5053.4944943384362</v>
      </c>
      <c r="W189" s="94">
        <f>'Gas Type Curve'!E173</f>
        <v>1929746.489314469</v>
      </c>
      <c r="X189" s="250"/>
      <c r="AK189" s="146">
        <f t="shared" si="53"/>
        <v>144</v>
      </c>
      <c r="AL189" s="146" t="e">
        <f>$B$189</f>
        <v>#REF!</v>
      </c>
      <c r="AM189" s="146">
        <f t="shared" si="54"/>
        <v>1980.5670417338529</v>
      </c>
      <c r="AN189" s="133">
        <f>'Price Deck'!E148*F189+N189*'Price Deck'!T148+(V189*'Price Deck'!K148/$AB$3)</f>
        <v>68548.286248875738</v>
      </c>
      <c r="AO189" s="133">
        <f t="shared" si="55"/>
        <v>34.610434690898593</v>
      </c>
      <c r="AP189" s="133" t="e">
        <f>'Production Costs '!$N$22*(1+'Production Costs '!$P$2)^(AL189)</f>
        <v>#REF!</v>
      </c>
      <c r="AQ189" s="133" t="e">
        <f>'Production Costs '!$N$23*(1+'Production Costs '!$P$2)^AL189</f>
        <v>#REF!</v>
      </c>
      <c r="AR189" s="162">
        <f>-'Oil Royalties'!W154</f>
        <v>-12.270209478242919</v>
      </c>
      <c r="AS189" s="162">
        <f>-'Butane Royalties'!AD154</f>
        <v>-5.9334547456970084</v>
      </c>
      <c r="AT189" s="162">
        <f>-'Propane Royalties'!AD154</f>
        <v>-5.3721659375016406</v>
      </c>
      <c r="AU189" s="162">
        <f>-'Ethane Royalties'!AH154</f>
        <v>-0.36770857199999996</v>
      </c>
      <c r="AV189" s="162">
        <f>-'Natural Gas Royalties'!AB154</f>
        <v>-0.18850980962093591</v>
      </c>
      <c r="AW189" s="133" t="e">
        <f>AN189+AM189*(AP189+AQ189)+(AR189*F189)+(AV189*(V189/$AB$3))+(AS189*'Butane Royalties'!K159)+(AT189*'Propane Royalties'!K159)+(AU189*'Ethane Royalties'!K159)</f>
        <v>#REF!</v>
      </c>
      <c r="AX189" s="133" t="e">
        <f t="shared" si="56"/>
        <v>#REF!</v>
      </c>
      <c r="AY189" s="133">
        <f t="shared" si="49"/>
        <v>2493.7691193793676</v>
      </c>
      <c r="AZ189" s="133">
        <f t="shared" si="51"/>
        <v>97018.661342234351</v>
      </c>
      <c r="BA189" s="133" t="e">
        <f t="shared" si="46"/>
        <v>#REF!</v>
      </c>
      <c r="BB189" s="133" t="e">
        <f t="shared" si="57"/>
        <v>#REF!</v>
      </c>
      <c r="BC189" s="133" t="e">
        <f t="shared" si="47"/>
        <v>#REF!</v>
      </c>
      <c r="BD189" s="133" t="e">
        <f t="shared" si="48"/>
        <v>#REF!</v>
      </c>
      <c r="BE189" s="133" t="e">
        <f t="shared" si="52"/>
        <v>#REF!</v>
      </c>
      <c r="BF189" s="133"/>
    </row>
    <row r="190" spans="2:58">
      <c r="B190" s="111" t="e">
        <f>'[1]Oil Production'!#REF!</f>
        <v>#REF!</v>
      </c>
      <c r="C190" s="66" t="e">
        <f>B189</f>
        <v>#REF!</v>
      </c>
      <c r="D190" s="127">
        <f>'[1]Oil Production'!A151</f>
        <v>145</v>
      </c>
      <c r="E190" s="66">
        <f>'[1]Oil Production'!B151</f>
        <v>30.706997598420919</v>
      </c>
      <c r="F190" s="66">
        <f>'[1]Oil Production'!C151</f>
        <v>934.00451028530301</v>
      </c>
      <c r="G190" s="66">
        <f>'[1]Oil Production'!D151</f>
        <v>223735.68218186105</v>
      </c>
      <c r="H190" s="95" t="e">
        <f>IF(C190&gt;0,((E190-E178)/(E178)),0)</f>
        <v>#REF!</v>
      </c>
      <c r="K190" s="109">
        <f>'Liquids Type Curve'!A167</f>
        <v>12.088557465453338</v>
      </c>
      <c r="L190" s="116">
        <f>'Liquids Type Curve'!B167</f>
        <v>145.06268958544007</v>
      </c>
      <c r="M190" s="65">
        <f>'Liquids Type Curve'!C167</f>
        <v>6.5859607658354369</v>
      </c>
      <c r="N190" s="65">
        <f>'Liquids Type Curve'!D167</f>
        <v>200.32297329416122</v>
      </c>
      <c r="O190" s="65">
        <f>'Liquids Type Curve'!E167</f>
        <v>106738.54510550831</v>
      </c>
      <c r="P190" s="250" t="e">
        <f t="shared" si="43"/>
        <v>#REF!</v>
      </c>
      <c r="S190" s="112">
        <f>'Gas Type Curve'!A174</f>
        <v>12.08333333333335</v>
      </c>
      <c r="T190" s="128">
        <f>'Gas Type Curve'!B174</f>
        <v>145.0000000000002</v>
      </c>
      <c r="U190" s="94">
        <f>'Gas Type Curve'!C174</f>
        <v>165.33223883335452</v>
      </c>
      <c r="V190" s="94">
        <f>'Gas Type Curve'!D174</f>
        <v>5028.8555978478671</v>
      </c>
      <c r="W190" s="94">
        <f>'Gas Type Curve'!E174</f>
        <v>1934775.3449123169</v>
      </c>
      <c r="X190" s="250" t="e">
        <f t="shared" ref="X190:X226" si="58">IF(C190&gt;0,((U190-U166)/U166))</f>
        <v>#REF!</v>
      </c>
      <c r="AK190" s="146">
        <f t="shared" si="53"/>
        <v>145</v>
      </c>
      <c r="AL190" s="146" t="e">
        <f t="shared" ref="AL190:AL200" si="59">$B$189</f>
        <v>#REF!</v>
      </c>
      <c r="AM190" s="146">
        <f t="shared" si="54"/>
        <v>1972.4700832207755</v>
      </c>
      <c r="AN190" s="133">
        <f>'Price Deck'!E149*F190+N190*'Price Deck'!T149+(V190*'Price Deck'!K149/$AB$3)</f>
        <v>69111.258804953526</v>
      </c>
      <c r="AO190" s="133">
        <f t="shared" si="55"/>
        <v>35.037924981911125</v>
      </c>
      <c r="AP190" s="133" t="e">
        <f>'Production Costs '!$N$22*(1+'Production Costs '!$P$2)^(AL190)</f>
        <v>#REF!</v>
      </c>
      <c r="AQ190" s="133" t="e">
        <f>'Production Costs '!$N$23*(1+'Production Costs '!$P$2)^AL190</f>
        <v>#REF!</v>
      </c>
      <c r="AR190" s="162">
        <f>-'Oil Royalties'!W155</f>
        <v>-12.608080652359776</v>
      </c>
      <c r="AS190" s="162">
        <f>-'Butane Royalties'!AD155</f>
        <v>-5.9280507029194753</v>
      </c>
      <c r="AT190" s="162">
        <f>-'Propane Royalties'!AD155</f>
        <v>-5.3675007302401276</v>
      </c>
      <c r="AU190" s="162">
        <f>-'Ethane Royalties'!AH155</f>
        <v>-0.36770857199999996</v>
      </c>
      <c r="AV190" s="162">
        <f>-'Natural Gas Royalties'!AB155</f>
        <v>-0.18415702790168223</v>
      </c>
      <c r="AW190" s="133" t="e">
        <f>AN190+AM190*(AP190+AQ190)+(AR190*F190)+(AV190*(V190/$AB$3))+(AS190*'Butane Royalties'!K160)+(AT190*'Propane Royalties'!K160)+(AU190*'Ethane Royalties'!K160)</f>
        <v>#REF!</v>
      </c>
      <c r="AX190" s="133" t="e">
        <f t="shared" si="56"/>
        <v>#REF!</v>
      </c>
      <c r="AY190" s="133">
        <f t="shared" si="49"/>
        <v>2431.2755756891747</v>
      </c>
      <c r="AZ190" s="133">
        <f t="shared" si="51"/>
        <v>94587.38576654518</v>
      </c>
      <c r="BA190" s="133" t="e">
        <f t="shared" si="46"/>
        <v>#REF!</v>
      </c>
      <c r="BB190" s="133" t="e">
        <f t="shared" si="57"/>
        <v>#REF!</v>
      </c>
      <c r="BC190" s="133" t="e">
        <f t="shared" si="47"/>
        <v>#REF!</v>
      </c>
      <c r="BD190" s="133" t="e">
        <f t="shared" si="48"/>
        <v>#REF!</v>
      </c>
      <c r="BE190" s="133" t="e">
        <f t="shared" si="52"/>
        <v>#REF!</v>
      </c>
      <c r="BF190" s="133"/>
    </row>
    <row r="191" spans="2:58">
      <c r="B191" s="111" t="e">
        <f>'[1]Oil Production'!#REF!</f>
        <v>#REF!</v>
      </c>
      <c r="C191" s="66"/>
      <c r="D191" s="127">
        <f>'[1]Oil Production'!A152</f>
        <v>146</v>
      </c>
      <c r="E191" s="66">
        <f>'[1]Oil Production'!B152</f>
        <v>30.619265934313741</v>
      </c>
      <c r="F191" s="66">
        <f>'[1]Oil Production'!C152</f>
        <v>931.33600550204301</v>
      </c>
      <c r="G191" s="66">
        <f>'[1]Oil Production'!D152</f>
        <v>224667.01818736308</v>
      </c>
      <c r="H191" s="95"/>
      <c r="K191" s="109">
        <f>'Liquids Type Curve'!A168</f>
        <v>12.171890798786672</v>
      </c>
      <c r="L191" s="116">
        <f>'Liquids Type Curve'!B168</f>
        <v>146.06268958544007</v>
      </c>
      <c r="M191" s="65">
        <f>'Liquids Type Curve'!C168</f>
        <v>6.5439234861733562</v>
      </c>
      <c r="N191" s="65">
        <f>'Liquids Type Curve'!D168</f>
        <v>199.04433937110625</v>
      </c>
      <c r="O191" s="65">
        <f>'Liquids Type Curve'!E168</f>
        <v>106937.58944487941</v>
      </c>
      <c r="P191" s="250"/>
      <c r="S191" s="112">
        <f>'Gas Type Curve'!A175</f>
        <v>12.166666666666684</v>
      </c>
      <c r="T191" s="128">
        <f>'Gas Type Curve'!B175</f>
        <v>146.0000000000002</v>
      </c>
      <c r="U191" s="94">
        <f>'Gas Type Curve'!C175</f>
        <v>164.53166918410548</v>
      </c>
      <c r="V191" s="94">
        <f>'Gas Type Curve'!D175</f>
        <v>5004.5049376832085</v>
      </c>
      <c r="W191" s="94">
        <f>'Gas Type Curve'!E175</f>
        <v>1939779.8498500001</v>
      </c>
      <c r="X191" s="250"/>
      <c r="AK191" s="146">
        <f t="shared" si="53"/>
        <v>146</v>
      </c>
      <c r="AL191" s="146" t="e">
        <f t="shared" si="59"/>
        <v>#REF!</v>
      </c>
      <c r="AM191" s="146">
        <f t="shared" si="54"/>
        <v>1964.4645011536841</v>
      </c>
      <c r="AN191" s="133">
        <f>'Price Deck'!E150*F191+N191*'Price Deck'!T150+(V191*'Price Deck'!K150/$AB$3)</f>
        <v>68535.197641120467</v>
      </c>
      <c r="AO191" s="133">
        <f t="shared" si="55"/>
        <v>34.887470657205235</v>
      </c>
      <c r="AP191" s="133" t="e">
        <f>'Production Costs '!$N$22*(1+'Production Costs '!$P$2)^(AL191)</f>
        <v>#REF!</v>
      </c>
      <c r="AQ191" s="133" t="e">
        <f>'Production Costs '!$N$23*(1+'Production Costs '!$P$2)^AL191</f>
        <v>#REF!</v>
      </c>
      <c r="AR191" s="162">
        <f>-'Oil Royalties'!W156</f>
        <v>-12.565924868746414</v>
      </c>
      <c r="AS191" s="162">
        <f>-'Butane Royalties'!AD156</f>
        <v>-5.9227206950986622</v>
      </c>
      <c r="AT191" s="162">
        <f>-'Propane Royalties'!AD156</f>
        <v>-5.3628994359474635</v>
      </c>
      <c r="AU191" s="162">
        <f>-'Ethane Royalties'!AH156</f>
        <v>-0.36770857199999996</v>
      </c>
      <c r="AV191" s="162">
        <f>-'Natural Gas Royalties'!AB156</f>
        <v>-0.1633976073944727</v>
      </c>
      <c r="AW191" s="133" t="e">
        <f>AN191+AM191*(AP191+AQ191)+(AR191*F191)+(AV191*(V191/$AB$3))+(AS191*'Butane Royalties'!K161)+(AT191*'Propane Royalties'!K161)+(AU191*'Ethane Royalties'!K161)</f>
        <v>#REF!</v>
      </c>
      <c r="AX191" s="133" t="e">
        <f t="shared" si="56"/>
        <v>#REF!</v>
      </c>
      <c r="AY191" s="133">
        <f t="shared" si="49"/>
        <v>2370.3481124242339</v>
      </c>
      <c r="AZ191" s="133">
        <f t="shared" si="51"/>
        <v>92217.037654120941</v>
      </c>
      <c r="BA191" s="133" t="e">
        <f t="shared" si="46"/>
        <v>#REF!</v>
      </c>
      <c r="BB191" s="133" t="e">
        <f t="shared" si="57"/>
        <v>#REF!</v>
      </c>
      <c r="BC191" s="133" t="e">
        <f t="shared" si="47"/>
        <v>#REF!</v>
      </c>
      <c r="BD191" s="133" t="e">
        <f t="shared" si="48"/>
        <v>#REF!</v>
      </c>
      <c r="BE191" s="133" t="e">
        <f t="shared" si="52"/>
        <v>#REF!</v>
      </c>
      <c r="BF191" s="133"/>
    </row>
    <row r="192" spans="2:58">
      <c r="B192" s="111" t="e">
        <f>'[1]Oil Production'!#REF!</f>
        <v>#REF!</v>
      </c>
      <c r="C192" s="66"/>
      <c r="D192" s="127">
        <f>'[1]Oil Production'!A153</f>
        <v>147</v>
      </c>
      <c r="E192" s="66">
        <f>'[1]Oil Production'!B153</f>
        <v>30.532381221255406</v>
      </c>
      <c r="F192" s="66">
        <f>'[1]Oil Production'!C153</f>
        <v>928.69326214651869</v>
      </c>
      <c r="G192" s="66">
        <f>'[1]Oil Production'!D153</f>
        <v>225595.7114495096</v>
      </c>
      <c r="H192" s="95"/>
      <c r="K192" s="109">
        <f>'Liquids Type Curve'!A169</f>
        <v>12.255224132120006</v>
      </c>
      <c r="L192" s="116">
        <f>'Liquids Type Curve'!B169</f>
        <v>147.06268958544007</v>
      </c>
      <c r="M192" s="65">
        <f>'Liquids Type Curve'!C169</f>
        <v>6.5024386120348048</v>
      </c>
      <c r="N192" s="65">
        <f>'Liquids Type Curve'!D169</f>
        <v>197.78250778272533</v>
      </c>
      <c r="O192" s="65">
        <f>'Liquids Type Curve'!E169</f>
        <v>107135.37195266214</v>
      </c>
      <c r="P192" s="250"/>
      <c r="S192" s="112">
        <f>'Gas Type Curve'!A176</f>
        <v>12.250000000000018</v>
      </c>
      <c r="T192" s="128">
        <f>'Gas Type Curve'!B176</f>
        <v>147.00000000000023</v>
      </c>
      <c r="U192" s="94">
        <f>'Gas Type Curve'!C176</f>
        <v>163.74040116590234</v>
      </c>
      <c r="V192" s="94">
        <f>'Gas Type Curve'!D176</f>
        <v>4980.4372021295294</v>
      </c>
      <c r="W192" s="94">
        <f>'Gas Type Curve'!E176</f>
        <v>1944760.2870521296</v>
      </c>
      <c r="X192" s="250"/>
      <c r="AK192" s="146">
        <f t="shared" si="53"/>
        <v>147</v>
      </c>
      <c r="AL192" s="146" t="e">
        <f t="shared" si="59"/>
        <v>#REF!</v>
      </c>
      <c r="AM192" s="146">
        <f t="shared" si="54"/>
        <v>1956.5486369508321</v>
      </c>
      <c r="AN192" s="133">
        <f>'Price Deck'!E151*F192+N192*'Price Deck'!T151+(V192*'Price Deck'!K151/$AB$3)</f>
        <v>68285.058585164123</v>
      </c>
      <c r="AO192" s="133">
        <f t="shared" si="55"/>
        <v>34.900772357789393</v>
      </c>
      <c r="AP192" s="133" t="e">
        <f>'Production Costs '!$N$22*(1+'Production Costs '!$P$2)^(AL192)</f>
        <v>#REF!</v>
      </c>
      <c r="AQ192" s="133" t="e">
        <f>'Production Costs '!$N$23*(1+'Production Costs '!$P$2)^AL192</f>
        <v>#REF!</v>
      </c>
      <c r="AR192" s="162">
        <f>-'Oil Royalties'!W157</f>
        <v>-12.524176052053255</v>
      </c>
      <c r="AS192" s="162">
        <f>-'Butane Royalties'!AD157</f>
        <v>-5.9174631938345339</v>
      </c>
      <c r="AT192" s="162">
        <f>-'Propane Royalties'!AD157</f>
        <v>-5.3583607351849958</v>
      </c>
      <c r="AU192" s="162">
        <f>-'Ethane Royalties'!AH157</f>
        <v>-0.36770857200000001</v>
      </c>
      <c r="AV192" s="162">
        <f>-'Natural Gas Royalties'!AB157</f>
        <v>-0.16192435819718684</v>
      </c>
      <c r="AW192" s="133" t="e">
        <f>AN192+AM192*(AP192+AQ192)+(AR192*F192)+(AV192*(V192/$AB$3))+(AS192*'Butane Royalties'!K162)+(AT192*'Propane Royalties'!K162)+(AU192*'Ethane Royalties'!K162)</f>
        <v>#REF!</v>
      </c>
      <c r="AX192" s="133" t="e">
        <f t="shared" si="56"/>
        <v>#REF!</v>
      </c>
      <c r="AY192" s="133">
        <f t="shared" si="49"/>
        <v>2310.9474838040446</v>
      </c>
      <c r="AZ192" s="133">
        <f t="shared" si="51"/>
        <v>89906.090170316893</v>
      </c>
      <c r="BA192" s="133" t="e">
        <f t="shared" si="46"/>
        <v>#REF!</v>
      </c>
      <c r="BB192" s="133" t="e">
        <f t="shared" si="57"/>
        <v>#REF!</v>
      </c>
      <c r="BC192" s="133" t="e">
        <f t="shared" si="47"/>
        <v>#REF!</v>
      </c>
      <c r="BD192" s="133" t="e">
        <f t="shared" si="48"/>
        <v>#REF!</v>
      </c>
      <c r="BE192" s="133" t="e">
        <f t="shared" si="52"/>
        <v>#REF!</v>
      </c>
      <c r="BF192" s="133"/>
    </row>
    <row r="193" spans="2:58">
      <c r="B193" s="111" t="e">
        <f>'[1]Oil Production'!#REF!</f>
        <v>#REF!</v>
      </c>
      <c r="C193" s="66"/>
      <c r="D193" s="127">
        <f>'[1]Oil Production'!A154</f>
        <v>148</v>
      </c>
      <c r="E193" s="66">
        <f>'[1]Oil Production'!B154</f>
        <v>30.446329604224857</v>
      </c>
      <c r="F193" s="66">
        <f>'[1]Oil Production'!C154</f>
        <v>926.07585879517273</v>
      </c>
      <c r="G193" s="66">
        <f>'[1]Oil Production'!D154</f>
        <v>226521.78730830477</v>
      </c>
      <c r="H193" s="95"/>
      <c r="K193" s="109">
        <f>'Liquids Type Curve'!A170</f>
        <v>12.33855746545334</v>
      </c>
      <c r="L193" s="116">
        <f>'Liquids Type Curve'!B170</f>
        <v>148.06268958544007</v>
      </c>
      <c r="M193" s="65">
        <f>'Liquids Type Curve'!C170</f>
        <v>6.4614952016297913</v>
      </c>
      <c r="N193" s="65">
        <f>'Liquids Type Curve'!D170</f>
        <v>196.53714571623948</v>
      </c>
      <c r="O193" s="65">
        <f>'Liquids Type Curve'!E170</f>
        <v>107331.90909837838</v>
      </c>
      <c r="P193" s="250"/>
      <c r="S193" s="112">
        <f>'Gas Type Curve'!A177</f>
        <v>12.333333333333352</v>
      </c>
      <c r="T193" s="128">
        <f>'Gas Type Curve'!B177</f>
        <v>148.00000000000023</v>
      </c>
      <c r="U193" s="94">
        <f>'Gas Type Curve'!C177</f>
        <v>162.95826452455262</v>
      </c>
      <c r="V193" s="94">
        <f>'Gas Type Curve'!D177</f>
        <v>4956.6472126218086</v>
      </c>
      <c r="W193" s="94">
        <f>'Gas Type Curve'!E177</f>
        <v>1949716.9342647514</v>
      </c>
      <c r="X193" s="250"/>
      <c r="AK193" s="146">
        <f t="shared" si="53"/>
        <v>148</v>
      </c>
      <c r="AL193" s="146" t="e">
        <f t="shared" si="59"/>
        <v>#REF!</v>
      </c>
      <c r="AM193" s="146">
        <f t="shared" si="54"/>
        <v>1948.7208732817139</v>
      </c>
      <c r="AN193" s="133">
        <f>'Price Deck'!E152*F193+N193*'Price Deck'!T152+(V193*'Price Deck'!K152/$AB$3)</f>
        <v>68100.570668361077</v>
      </c>
      <c r="AO193" s="133">
        <f t="shared" si="55"/>
        <v>34.946293028450675</v>
      </c>
      <c r="AP193" s="133" t="e">
        <f>'Production Costs '!$N$22*(1+'Production Costs '!$P$2)^(AL193)</f>
        <v>#REF!</v>
      </c>
      <c r="AQ193" s="133" t="e">
        <f>'Production Costs '!$N$23*(1+'Production Costs '!$P$2)^AL193</f>
        <v>#REF!</v>
      </c>
      <c r="AR193" s="162">
        <f>-'Oil Royalties'!W158</f>
        <v>-12.482827544829131</v>
      </c>
      <c r="AS193" s="162">
        <f>-'Butane Royalties'!AD158</f>
        <v>-5.9122767127452089</v>
      </c>
      <c r="AT193" s="162">
        <f>-'Propane Royalties'!AD158</f>
        <v>-5.3538833447875316</v>
      </c>
      <c r="AU193" s="162">
        <f>-'Ethane Royalties'!AH158</f>
        <v>-0.36770857199999996</v>
      </c>
      <c r="AV193" s="162">
        <f>-'Natural Gas Royalties'!AB158</f>
        <v>-0.16426816373832342</v>
      </c>
      <c r="AW193" s="133" t="e">
        <f>AN193+AM193*(AP193+AQ193)+(AR193*F193)+(AV193*(V193/$AB$3))+(AS193*'Butane Royalties'!K163)+(AT193*'Propane Royalties'!K163)+(AU193*'Ethane Royalties'!K163)</f>
        <v>#REF!</v>
      </c>
      <c r="AX193" s="133" t="e">
        <f t="shared" si="56"/>
        <v>#REF!</v>
      </c>
      <c r="AY193" s="133">
        <f t="shared" si="49"/>
        <v>2253.0354275424802</v>
      </c>
      <c r="AZ193" s="133">
        <f t="shared" si="51"/>
        <v>87653.054742774417</v>
      </c>
      <c r="BA193" s="133" t="e">
        <f t="shared" si="46"/>
        <v>#REF!</v>
      </c>
      <c r="BB193" s="133" t="e">
        <f t="shared" si="57"/>
        <v>#REF!</v>
      </c>
      <c r="BC193" s="133" t="e">
        <f t="shared" si="47"/>
        <v>#REF!</v>
      </c>
      <c r="BD193" s="133" t="e">
        <f t="shared" si="48"/>
        <v>#REF!</v>
      </c>
      <c r="BE193" s="133" t="e">
        <f t="shared" si="52"/>
        <v>#REF!</v>
      </c>
      <c r="BF193" s="133"/>
    </row>
    <row r="194" spans="2:58">
      <c r="B194" s="111" t="e">
        <f>'[1]Oil Production'!#REF!</f>
        <v>#REF!</v>
      </c>
      <c r="C194" s="66"/>
      <c r="D194" s="127">
        <f>'[1]Oil Production'!A155</f>
        <v>149</v>
      </c>
      <c r="E194" s="66">
        <f>'[1]Oil Production'!B155</f>
        <v>30.361097546497671</v>
      </c>
      <c r="F194" s="66">
        <f>'[1]Oil Production'!C155</f>
        <v>923.48338370597082</v>
      </c>
      <c r="G194" s="66">
        <f>'[1]Oil Production'!D155</f>
        <v>227445.27069201076</v>
      </c>
      <c r="H194" s="95"/>
      <c r="K194" s="109">
        <f>'Liquids Type Curve'!A171</f>
        <v>12.421890798786674</v>
      </c>
      <c r="L194" s="116">
        <f>'Liquids Type Curve'!B171</f>
        <v>149.06268958544007</v>
      </c>
      <c r="M194" s="65">
        <f>'Liquids Type Curve'!C171</f>
        <v>6.4210826018647218</v>
      </c>
      <c r="N194" s="65">
        <f>'Liquids Type Curve'!D171</f>
        <v>195.30792914005195</v>
      </c>
      <c r="O194" s="65">
        <f>'Liquids Type Curve'!E171</f>
        <v>107527.21702751843</v>
      </c>
      <c r="P194" s="250"/>
      <c r="S194" s="112">
        <f>'Gas Type Curve'!A178</f>
        <v>12.416666666666686</v>
      </c>
      <c r="T194" s="128">
        <f>'Gas Type Curve'!B178</f>
        <v>149.00000000000023</v>
      </c>
      <c r="U194" s="94">
        <f>'Gas Type Curve'!C178</f>
        <v>162.18509324499169</v>
      </c>
      <c r="V194" s="94">
        <f>'Gas Type Curve'!D178</f>
        <v>4933.1299195351639</v>
      </c>
      <c r="W194" s="94">
        <f>'Gas Type Curve'!E178</f>
        <v>1954650.0641842866</v>
      </c>
      <c r="X194" s="250"/>
      <c r="AK194" s="146">
        <f t="shared" si="53"/>
        <v>149</v>
      </c>
      <c r="AL194" s="146" t="e">
        <f t="shared" si="59"/>
        <v>#REF!</v>
      </c>
      <c r="AM194" s="146">
        <f t="shared" si="54"/>
        <v>1940.9796327685499</v>
      </c>
      <c r="AN194" s="133">
        <f>'Price Deck'!E153*F194+N194*'Price Deck'!T153+(V194*'Price Deck'!K153/$AB$3)</f>
        <v>67923.530712413281</v>
      </c>
      <c r="AO194" s="133">
        <f t="shared" si="55"/>
        <v>34.994458244535714</v>
      </c>
      <c r="AP194" s="133" t="e">
        <f>'Production Costs '!$N$22*(1+'Production Costs '!$P$2)^(AL194)</f>
        <v>#REF!</v>
      </c>
      <c r="AQ194" s="133" t="e">
        <f>'Production Costs '!$N$23*(1+'Production Costs '!$P$2)^AL194</f>
        <v>#REF!</v>
      </c>
      <c r="AR194" s="162">
        <f>-'Oil Royalties'!W159</f>
        <v>-12.441872842567021</v>
      </c>
      <c r="AS194" s="162">
        <f>-'Butane Royalties'!AD159</f>
        <v>-5.9071598060280612</v>
      </c>
      <c r="AT194" s="162">
        <f>-'Propane Royalties'!AD159</f>
        <v>-5.3494660166211903</v>
      </c>
      <c r="AU194" s="162">
        <f>-'Ethane Royalties'!AH159</f>
        <v>-0.36770857199999996</v>
      </c>
      <c r="AV194" s="162">
        <f>-'Natural Gas Royalties'!AB159</f>
        <v>-0.16694679864247949</v>
      </c>
      <c r="AW194" s="133" t="e">
        <f>AN194+AM194*(AP194+AQ194)+(AR194*F194)+(AV194*(V194/$AB$3))+(AS194*'Butane Royalties'!K164)+(AT194*'Propane Royalties'!K164)+(AU194*'Ethane Royalties'!K164)</f>
        <v>#REF!</v>
      </c>
      <c r="AX194" s="133" t="e">
        <f t="shared" si="56"/>
        <v>#REF!</v>
      </c>
      <c r="AY194" s="133">
        <f t="shared" si="49"/>
        <v>2196.5746402015416</v>
      </c>
      <c r="AZ194" s="133">
        <f t="shared" si="51"/>
        <v>85456.480102572881</v>
      </c>
      <c r="BA194" s="133" t="e">
        <f t="shared" si="46"/>
        <v>#REF!</v>
      </c>
      <c r="BB194" s="133" t="e">
        <f t="shared" si="57"/>
        <v>#REF!</v>
      </c>
      <c r="BC194" s="133" t="e">
        <f t="shared" si="47"/>
        <v>#REF!</v>
      </c>
      <c r="BD194" s="133" t="e">
        <f t="shared" si="48"/>
        <v>#REF!</v>
      </c>
      <c r="BE194" s="133" t="e">
        <f t="shared" si="52"/>
        <v>#REF!</v>
      </c>
      <c r="BF194" s="133"/>
    </row>
    <row r="195" spans="2:58">
      <c r="B195" s="111" t="e">
        <f>'[1]Oil Production'!#REF!</f>
        <v>#REF!</v>
      </c>
      <c r="C195" s="66"/>
      <c r="D195" s="127">
        <f>'[1]Oil Production'!A156</f>
        <v>150</v>
      </c>
      <c r="E195" s="66">
        <f>'[1]Oil Production'!B156</f>
        <v>30.276671820256439</v>
      </c>
      <c r="F195" s="66">
        <f>'[1]Oil Production'!C156</f>
        <v>920.91543453280008</v>
      </c>
      <c r="G195" s="66">
        <f>'[1]Oil Production'!D156</f>
        <v>228366.18612654356</v>
      </c>
      <c r="H195" s="95"/>
      <c r="K195" s="109">
        <f>'Liquids Type Curve'!A172</f>
        <v>12.505224132120007</v>
      </c>
      <c r="L195" s="116">
        <f>'Liquids Type Curve'!B172</f>
        <v>150.0626895854401</v>
      </c>
      <c r="M195" s="65">
        <f>'Liquids Type Curve'!C172</f>
        <v>6.3811904388517071</v>
      </c>
      <c r="N195" s="65">
        <f>'Liquids Type Curve'!D172</f>
        <v>194.09454251507276</v>
      </c>
      <c r="O195" s="65">
        <f>'Liquids Type Curve'!E172</f>
        <v>107721.3115700335</v>
      </c>
      <c r="P195" s="250"/>
      <c r="S195" s="112">
        <f>'Gas Type Curve'!A179</f>
        <v>12.50000000000002</v>
      </c>
      <c r="T195" s="128">
        <f>'Gas Type Curve'!B179</f>
        <v>150.00000000000023</v>
      </c>
      <c r="U195" s="94">
        <f>'Gas Type Curve'!C179</f>
        <v>161.42072541814841</v>
      </c>
      <c r="V195" s="94">
        <f>'Gas Type Curve'!D179</f>
        <v>4909.8803981353476</v>
      </c>
      <c r="W195" s="94">
        <f>'Gas Type Curve'!E179</f>
        <v>1959559.944582422</v>
      </c>
      <c r="X195" s="250"/>
      <c r="AK195" s="146">
        <f t="shared" si="53"/>
        <v>150</v>
      </c>
      <c r="AL195" s="146" t="e">
        <f t="shared" si="59"/>
        <v>#REF!</v>
      </c>
      <c r="AM195" s="146">
        <f t="shared" si="54"/>
        <v>1933.3233767370975</v>
      </c>
      <c r="AN195" s="133">
        <f>'Price Deck'!E154*F195+N195*'Price Deck'!T154+(V195*'Price Deck'!K154/$AB$3)</f>
        <v>67748.347644280904</v>
      </c>
      <c r="AO195" s="133">
        <f t="shared" si="55"/>
        <v>35.042429248758651</v>
      </c>
      <c r="AP195" s="133" t="e">
        <f>'Production Costs '!$N$22*(1+'Production Costs '!$P$2)^(AL195)</f>
        <v>#REF!</v>
      </c>
      <c r="AQ195" s="133" t="e">
        <f>'Production Costs '!$N$23*(1+'Production Costs '!$P$2)^AL195</f>
        <v>#REF!</v>
      </c>
      <c r="AR195" s="162">
        <f>-'Oil Royalties'!W160</f>
        <v>-12.401305589192248</v>
      </c>
      <c r="AS195" s="162">
        <f>-'Butane Royalties'!AD160</f>
        <v>-5.9021110670797494</v>
      </c>
      <c r="AT195" s="162">
        <f>-'Propane Royalties'!AD160</f>
        <v>-5.3451075363920797</v>
      </c>
      <c r="AU195" s="162">
        <f>-'Ethane Royalties'!AH160</f>
        <v>-0.3677085719999999</v>
      </c>
      <c r="AV195" s="162">
        <f>-'Natural Gas Royalties'!AB160</f>
        <v>-0.16962543354663559</v>
      </c>
      <c r="AW195" s="133" t="e">
        <f>AN195+AM195*(AP195+AQ195)+(AR195*F195)+(AV195*(V195/$AB$3))+(AS195*'Butane Royalties'!K165)+(AT195*'Propane Royalties'!K165)+(AU195*'Ethane Royalties'!K165)</f>
        <v>#REF!</v>
      </c>
      <c r="AX195" s="133" t="e">
        <f t="shared" si="56"/>
        <v>#REF!</v>
      </c>
      <c r="AY195" s="133">
        <f t="shared" si="49"/>
        <v>2141.5287531627414</v>
      </c>
      <c r="AZ195" s="133">
        <f t="shared" si="51"/>
        <v>83314.951349410141</v>
      </c>
      <c r="BA195" s="133" t="e">
        <f t="shared" si="46"/>
        <v>#REF!</v>
      </c>
      <c r="BB195" s="133" t="e">
        <f t="shared" si="57"/>
        <v>#REF!</v>
      </c>
      <c r="BC195" s="133" t="e">
        <f t="shared" si="47"/>
        <v>#REF!</v>
      </c>
      <c r="BD195" s="133" t="e">
        <f t="shared" si="48"/>
        <v>#REF!</v>
      </c>
      <c r="BE195" s="133" t="e">
        <f t="shared" si="52"/>
        <v>#REF!</v>
      </c>
      <c r="BF195" s="133"/>
    </row>
    <row r="196" spans="2:58">
      <c r="B196" s="111" t="e">
        <f>'[1]Oil Production'!#REF!</f>
        <v>#REF!</v>
      </c>
      <c r="C196" s="66"/>
      <c r="D196" s="127">
        <f>'[1]Oil Production'!A157</f>
        <v>151</v>
      </c>
      <c r="E196" s="66">
        <f>'[1]Oil Production'!B157</f>
        <v>30.193039497538564</v>
      </c>
      <c r="F196" s="66">
        <f>'[1]Oil Production'!C157</f>
        <v>918.37161805013136</v>
      </c>
      <c r="G196" s="66">
        <f>'[1]Oil Production'!D157</f>
        <v>229284.55774459368</v>
      </c>
      <c r="H196" s="95"/>
      <c r="K196" s="109">
        <f>'Liquids Type Curve'!A173</f>
        <v>12.588557465453341</v>
      </c>
      <c r="L196" s="116">
        <f>'Liquids Type Curve'!B173</f>
        <v>151.0626895854401</v>
      </c>
      <c r="M196" s="65">
        <f>'Liquids Type Curve'!C173</f>
        <v>6.3418086087906271</v>
      </c>
      <c r="N196" s="65">
        <f>'Liquids Type Curve'!D173</f>
        <v>192.89667851738159</v>
      </c>
      <c r="O196" s="65">
        <f>'Liquids Type Curve'!E173</f>
        <v>107914.20824855089</v>
      </c>
      <c r="P196" s="250"/>
      <c r="S196" s="112">
        <f>'Gas Type Curve'!A180</f>
        <v>12.583333333333353</v>
      </c>
      <c r="T196" s="128">
        <f>'Gas Type Curve'!B180</f>
        <v>151.00000000000023</v>
      </c>
      <c r="U196" s="94">
        <f>'Gas Type Curve'!C180</f>
        <v>160.66500311284773</v>
      </c>
      <c r="V196" s="94">
        <f>'Gas Type Curve'!D180</f>
        <v>4886.8938446824523</v>
      </c>
      <c r="W196" s="94">
        <f>'Gas Type Curve'!E180</f>
        <v>1964446.8384271045</v>
      </c>
      <c r="X196" s="250"/>
      <c r="AK196" s="146">
        <f t="shared" si="53"/>
        <v>151</v>
      </c>
      <c r="AL196" s="146" t="e">
        <f t="shared" si="59"/>
        <v>#REF!</v>
      </c>
      <c r="AM196" s="146">
        <f t="shared" si="54"/>
        <v>1925.7506040145886</v>
      </c>
      <c r="AN196" s="133">
        <f>'Price Deck'!E155*F196+N196*'Price Deck'!T155+(V196*'Price Deck'!K155/$AB$3)</f>
        <v>67547.718557390413</v>
      </c>
      <c r="AO196" s="133">
        <f t="shared" si="55"/>
        <v>35.076046927662652</v>
      </c>
      <c r="AP196" s="133" t="e">
        <f>'Production Costs '!$N$22*(1+'Production Costs '!$P$2)^(AL196)</f>
        <v>#REF!</v>
      </c>
      <c r="AQ196" s="133" t="e">
        <f>'Production Costs '!$N$23*(1+'Production Costs '!$P$2)^AL196</f>
        <v>#REF!</v>
      </c>
      <c r="AR196" s="162">
        <f>-'Oil Royalties'!W161</f>
        <v>-12.361119572712827</v>
      </c>
      <c r="AS196" s="162">
        <f>-'Butane Royalties'!AD161</f>
        <v>-5.8971291271722439</v>
      </c>
      <c r="AT196" s="162">
        <f>-'Propane Royalties'!AD161</f>
        <v>-5.3408067225033511</v>
      </c>
      <c r="AU196" s="162">
        <f>-'Ethane Royalties'!AH161</f>
        <v>-0.36770857200000001</v>
      </c>
      <c r="AV196" s="162">
        <f>-'Natural Gas Royalties'!AB161</f>
        <v>-0.17062992163569404</v>
      </c>
      <c r="AW196" s="133" t="e">
        <f>AN196+AM196*(AP196+AQ196)+(AR196*F196)+(AV196*(V196/$AB$3))+(AS196*'Butane Royalties'!K166)+(AT196*'Propane Royalties'!K166)+(AU196*'Ethane Royalties'!K166)</f>
        <v>#REF!</v>
      </c>
      <c r="AX196" s="133" t="e">
        <f t="shared" si="56"/>
        <v>#REF!</v>
      </c>
      <c r="AY196" s="133">
        <f t="shared" si="49"/>
        <v>2087.8623092006446</v>
      </c>
      <c r="AZ196" s="133">
        <f t="shared" si="51"/>
        <v>81227.089040209496</v>
      </c>
      <c r="BA196" s="133" t="e">
        <f t="shared" si="46"/>
        <v>#REF!</v>
      </c>
      <c r="BB196" s="133" t="e">
        <f t="shared" si="57"/>
        <v>#REF!</v>
      </c>
      <c r="BC196" s="133" t="e">
        <f t="shared" si="47"/>
        <v>#REF!</v>
      </c>
      <c r="BD196" s="133" t="e">
        <f t="shared" si="48"/>
        <v>#REF!</v>
      </c>
      <c r="BE196" s="133" t="e">
        <f t="shared" si="52"/>
        <v>#REF!</v>
      </c>
      <c r="BF196" s="133"/>
    </row>
    <row r="197" spans="2:58">
      <c r="B197" s="111" t="e">
        <f>'[1]Oil Production'!#REF!</f>
        <v>#REF!</v>
      </c>
      <c r="C197" s="66"/>
      <c r="D197" s="127">
        <f>'[1]Oil Production'!A158</f>
        <v>152</v>
      </c>
      <c r="E197" s="66">
        <f>'[1]Oil Production'!B158</f>
        <v>30.110187941507231</v>
      </c>
      <c r="F197" s="66">
        <f>'[1]Oil Production'!C158</f>
        <v>915.85154988751162</v>
      </c>
      <c r="G197" s="66">
        <f>'[1]Oil Production'!D158</f>
        <v>230200.40929448119</v>
      </c>
      <c r="H197" s="95"/>
      <c r="K197" s="109">
        <f>'Liquids Type Curve'!A174</f>
        <v>12.671890798786675</v>
      </c>
      <c r="L197" s="116">
        <f>'Liquids Type Curve'!B174</f>
        <v>152.0626895854401</v>
      </c>
      <c r="M197" s="65">
        <f>'Liquids Type Curve'!C174</f>
        <v>6.3029272692070331</v>
      </c>
      <c r="N197" s="65">
        <f>'Liquids Type Curve'!D174</f>
        <v>191.71403777171392</v>
      </c>
      <c r="O197" s="65">
        <f>'Liquids Type Curve'!E174</f>
        <v>108105.9222863226</v>
      </c>
      <c r="P197" s="250"/>
      <c r="S197" s="112">
        <f>'Gas Type Curve'!A181</f>
        <v>12.666666666666687</v>
      </c>
      <c r="T197" s="128">
        <f>'Gas Type Curve'!B181</f>
        <v>152.00000000000026</v>
      </c>
      <c r="U197" s="94">
        <f>'Gas Type Curve'!C181</f>
        <v>159.9177722525267</v>
      </c>
      <c r="V197" s="94">
        <f>'Gas Type Curve'!D181</f>
        <v>4864.1655726810204</v>
      </c>
      <c r="W197" s="94">
        <f>'Gas Type Curve'!E181</f>
        <v>1969311.0039997855</v>
      </c>
      <c r="X197" s="250"/>
      <c r="AK197" s="146">
        <f t="shared" si="53"/>
        <v>152</v>
      </c>
      <c r="AL197" s="146" t="e">
        <f t="shared" si="59"/>
        <v>#REF!</v>
      </c>
      <c r="AM197" s="146">
        <f t="shared" si="54"/>
        <v>1918.259849772729</v>
      </c>
      <c r="AN197" s="133">
        <f>'Price Deck'!E156*F197+N197*'Price Deck'!T156+(V197*'Price Deck'!K156/$AB$3)</f>
        <v>67382.796566526333</v>
      </c>
      <c r="AO197" s="133">
        <f t="shared" si="55"/>
        <v>35.127043176402658</v>
      </c>
      <c r="AP197" s="133" t="e">
        <f>'Production Costs '!$N$22*(1+'Production Costs '!$P$2)^(AL197)</f>
        <v>#REF!</v>
      </c>
      <c r="AQ197" s="133" t="e">
        <f>'Production Costs '!$N$23*(1+'Production Costs '!$P$2)^AL197</f>
        <v>#REF!</v>
      </c>
      <c r="AR197" s="162">
        <f>-'Oil Royalties'!W162</f>
        <v>-12.321308721025112</v>
      </c>
      <c r="AS197" s="162">
        <f>-'Butane Royalties'!AD162</f>
        <v>-5.8922126541823179</v>
      </c>
      <c r="AT197" s="162">
        <f>-'Propane Royalties'!AD162</f>
        <v>-5.336562424958375</v>
      </c>
      <c r="AU197" s="162">
        <f>-'Ethane Royalties'!AH162</f>
        <v>-0.36770857199999996</v>
      </c>
      <c r="AV197" s="162">
        <f>-'Natural Gas Royalties'!AB162</f>
        <v>-0.17371035177547359</v>
      </c>
      <c r="AW197" s="133" t="e">
        <f>AN197+AM197*(AP197+AQ197)+(AR197*F197)+(AV197*(V197/$AB$3))+(AS197*'Butane Royalties'!K167)+(AT197*'Propane Royalties'!K167)+(AU197*'Ethane Royalties'!K167)</f>
        <v>#REF!</v>
      </c>
      <c r="AX197" s="133" t="e">
        <f t="shared" si="56"/>
        <v>#REF!</v>
      </c>
      <c r="AY197" s="133">
        <f t="shared" si="49"/>
        <v>2035.5407396434714</v>
      </c>
      <c r="AZ197" s="133">
        <f t="shared" si="51"/>
        <v>79191.548300566021</v>
      </c>
      <c r="BA197" s="133" t="e">
        <f t="shared" si="46"/>
        <v>#REF!</v>
      </c>
      <c r="BB197" s="133" t="e">
        <f t="shared" si="57"/>
        <v>#REF!</v>
      </c>
      <c r="BC197" s="133" t="e">
        <f t="shared" si="47"/>
        <v>#REF!</v>
      </c>
      <c r="BD197" s="133" t="e">
        <f t="shared" si="48"/>
        <v>#REF!</v>
      </c>
      <c r="BE197" s="133" t="e">
        <f t="shared" si="52"/>
        <v>#REF!</v>
      </c>
      <c r="BF197" s="133"/>
    </row>
    <row r="198" spans="2:58">
      <c r="B198" s="111" t="e">
        <f>'[1]Oil Production'!#REF!</f>
        <v>#REF!</v>
      </c>
      <c r="C198" s="66"/>
      <c r="D198" s="127">
        <f>'[1]Oil Production'!A159</f>
        <v>153</v>
      </c>
      <c r="E198" s="66">
        <f>'[1]Oil Production'!B159</f>
        <v>30.028104798032018</v>
      </c>
      <c r="F198" s="66">
        <f>'[1]Oil Production'!C159</f>
        <v>913.35485427347396</v>
      </c>
      <c r="G198" s="66">
        <f>'[1]Oil Production'!D159</f>
        <v>231113.76414875465</v>
      </c>
      <c r="H198" s="95"/>
      <c r="K198" s="109">
        <f>'Liquids Type Curve'!A175</f>
        <v>12.755224132120009</v>
      </c>
      <c r="L198" s="116">
        <f>'Liquids Type Curve'!B175</f>
        <v>153.06268958544013</v>
      </c>
      <c r="M198" s="65">
        <f>'Liquids Type Curve'!C175</f>
        <v>6.2645368305296456</v>
      </c>
      <c r="N198" s="65">
        <f>'Liquids Type Curve'!D175</f>
        <v>190.54632859527672</v>
      </c>
      <c r="O198" s="65">
        <f>'Liquids Type Curve'!E175</f>
        <v>108296.46861491787</v>
      </c>
      <c r="P198" s="250"/>
      <c r="S198" s="112">
        <f>'Gas Type Curve'!A182</f>
        <v>12.750000000000021</v>
      </c>
      <c r="T198" s="128">
        <f>'Gas Type Curve'!B182</f>
        <v>153.00000000000026</v>
      </c>
      <c r="U198" s="94">
        <f>'Gas Type Curve'!C182</f>
        <v>159.17888249655243</v>
      </c>
      <c r="V198" s="94">
        <f>'Gas Type Curve'!D182</f>
        <v>4841.6910092701364</v>
      </c>
      <c r="W198" s="94">
        <f>'Gas Type Curve'!E182</f>
        <v>1974152.6950090555</v>
      </c>
      <c r="X198" s="250"/>
      <c r="AK198" s="146">
        <f t="shared" si="53"/>
        <v>153</v>
      </c>
      <c r="AL198" s="146" t="e">
        <f t="shared" si="59"/>
        <v>#REF!</v>
      </c>
      <c r="AM198" s="146">
        <f t="shared" si="54"/>
        <v>1910.8496844137735</v>
      </c>
      <c r="AN198" s="133">
        <f>'Price Deck'!E157*F198+N198*'Price Deck'!T157+(V198*'Price Deck'!K157/$AB$3)</f>
        <v>67247.676888403454</v>
      </c>
      <c r="AO198" s="133">
        <f t="shared" si="55"/>
        <v>35.192552002872091</v>
      </c>
      <c r="AP198" s="133" t="e">
        <f>'Production Costs '!$N$22*(1+'Production Costs '!$P$2)^(AL198)</f>
        <v>#REF!</v>
      </c>
      <c r="AQ198" s="133" t="e">
        <f>'Production Costs '!$N$23*(1+'Production Costs '!$P$2)^AL198</f>
        <v>#REF!</v>
      </c>
      <c r="AR198" s="162">
        <f>-'Oil Royalties'!W163</f>
        <v>-12.281867097868183</v>
      </c>
      <c r="AS198" s="162">
        <f>-'Butane Royalties'!AD163</f>
        <v>-5.8873603513719104</v>
      </c>
      <c r="AT198" s="162">
        <f>-'Propane Royalties'!AD163</f>
        <v>-5.3323735243078723</v>
      </c>
      <c r="AU198" s="162">
        <f>-'Ethane Royalties'!AH163</f>
        <v>-0.36770857199999996</v>
      </c>
      <c r="AV198" s="162">
        <f>-'Natural Gas Royalties'!AB163</f>
        <v>-0.17853189460295454</v>
      </c>
      <c r="AW198" s="133" t="e">
        <f>AN198+AM198*(AP198+AQ198)+(AR198*F198)+(AV198*(V198/$AB$3))+(AS198*'Butane Royalties'!K168)+(AT198*'Propane Royalties'!K168)+(AU198*'Ethane Royalties'!K168)</f>
        <v>#REF!</v>
      </c>
      <c r="AX198" s="133" t="e">
        <f t="shared" si="56"/>
        <v>#REF!</v>
      </c>
      <c r="AY198" s="133">
        <f t="shared" si="49"/>
        <v>1984.5303421060541</v>
      </c>
      <c r="AZ198" s="133">
        <f t="shared" si="51"/>
        <v>77207.017958459968</v>
      </c>
      <c r="BA198" s="133" t="e">
        <f t="shared" si="46"/>
        <v>#REF!</v>
      </c>
      <c r="BB198" s="133" t="e">
        <f t="shared" si="57"/>
        <v>#REF!</v>
      </c>
      <c r="BC198" s="133" t="e">
        <f t="shared" si="47"/>
        <v>#REF!</v>
      </c>
      <c r="BD198" s="133" t="e">
        <f t="shared" si="48"/>
        <v>#REF!</v>
      </c>
      <c r="BE198" s="133" t="e">
        <f t="shared" si="52"/>
        <v>#REF!</v>
      </c>
      <c r="BF198" s="133"/>
    </row>
    <row r="199" spans="2:58">
      <c r="B199" s="111" t="e">
        <f>'[1]Oil Production'!#REF!</f>
        <v>#REF!</v>
      </c>
      <c r="C199" s="66"/>
      <c r="D199" s="127">
        <f>'[1]Oil Production'!A160</f>
        <v>154</v>
      </c>
      <c r="E199" s="66">
        <f>'[1]Oil Production'!B160</f>
        <v>29.946777987566108</v>
      </c>
      <c r="F199" s="66">
        <f>'[1]Oil Production'!C160</f>
        <v>910.88116378846917</v>
      </c>
      <c r="G199" s="66">
        <f>'[1]Oil Production'!D160</f>
        <v>232024.64531254311</v>
      </c>
      <c r="H199" s="95"/>
      <c r="K199" s="109">
        <f>'Liquids Type Curve'!A176</f>
        <v>12.838557465453343</v>
      </c>
      <c r="L199" s="116">
        <f>'Liquids Type Curve'!B176</f>
        <v>154.06268958544013</v>
      </c>
      <c r="M199" s="65">
        <f>'Liquids Type Curve'!C176</f>
        <v>6.2266279479922417</v>
      </c>
      <c r="N199" s="65">
        <f>'Liquids Type Curve'!D176</f>
        <v>189.3932667514307</v>
      </c>
      <c r="O199" s="65">
        <f>'Liquids Type Curve'!E176</f>
        <v>108485.86188166931</v>
      </c>
      <c r="P199" s="250"/>
      <c r="S199" s="112">
        <f>'Gas Type Curve'!A183</f>
        <v>12.833333333333355</v>
      </c>
      <c r="T199" s="128">
        <f>'Gas Type Curve'!B183</f>
        <v>154.00000000000026</v>
      </c>
      <c r="U199" s="94">
        <f>'Gas Type Curve'!C183</f>
        <v>158.44818712594264</v>
      </c>
      <c r="V199" s="94">
        <f>'Gas Type Curve'!D183</f>
        <v>4819.4656917474222</v>
      </c>
      <c r="W199" s="94">
        <f>'Gas Type Curve'!E183</f>
        <v>1978972.1607008029</v>
      </c>
      <c r="X199" s="250"/>
      <c r="AK199" s="146">
        <f t="shared" si="53"/>
        <v>154</v>
      </c>
      <c r="AL199" s="146" t="e">
        <f t="shared" si="59"/>
        <v>#REF!</v>
      </c>
      <c r="AM199" s="146">
        <f t="shared" si="54"/>
        <v>1903.5187124978036</v>
      </c>
      <c r="AN199" s="133">
        <f>'Price Deck'!E158*F199+N199*'Price Deck'!T158+(V199*'Price Deck'!K158/$AB$3)</f>
        <v>67203.264656415195</v>
      </c>
      <c r="AO199" s="133">
        <f t="shared" si="55"/>
        <v>35.304756509711872</v>
      </c>
      <c r="AP199" s="133" t="e">
        <f>'Production Costs '!$N$22*(1+'Production Costs '!$P$2)^(AL199)</f>
        <v>#REF!</v>
      </c>
      <c r="AQ199" s="133" t="e">
        <f>'Production Costs '!$N$23*(1+'Production Costs '!$P$2)^AL199</f>
        <v>#REF!</v>
      </c>
      <c r="AR199" s="162">
        <f>-'Oil Royalties'!W164</f>
        <v>-12.242788898920793</v>
      </c>
      <c r="AS199" s="162">
        <f>-'Butane Royalties'!AD164</f>
        <v>-5.8825709562170845</v>
      </c>
      <c r="AT199" s="162">
        <f>-'Propane Royalties'!AD164</f>
        <v>-5.3282389306389568</v>
      </c>
      <c r="AU199" s="162">
        <f>-'Ethane Royalties'!AH164</f>
        <v>-0.36770857199999996</v>
      </c>
      <c r="AV199" s="162">
        <f>-'Natural Gas Royalties'!AB164</f>
        <v>-0.18891160485655928</v>
      </c>
      <c r="AW199" s="133" t="e">
        <f>AN199+AM199*(AP199+AQ199)+(AR199*F199)+(AV199*(V199/$AB$3))+(AS199*'Butane Royalties'!K169)+(AT199*'Propane Royalties'!K169)+(AU199*'Ethane Royalties'!K169)</f>
        <v>#REF!</v>
      </c>
      <c r="AX199" s="133" t="e">
        <f t="shared" si="56"/>
        <v>#REF!</v>
      </c>
      <c r="AY199" s="133">
        <f t="shared" si="49"/>
        <v>1934.7982587808008</v>
      </c>
      <c r="AZ199" s="133">
        <f t="shared" si="51"/>
        <v>75272.219699679161</v>
      </c>
      <c r="BA199" s="133" t="e">
        <f t="shared" si="46"/>
        <v>#REF!</v>
      </c>
      <c r="BB199" s="133" t="e">
        <f t="shared" si="57"/>
        <v>#REF!</v>
      </c>
      <c r="BC199" s="133" t="e">
        <f t="shared" si="47"/>
        <v>#REF!</v>
      </c>
      <c r="BD199" s="133" t="e">
        <f t="shared" si="48"/>
        <v>#REF!</v>
      </c>
      <c r="BE199" s="133" t="e">
        <f t="shared" si="52"/>
        <v>#REF!</v>
      </c>
      <c r="BF199" s="133"/>
    </row>
    <row r="200" spans="2:58">
      <c r="B200" s="111" t="e">
        <f>'[1]Oil Production'!#REF!</f>
        <v>#REF!</v>
      </c>
      <c r="C200" s="66"/>
      <c r="D200" s="127">
        <f>'[1]Oil Production'!A161</f>
        <v>155</v>
      </c>
      <c r="E200" s="66">
        <f>'[1]Oil Production'!B161</f>
        <v>29.866195697308068</v>
      </c>
      <c r="F200" s="66">
        <f>'[1]Oil Production'!C161</f>
        <v>908.43011912645375</v>
      </c>
      <c r="G200" s="66">
        <f>'[1]Oil Production'!D161</f>
        <v>232933.07543166957</v>
      </c>
      <c r="H200" s="95"/>
      <c r="K200" s="109">
        <f>'Liquids Type Curve'!A177</f>
        <v>12.921890798786677</v>
      </c>
      <c r="L200" s="116">
        <f>'Liquids Type Curve'!B177</f>
        <v>155.06268958544013</v>
      </c>
      <c r="M200" s="65">
        <f>'Liquids Type Curve'!C177</f>
        <v>6.1891915138454578</v>
      </c>
      <c r="N200" s="65">
        <f>'Liquids Type Curve'!D177</f>
        <v>188.25457521279935</v>
      </c>
      <c r="O200" s="65">
        <f>'Liquids Type Curve'!E177</f>
        <v>108674.11645688211</v>
      </c>
      <c r="P200" s="250"/>
      <c r="S200" s="112">
        <f>'Gas Type Curve'!A184</f>
        <v>12.916666666666689</v>
      </c>
      <c r="T200" s="128">
        <f>'Gas Type Curve'!B184</f>
        <v>155.00000000000028</v>
      </c>
      <c r="U200" s="94">
        <f>'Gas Type Curve'!C184</f>
        <v>157.72554293329631</v>
      </c>
      <c r="V200" s="94">
        <f>'Gas Type Curve'!D184</f>
        <v>4797.4852642210963</v>
      </c>
      <c r="W200" s="94">
        <f>'Gas Type Curve'!E184</f>
        <v>1983769.6459650241</v>
      </c>
      <c r="X200" s="250"/>
      <c r="AK200" s="146">
        <f t="shared" si="53"/>
        <v>155</v>
      </c>
      <c r="AL200" s="146" t="e">
        <f t="shared" si="59"/>
        <v>#REF!</v>
      </c>
      <c r="AM200" s="146">
        <f t="shared" si="54"/>
        <v>1896.2655717094358</v>
      </c>
      <c r="AN200" s="133">
        <f>'Price Deck'!E159*F200+N200*'Price Deck'!T159+(V200*'Price Deck'!K159/$AB$3)</f>
        <v>66751.420459585497</v>
      </c>
      <c r="AO200" s="133">
        <f t="shared" si="55"/>
        <v>35.201514732670468</v>
      </c>
      <c r="AP200" s="133" t="e">
        <f>'Production Costs '!$N$22*(1+'Production Costs '!$P$2)^(AL200)</f>
        <v>#REF!</v>
      </c>
      <c r="AQ200" s="133" t="e">
        <f>'Production Costs '!$N$23*(1+'Production Costs '!$P$2)^AL200</f>
        <v>#REF!</v>
      </c>
      <c r="AR200" s="162">
        <f>-'Oil Royalties'!W165</f>
        <v>-12.204068448035041</v>
      </c>
      <c r="AS200" s="162">
        <f>-'Butane Royalties'!AD165</f>
        <v>-5.8778432392832425</v>
      </c>
      <c r="AT200" s="162">
        <f>-'Propane Royalties'!AD165</f>
        <v>-5.3241575826041432</v>
      </c>
      <c r="AU200" s="162">
        <f>-'Ethane Royalties'!AH165</f>
        <v>-0.36770857199999996</v>
      </c>
      <c r="AV200" s="162">
        <f>-'Natural Gas Royalties'!AB165</f>
        <v>-0.1737773176480775</v>
      </c>
      <c r="AW200" s="133" t="e">
        <f>AN200+AM200*(AP200+AQ200)+(AR200*F200)+(AV200*(V200/$AB$3))+(AS200*'Butane Royalties'!K170)+(AT200*'Propane Royalties'!K170)+(AU200*'Ethane Royalties'!K170)</f>
        <v>#REF!</v>
      </c>
      <c r="AX200" s="133" t="e">
        <f t="shared" si="56"/>
        <v>#REF!</v>
      </c>
      <c r="AY200" s="133">
        <f t="shared" si="49"/>
        <v>1886.3124552726879</v>
      </c>
      <c r="AZ200" s="133">
        <f t="shared" si="51"/>
        <v>73385.907244406466</v>
      </c>
      <c r="BA200" s="133" t="e">
        <f t="shared" si="46"/>
        <v>#REF!</v>
      </c>
      <c r="BB200" s="133" t="e">
        <f t="shared" si="57"/>
        <v>#REF!</v>
      </c>
      <c r="BC200" s="133" t="e">
        <f t="shared" si="47"/>
        <v>#REF!</v>
      </c>
      <c r="BD200" s="133" t="e">
        <f t="shared" si="48"/>
        <v>#REF!</v>
      </c>
      <c r="BE200" s="133" t="e">
        <f t="shared" si="52"/>
        <v>#REF!</v>
      </c>
      <c r="BF200" s="133"/>
    </row>
    <row r="201" spans="2:58">
      <c r="B201" s="111" t="e">
        <f>'[1]Oil Production'!#REF!</f>
        <v>#REF!</v>
      </c>
      <c r="C201" s="66"/>
      <c r="D201" s="127">
        <f>'[1]Oil Production'!A162</f>
        <v>156</v>
      </c>
      <c r="E201" s="66">
        <f>'[1]Oil Production'!B162</f>
        <v>29.786346373636036</v>
      </c>
      <c r="F201" s="66">
        <f>'[1]Oil Production'!C162</f>
        <v>906.00136886476275</v>
      </c>
      <c r="G201" s="66">
        <f>'[1]Oil Production'!D162</f>
        <v>233839.07680053433</v>
      </c>
      <c r="H201" s="95"/>
      <c r="K201" s="109">
        <f>'Liquids Type Curve'!A178</f>
        <v>13.005224132120011</v>
      </c>
      <c r="L201" s="116">
        <f>'Liquids Type Curve'!B178</f>
        <v>156.06268958544013</v>
      </c>
      <c r="M201" s="65">
        <f>'Liquids Type Curve'!C178</f>
        <v>6.1522186498646008</v>
      </c>
      <c r="N201" s="65">
        <f>'Liquids Type Curve'!D178</f>
        <v>187.12998393338162</v>
      </c>
      <c r="O201" s="65">
        <f>'Liquids Type Curve'!E178</f>
        <v>108861.24644081549</v>
      </c>
      <c r="P201" s="250"/>
      <c r="S201" s="112">
        <f>'Gas Type Curve'!A185</f>
        <v>13.000000000000023</v>
      </c>
      <c r="T201" s="128">
        <f>'Gas Type Curve'!B185</f>
        <v>156.00000000000028</v>
      </c>
      <c r="U201" s="94">
        <f>'Gas Type Curve'!C185</f>
        <v>157.01081011675598</v>
      </c>
      <c r="V201" s="94">
        <f>'Gas Type Curve'!D185</f>
        <v>4775.7454743846611</v>
      </c>
      <c r="W201" s="94">
        <f>'Gas Type Curve'!E185</f>
        <v>1988545.3914394088</v>
      </c>
      <c r="X201" s="250"/>
      <c r="AK201" s="146">
        <f t="shared" si="53"/>
        <v>156</v>
      </c>
      <c r="AL201" s="146" t="e">
        <f>$B$201</f>
        <v>#REF!</v>
      </c>
      <c r="AM201" s="146">
        <f t="shared" si="54"/>
        <v>1889.0889318622546</v>
      </c>
      <c r="AN201" s="133">
        <f>'Price Deck'!E160*F201+N201*'Price Deck'!T160+(V201*'Price Deck'!K160/$AB$3)</f>
        <v>66544.767582781613</v>
      </c>
      <c r="AO201" s="133">
        <f t="shared" si="55"/>
        <v>35.22585224041417</v>
      </c>
      <c r="AP201" s="133" t="e">
        <f>'Production Costs '!$N$22*(1+'Production Costs '!$P$2)^(AL201)</f>
        <v>#REF!</v>
      </c>
      <c r="AQ201" s="133" t="e">
        <f>'Production Costs '!$N$23*(1+'Production Costs '!$P$2)^AL201</f>
        <v>#REF!</v>
      </c>
      <c r="AR201" s="162">
        <f>-'Oil Royalties'!W166</f>
        <v>-12.165700193600937</v>
      </c>
      <c r="AS201" s="162">
        <f>-'Butane Royalties'!AD166</f>
        <v>-5.8731760031445335</v>
      </c>
      <c r="AT201" s="162">
        <f>-'Propane Royalties'!AD166</f>
        <v>-5.3201284464884893</v>
      </c>
      <c r="AU201" s="162">
        <f>-'Ethane Royalties'!AH166</f>
        <v>-0.36770857199999996</v>
      </c>
      <c r="AV201" s="162">
        <f>-'Natural Gas Royalties'!AB166</f>
        <v>-0.1737773176480775</v>
      </c>
      <c r="AW201" s="133" t="e">
        <f>AN201+AM201*(AP201+AQ201)+(AR201*F201)+(AV201*(V201/$AB$3))+(AS201*'Butane Royalties'!K171)+(AT201*'Propane Royalties'!K171)+(AU201*'Ethane Royalties'!K171)</f>
        <v>#REF!</v>
      </c>
      <c r="AX201" s="133" t="e">
        <f t="shared" si="56"/>
        <v>#REF!</v>
      </c>
      <c r="AY201" s="133">
        <f t="shared" si="49"/>
        <v>1839.0416999646434</v>
      </c>
      <c r="AZ201" s="133">
        <f t="shared" si="51"/>
        <v>71546.865544441825</v>
      </c>
      <c r="BA201" s="133" t="e">
        <f t="shared" si="46"/>
        <v>#REF!</v>
      </c>
      <c r="BB201" s="133" t="e">
        <f t="shared" si="57"/>
        <v>#REF!</v>
      </c>
      <c r="BC201" s="133" t="e">
        <f t="shared" si="47"/>
        <v>#REF!</v>
      </c>
      <c r="BD201" s="133" t="e">
        <f t="shared" si="48"/>
        <v>#REF!</v>
      </c>
      <c r="BE201" s="133" t="e">
        <f t="shared" si="52"/>
        <v>#REF!</v>
      </c>
      <c r="BF201" s="133"/>
    </row>
    <row r="202" spans="2:58">
      <c r="B202" s="111" t="e">
        <f>'[1]Oil Production'!#REF!</f>
        <v>#REF!</v>
      </c>
      <c r="C202" s="66" t="e">
        <f>B201</f>
        <v>#REF!</v>
      </c>
      <c r="D202" s="127">
        <f>'[1]Oil Production'!A163</f>
        <v>157</v>
      </c>
      <c r="E202" s="66">
        <f>'[1]Oil Production'!B163</f>
        <v>29.707218714803602</v>
      </c>
      <c r="F202" s="66">
        <f>'[1]Oil Production'!C163</f>
        <v>903.59456924194296</v>
      </c>
      <c r="G202" s="66">
        <f>'[1]Oil Production'!D163</f>
        <v>234742.67136977628</v>
      </c>
      <c r="H202" s="95"/>
      <c r="K202" s="109">
        <f>'Liquids Type Curve'!A179</f>
        <v>13.088557465453345</v>
      </c>
      <c r="L202" s="116">
        <f>'Liquids Type Curve'!B179</f>
        <v>157.06268958544013</v>
      </c>
      <c r="M202" s="65">
        <f>'Liquids Type Curve'!C179</f>
        <v>6.1157007001406072</v>
      </c>
      <c r="N202" s="65">
        <f>'Liquids Type Curve'!D179</f>
        <v>186.01922962927682</v>
      </c>
      <c r="O202" s="65">
        <f>'Liquids Type Curve'!E179</f>
        <v>109047.26567044477</v>
      </c>
      <c r="P202" s="250" t="e">
        <f t="shared" si="43"/>
        <v>#REF!</v>
      </c>
      <c r="S202" s="112">
        <f>'Gas Type Curve'!A186</f>
        <v>13.083333333333357</v>
      </c>
      <c r="T202" s="128">
        <f>'Gas Type Curve'!B186</f>
        <v>157.00000000000028</v>
      </c>
      <c r="U202" s="94">
        <f>'Gas Type Curve'!C186</f>
        <v>156.30385217782572</v>
      </c>
      <c r="V202" s="94">
        <f>'Gas Type Curve'!D186</f>
        <v>4754.2421704088656</v>
      </c>
      <c r="W202" s="94">
        <f>'Gas Type Curve'!E186</f>
        <v>1993299.6336098176</v>
      </c>
      <c r="X202" s="250" t="e">
        <f t="shared" si="58"/>
        <v>#REF!</v>
      </c>
      <c r="AK202" s="146">
        <f t="shared" si="53"/>
        <v>157</v>
      </c>
      <c r="AL202" s="146" t="e">
        <f t="shared" ref="AL202:AL212" si="60">$B$201</f>
        <v>#REF!</v>
      </c>
      <c r="AM202" s="146">
        <f t="shared" si="54"/>
        <v>1881.987493939364</v>
      </c>
      <c r="AN202" s="133">
        <f>'Price Deck'!E161*F202+N202*'Price Deck'!T161+(V202*'Price Deck'!K161/$AB$3)</f>
        <v>67190.52407314087</v>
      </c>
      <c r="AO202" s="133">
        <f t="shared" si="55"/>
        <v>35.701897217445428</v>
      </c>
      <c r="AP202" s="133" t="e">
        <f>'Production Costs '!$N$22*(1+'Production Costs '!$P$2)^(AL202)</f>
        <v>#REF!</v>
      </c>
      <c r="AQ202" s="133" t="e">
        <f>'Production Costs '!$N$23*(1+'Production Costs '!$P$2)^AL202</f>
        <v>#REF!</v>
      </c>
      <c r="AR202" s="162">
        <f>-'Oil Royalties'!W167</f>
        <v>-12.511917298301601</v>
      </c>
      <c r="AS202" s="162">
        <f>-'Butane Royalties'!AD167</f>
        <v>-5.8685680813454599</v>
      </c>
      <c r="AT202" s="162">
        <f>-'Propane Royalties'!AD167</f>
        <v>-5.3161505153131667</v>
      </c>
      <c r="AU202" s="162">
        <f>-'Ethane Royalties'!AH167</f>
        <v>-0.36770857199999996</v>
      </c>
      <c r="AV202" s="162">
        <f>-'Natural Gas Royalties'!AB167</f>
        <v>-0.17377731764807747</v>
      </c>
      <c r="AW202" s="133" t="e">
        <f>AN202+AM202*(AP202+AQ202)+(AR202*F202)+(AV202*(V202/$AB$3))+(AS202*'Butane Royalties'!K172)+(AT202*'Propane Royalties'!K172)+(AU202*'Ethane Royalties'!K172)</f>
        <v>#REF!</v>
      </c>
      <c r="AX202" s="133" t="e">
        <f t="shared" si="56"/>
        <v>#REF!</v>
      </c>
      <c r="AY202" s="133">
        <f t="shared" si="49"/>
        <v>1792.9555439000317</v>
      </c>
      <c r="AZ202" s="133">
        <f t="shared" si="51"/>
        <v>69753.9100005418</v>
      </c>
      <c r="BA202" s="133" t="e">
        <f t="shared" si="46"/>
        <v>#REF!</v>
      </c>
      <c r="BB202" s="133" t="e">
        <f t="shared" si="57"/>
        <v>#REF!</v>
      </c>
      <c r="BC202" s="133" t="e">
        <f t="shared" si="47"/>
        <v>#REF!</v>
      </c>
      <c r="BD202" s="133" t="e">
        <f t="shared" si="48"/>
        <v>#REF!</v>
      </c>
      <c r="BE202" s="133" t="e">
        <f t="shared" si="52"/>
        <v>#REF!</v>
      </c>
      <c r="BF202" s="133"/>
    </row>
    <row r="203" spans="2:58">
      <c r="B203" s="111" t="e">
        <f>'[1]Oil Production'!#REF!</f>
        <v>#REF!</v>
      </c>
      <c r="C203" s="66"/>
      <c r="D203" s="127">
        <f>'[1]Oil Production'!A164</f>
        <v>158</v>
      </c>
      <c r="E203" s="66">
        <f>'[1]Oil Production'!B164</f>
        <v>29.628801663886421</v>
      </c>
      <c r="F203" s="66">
        <f>'[1]Oil Production'!C164</f>
        <v>901.20938394321195</v>
      </c>
      <c r="G203" s="66">
        <f>'[1]Oil Production'!D164</f>
        <v>235643.88075371948</v>
      </c>
      <c r="H203" s="95"/>
      <c r="K203" s="109">
        <f>'Liquids Type Curve'!A180</f>
        <v>13.171890798786679</v>
      </c>
      <c r="L203" s="116">
        <f>'Liquids Type Curve'!B180</f>
        <v>158.06268958544015</v>
      </c>
      <c r="M203" s="65">
        <f>'Liquids Type Curve'!C180</f>
        <v>6.0796292241415051</v>
      </c>
      <c r="N203" s="65">
        <f>'Liquids Type Curve'!D180</f>
        <v>184.92205556763744</v>
      </c>
      <c r="O203" s="65">
        <f>'Liquids Type Curve'!E180</f>
        <v>109232.18772601242</v>
      </c>
      <c r="P203" s="250"/>
      <c r="S203" s="112">
        <f>'Gas Type Curve'!A187</f>
        <v>13.166666666666691</v>
      </c>
      <c r="T203" s="128">
        <f>'Gas Type Curve'!B187</f>
        <v>158.00000000000028</v>
      </c>
      <c r="U203" s="94">
        <f>'Gas Type Curve'!C187</f>
        <v>155.60453582288434</v>
      </c>
      <c r="V203" s="94">
        <f>'Gas Type Curve'!D187</f>
        <v>4732.9712979460655</v>
      </c>
      <c r="W203" s="94">
        <f>'Gas Type Curve'!E187</f>
        <v>1998032.6049077637</v>
      </c>
      <c r="X203" s="250"/>
      <c r="AK203" s="146">
        <f t="shared" si="53"/>
        <v>158</v>
      </c>
      <c r="AL203" s="146" t="e">
        <f t="shared" si="60"/>
        <v>#REF!</v>
      </c>
      <c r="AM203" s="146">
        <f t="shared" si="54"/>
        <v>1874.959989168527</v>
      </c>
      <c r="AN203" s="133">
        <f>'Price Deck'!E162*F203+N203*'Price Deck'!T162+(V203*'Price Deck'!K162/$AB$3)</f>
        <v>66985.647502257008</v>
      </c>
      <c r="AO203" s="133">
        <f t="shared" si="55"/>
        <v>35.726441038329881</v>
      </c>
      <c r="AP203" s="133" t="e">
        <f>'Production Costs '!$N$22*(1+'Production Costs '!$P$2)^(AL203)</f>
        <v>#REF!</v>
      </c>
      <c r="AQ203" s="133" t="e">
        <f>'Production Costs '!$N$23*(1+'Production Costs '!$P$2)^AL203</f>
        <v>#REF!</v>
      </c>
      <c r="AR203" s="162">
        <f>-'Oil Royalties'!W168</f>
        <v>-12.473672062129912</v>
      </c>
      <c r="AS203" s="162">
        <f>-'Butane Royalties'!AD168</f>
        <v>-5.8640183374026789</v>
      </c>
      <c r="AT203" s="162">
        <f>-'Propane Royalties'!AD168</f>
        <v>-5.312222807973745</v>
      </c>
      <c r="AU203" s="162">
        <f>-'Ethane Royalties'!AH168</f>
        <v>-0.36770857199999996</v>
      </c>
      <c r="AV203" s="162">
        <f>-'Natural Gas Royalties'!AB168</f>
        <v>-0.1737773176480775</v>
      </c>
      <c r="AW203" s="133" t="e">
        <f>AN203+AM203*(AP203+AQ203)+(AR203*F203)+(AV203*(V203/$AB$3))+(AS203*'Butane Royalties'!K173)+(AT203*'Propane Royalties'!K173)+(AU203*'Ethane Royalties'!K173)</f>
        <v>#REF!</v>
      </c>
      <c r="AX203" s="133" t="e">
        <f t="shared" si="56"/>
        <v>#REF!</v>
      </c>
      <c r="AY203" s="133">
        <f t="shared" si="49"/>
        <v>1748.0243011692789</v>
      </c>
      <c r="AZ203" s="133">
        <f t="shared" si="51"/>
        <v>68005.88569937252</v>
      </c>
      <c r="BA203" s="133" t="e">
        <f t="shared" si="46"/>
        <v>#REF!</v>
      </c>
      <c r="BB203" s="133" t="e">
        <f t="shared" si="57"/>
        <v>#REF!</v>
      </c>
      <c r="BC203" s="133" t="e">
        <f t="shared" si="47"/>
        <v>#REF!</v>
      </c>
      <c r="BD203" s="133" t="e">
        <f t="shared" si="48"/>
        <v>#REF!</v>
      </c>
      <c r="BE203" s="133" t="e">
        <f t="shared" si="52"/>
        <v>#REF!</v>
      </c>
      <c r="BF203" s="133"/>
    </row>
    <row r="204" spans="2:58">
      <c r="B204" s="111" t="e">
        <f>'[1]Oil Production'!#REF!</f>
        <v>#REF!</v>
      </c>
      <c r="C204" s="66"/>
      <c r="D204" s="127">
        <f>'[1]Oil Production'!A165</f>
        <v>159</v>
      </c>
      <c r="E204" s="66">
        <f>'[1]Oil Production'!B165</f>
        <v>29.551084401969675</v>
      </c>
      <c r="F204" s="66">
        <f>'[1]Oil Production'!C165</f>
        <v>898.84548389324436</v>
      </c>
      <c r="G204" s="66">
        <f>'[1]Oil Production'!D165</f>
        <v>236542.72623761272</v>
      </c>
      <c r="H204" s="95"/>
      <c r="K204" s="109">
        <f>'Liquids Type Curve'!A181</f>
        <v>13.255224132120013</v>
      </c>
      <c r="L204" s="116">
        <f>'Liquids Type Curve'!B181</f>
        <v>159.06268958544015</v>
      </c>
      <c r="M204" s="65">
        <f>'Liquids Type Curve'!C181</f>
        <v>6.0439959900327933</v>
      </c>
      <c r="N204" s="65">
        <f>'Liquids Type Curve'!D181</f>
        <v>183.83821136349746</v>
      </c>
      <c r="O204" s="65">
        <f>'Liquids Type Curve'!E181</f>
        <v>109416.02593737592</v>
      </c>
      <c r="P204" s="250"/>
      <c r="S204" s="112">
        <f>'Gas Type Curve'!A188</f>
        <v>13.250000000000025</v>
      </c>
      <c r="T204" s="128">
        <f>'Gas Type Curve'!B188</f>
        <v>159.00000000000028</v>
      </c>
      <c r="U204" s="94">
        <f>'Gas Type Curve'!C188</f>
        <v>154.91273086823594</v>
      </c>
      <c r="V204" s="94">
        <f>'Gas Type Curve'!D188</f>
        <v>4711.9288972421764</v>
      </c>
      <c r="W204" s="94">
        <f>'Gas Type Curve'!E188</f>
        <v>2002744.5338050057</v>
      </c>
      <c r="X204" s="250"/>
      <c r="AK204" s="146">
        <f t="shared" si="53"/>
        <v>159</v>
      </c>
      <c r="AL204" s="146" t="e">
        <f t="shared" si="60"/>
        <v>#REF!</v>
      </c>
      <c r="AM204" s="146">
        <f t="shared" si="54"/>
        <v>1868.0051781304378</v>
      </c>
      <c r="AN204" s="133">
        <f>'Price Deck'!E163*F204+N204*'Price Deck'!T163+(V204*'Price Deck'!K163/$AB$3)</f>
        <v>66782.752776018169</v>
      </c>
      <c r="AO204" s="133">
        <f t="shared" si="55"/>
        <v>35.750839214940818</v>
      </c>
      <c r="AP204" s="133" t="e">
        <f>'Production Costs '!$N$22*(1+'Production Costs '!$P$2)^(AL204)</f>
        <v>#REF!</v>
      </c>
      <c r="AQ204" s="133" t="e">
        <f>'Production Costs '!$N$23*(1+'Production Costs '!$P$2)^AL204</f>
        <v>#REF!</v>
      </c>
      <c r="AR204" s="162">
        <f>-'Oil Royalties'!W169</f>
        <v>-12.435768124123355</v>
      </c>
      <c r="AS204" s="162">
        <f>-'Butane Royalties'!AD169</f>
        <v>-5.8595256638452984</v>
      </c>
      <c r="AT204" s="162">
        <f>-'Propane Royalties'!AD169</f>
        <v>-5.3083443684116798</v>
      </c>
      <c r="AU204" s="162">
        <f>-'Ethane Royalties'!AH169</f>
        <v>-0.36770857200000001</v>
      </c>
      <c r="AV204" s="162">
        <f>-'Natural Gas Royalties'!AB169</f>
        <v>-0.1737773176480775</v>
      </c>
      <c r="AW204" s="133" t="e">
        <f>AN204+AM204*(AP204+AQ204)+(AR204*F204)+(AV204*(V204/$AB$3))+(AS204*'Butane Royalties'!K174)+(AT204*'Propane Royalties'!K174)+(AU204*'Ethane Royalties'!K174)</f>
        <v>#REF!</v>
      </c>
      <c r="AX204" s="133" t="e">
        <f t="shared" si="56"/>
        <v>#REF!</v>
      </c>
      <c r="AY204" s="133">
        <f t="shared" si="49"/>
        <v>1704.2190297880099</v>
      </c>
      <c r="AZ204" s="133">
        <f t="shared" si="51"/>
        <v>66301.666669584505</v>
      </c>
      <c r="BA204" s="133" t="e">
        <f t="shared" si="46"/>
        <v>#REF!</v>
      </c>
      <c r="BB204" s="133" t="e">
        <f t="shared" si="57"/>
        <v>#REF!</v>
      </c>
      <c r="BC204" s="133" t="e">
        <f t="shared" si="47"/>
        <v>#REF!</v>
      </c>
      <c r="BD204" s="133" t="e">
        <f t="shared" si="48"/>
        <v>#REF!</v>
      </c>
      <c r="BE204" s="133" t="e">
        <f t="shared" si="52"/>
        <v>#REF!</v>
      </c>
      <c r="BF204" s="133"/>
    </row>
    <row r="205" spans="2:58">
      <c r="B205" s="111" t="e">
        <f>'[1]Oil Production'!#REF!</f>
        <v>#REF!</v>
      </c>
      <c r="C205" s="66"/>
      <c r="D205" s="127">
        <f>'[1]Oil Production'!A166</f>
        <v>160</v>
      </c>
      <c r="E205" s="66">
        <f>'[1]Oil Production'!B166</f>
        <v>29.474056341566428</v>
      </c>
      <c r="F205" s="66">
        <f>'[1]Oil Production'!C166</f>
        <v>896.50254705597888</v>
      </c>
      <c r="G205" s="66">
        <f>'[1]Oil Production'!D166</f>
        <v>237439.2287846687</v>
      </c>
      <c r="H205" s="95"/>
      <c r="K205" s="109">
        <f>'Liquids Type Curve'!A182</f>
        <v>13.338557465453347</v>
      </c>
      <c r="L205" s="116">
        <f>'Liquids Type Curve'!B182</f>
        <v>160.06268958544015</v>
      </c>
      <c r="M205" s="65">
        <f>'Liquids Type Curve'!C182</f>
        <v>6.0087929682453582</v>
      </c>
      <c r="N205" s="65">
        <f>'Liquids Type Curve'!D182</f>
        <v>182.76745278412966</v>
      </c>
      <c r="O205" s="65">
        <f>'Liquids Type Curve'!E182</f>
        <v>109598.79339016005</v>
      </c>
      <c r="P205" s="250"/>
      <c r="S205" s="112">
        <f>'Gas Type Curve'!A189</f>
        <v>13.333333333333359</v>
      </c>
      <c r="T205" s="128">
        <f>'Gas Type Curve'!B189</f>
        <v>160.00000000000031</v>
      </c>
      <c r="U205" s="94">
        <f>'Gas Type Curve'!C189</f>
        <v>154.22831014854944</v>
      </c>
      <c r="V205" s="94">
        <f>'Gas Type Curve'!D189</f>
        <v>4691.1111003517126</v>
      </c>
      <c r="W205" s="94">
        <f>'Gas Type Curve'!E189</f>
        <v>2007435.6449053574</v>
      </c>
      <c r="X205" s="250"/>
      <c r="AK205" s="146">
        <f t="shared" si="53"/>
        <v>160</v>
      </c>
      <c r="AL205" s="146" t="e">
        <f t="shared" si="60"/>
        <v>#REF!</v>
      </c>
      <c r="AM205" s="146">
        <f t="shared" si="54"/>
        <v>1861.1218498987273</v>
      </c>
      <c r="AN205" s="133">
        <f>'Price Deck'!E164*F205+N205*'Price Deck'!T164+(V205*'Price Deck'!K164/$AB$3)</f>
        <v>66581.808094546272</v>
      </c>
      <c r="AO205" s="133">
        <f t="shared" si="55"/>
        <v>35.775093446014459</v>
      </c>
      <c r="AP205" s="133" t="e">
        <f>'Production Costs '!$N$22*(1+'Production Costs '!$P$2)^(AL205)</f>
        <v>#REF!</v>
      </c>
      <c r="AQ205" s="133" t="e">
        <f>'Production Costs '!$N$23*(1+'Production Costs '!$P$2)^AL205</f>
        <v>#REF!</v>
      </c>
      <c r="AR205" s="162">
        <f>-'Oil Royalties'!W170</f>
        <v>-12.398200320597047</v>
      </c>
      <c r="AS205" s="162">
        <f>-'Butane Royalties'!AD170</f>
        <v>-5.8550889812918676</v>
      </c>
      <c r="AT205" s="162">
        <f>-'Propane Royalties'!AD170</f>
        <v>-5.3045142648175059</v>
      </c>
      <c r="AU205" s="162">
        <f>-'Ethane Royalties'!AH170</f>
        <v>-0.36770857199999996</v>
      </c>
      <c r="AV205" s="162">
        <f>-'Natural Gas Royalties'!AB170</f>
        <v>-0.1737773176480775</v>
      </c>
      <c r="AW205" s="133" t="e">
        <f>AN205+AM205*(AP205+AQ205)+(AR205*F205)+(AV205*(V205/$AB$3))+(AS205*'Butane Royalties'!K175)+(AT205*'Propane Royalties'!K175)+(AU205*'Ethane Royalties'!K175)</f>
        <v>#REF!</v>
      </c>
      <c r="AX205" s="133" t="e">
        <f t="shared" si="56"/>
        <v>#REF!</v>
      </c>
      <c r="AY205" s="133">
        <f t="shared" si="49"/>
        <v>1661.5115130543754</v>
      </c>
      <c r="AZ205" s="133">
        <f t="shared" si="51"/>
        <v>64640.155156530127</v>
      </c>
      <c r="BA205" s="133" t="e">
        <f t="shared" si="46"/>
        <v>#REF!</v>
      </c>
      <c r="BB205" s="133" t="e">
        <f t="shared" si="57"/>
        <v>#REF!</v>
      </c>
      <c r="BC205" s="133" t="e">
        <f t="shared" si="47"/>
        <v>#REF!</v>
      </c>
      <c r="BD205" s="133" t="e">
        <f t="shared" si="48"/>
        <v>#REF!</v>
      </c>
      <c r="BE205" s="133" t="e">
        <f t="shared" si="52"/>
        <v>#REF!</v>
      </c>
      <c r="BF205" s="133"/>
    </row>
    <row r="206" spans="2:58">
      <c r="B206" s="111" t="e">
        <f>'[1]Oil Production'!#REF!</f>
        <v>#REF!</v>
      </c>
      <c r="C206" s="66"/>
      <c r="D206" s="127">
        <f>'[1]Oil Production'!A167</f>
        <v>161</v>
      </c>
      <c r="E206" s="66">
        <f>'[1]Oil Production'!B167</f>
        <v>29.397707120257873</v>
      </c>
      <c r="F206" s="66">
        <f>'[1]Oil Production'!C167</f>
        <v>894.18025824117706</v>
      </c>
      <c r="G206" s="66">
        <f>'[1]Oil Production'!D167</f>
        <v>238333.40904290989</v>
      </c>
      <c r="H206" s="95"/>
      <c r="K206" s="109">
        <f>'Liquids Type Curve'!A183</f>
        <v>13.421890798786681</v>
      </c>
      <c r="L206" s="116">
        <f>'Liquids Type Curve'!B183</f>
        <v>161.06268958544018</v>
      </c>
      <c r="M206" s="65">
        <f>'Liquids Type Curve'!C183</f>
        <v>5.9740123252803574</v>
      </c>
      <c r="N206" s="65">
        <f>'Liquids Type Curve'!D183</f>
        <v>181.70954156061089</v>
      </c>
      <c r="O206" s="65">
        <f>'Liquids Type Curve'!E183</f>
        <v>109780.50293172066</v>
      </c>
      <c r="P206" s="250"/>
      <c r="S206" s="112">
        <f>'Gas Type Curve'!A190</f>
        <v>13.416666666666693</v>
      </c>
      <c r="T206" s="128">
        <f>'Gas Type Curve'!B190</f>
        <v>161.00000000000031</v>
      </c>
      <c r="U206" s="94">
        <f>'Gas Type Curve'!C190</f>
        <v>153.5511494285476</v>
      </c>
      <c r="V206" s="94">
        <f>'Gas Type Curve'!D190</f>
        <v>4670.5141284516567</v>
      </c>
      <c r="W206" s="94">
        <f>'Gas Type Curve'!E190</f>
        <v>2012106.1590338091</v>
      </c>
      <c r="X206" s="250"/>
      <c r="AK206" s="146">
        <f t="shared" si="53"/>
        <v>161</v>
      </c>
      <c r="AL206" s="146" t="e">
        <f t="shared" si="60"/>
        <v>#REF!</v>
      </c>
      <c r="AM206" s="146">
        <f t="shared" si="54"/>
        <v>1854.3088212103971</v>
      </c>
      <c r="AN206" s="133">
        <f>'Price Deck'!E165*F206+N206*'Price Deck'!T165+(V206*'Price Deck'!K165/$AB$3)</f>
        <v>66382.782366566811</v>
      </c>
      <c r="AO206" s="133">
        <f t="shared" si="55"/>
        <v>35.799205400552189</v>
      </c>
      <c r="AP206" s="133" t="e">
        <f>'Production Costs '!$N$22*(1+'Production Costs '!$P$2)^(AL206)</f>
        <v>#REF!</v>
      </c>
      <c r="AQ206" s="133" t="e">
        <f>'Production Costs '!$N$23*(1+'Production Costs '!$P$2)^AL206</f>
        <v>#REF!</v>
      </c>
      <c r="AR206" s="162">
        <f>-'Oil Royalties'!W171</f>
        <v>-12.360963597635436</v>
      </c>
      <c r="AS206" s="162">
        <f>-'Butane Royalties'!AD171</f>
        <v>-5.8507072375624514</v>
      </c>
      <c r="AT206" s="162">
        <f>-'Propane Royalties'!AD171</f>
        <v>-5.3007315888643225</v>
      </c>
      <c r="AU206" s="162">
        <f>-'Ethane Royalties'!AH171</f>
        <v>-0.3677085719999999</v>
      </c>
      <c r="AV206" s="162">
        <f>-'Natural Gas Royalties'!AB171</f>
        <v>-0.17377731764807747</v>
      </c>
      <c r="AW206" s="133" t="e">
        <f>AN206+AM206*(AP206+AQ206)+(AR206*F206)+(AV206*(V206/$AB$3))+(AS206*'Butane Royalties'!K176)+(AT206*'Propane Royalties'!K176)+(AU206*'Ethane Royalties'!K176)</f>
        <v>#REF!</v>
      </c>
      <c r="AX206" s="133" t="e">
        <f t="shared" si="56"/>
        <v>#REF!</v>
      </c>
      <c r="AY206" s="133">
        <f t="shared" si="49"/>
        <v>1619.8742413735615</v>
      </c>
      <c r="AZ206" s="133">
        <f t="shared" si="51"/>
        <v>63020.280915156567</v>
      </c>
      <c r="BA206" s="133" t="e">
        <f t="shared" si="46"/>
        <v>#REF!</v>
      </c>
      <c r="BB206" s="133" t="e">
        <f t="shared" si="57"/>
        <v>#REF!</v>
      </c>
      <c r="BC206" s="133" t="e">
        <f t="shared" si="47"/>
        <v>#REF!</v>
      </c>
      <c r="BD206" s="133" t="e">
        <f t="shared" si="48"/>
        <v>#REF!</v>
      </c>
      <c r="BE206" s="133" t="e">
        <f t="shared" si="52"/>
        <v>#REF!</v>
      </c>
      <c r="BF206" s="133"/>
    </row>
    <row r="207" spans="2:58">
      <c r="B207" s="111" t="e">
        <f>'[1]Oil Production'!#REF!</f>
        <v>#REF!</v>
      </c>
      <c r="C207" s="66"/>
      <c r="D207" s="127">
        <f>'[1]Oil Production'!A168</f>
        <v>162</v>
      </c>
      <c r="E207" s="66">
        <f>'[1]Oil Production'!B168</f>
        <v>29.322026594546674</v>
      </c>
      <c r="F207" s="66">
        <f>'[1]Oil Production'!C168</f>
        <v>891.87830891746137</v>
      </c>
      <c r="G207" s="66">
        <f>'[1]Oil Production'!D168</f>
        <v>239225.28735182734</v>
      </c>
      <c r="H207" s="95"/>
      <c r="K207" s="109">
        <f>'Liquids Type Curve'!A184</f>
        <v>13.505224132120015</v>
      </c>
      <c r="L207" s="116">
        <f>'Liquids Type Curve'!B184</f>
        <v>162.06268958544018</v>
      </c>
      <c r="M207" s="65">
        <f>'Liquids Type Curve'!C184</f>
        <v>5.9396464177409607</v>
      </c>
      <c r="N207" s="65">
        <f>'Liquids Type Curve'!D184</f>
        <v>180.66424520628757</v>
      </c>
      <c r="O207" s="65">
        <f>'Liquids Type Curve'!E184</f>
        <v>109961.16717692695</v>
      </c>
      <c r="P207" s="250"/>
      <c r="S207" s="112">
        <f>'Gas Type Curve'!A191</f>
        <v>13.500000000000027</v>
      </c>
      <c r="T207" s="128">
        <f>'Gas Type Curve'!B191</f>
        <v>162.00000000000031</v>
      </c>
      <c r="U207" s="94">
        <f>'Gas Type Curve'!C191</f>
        <v>152.88112731780745</v>
      </c>
      <c r="V207" s="94">
        <f>'Gas Type Curve'!D191</f>
        <v>4650.134289249977</v>
      </c>
      <c r="W207" s="94">
        <f>'Gas Type Curve'!E191</f>
        <v>2016756.2933230591</v>
      </c>
      <c r="X207" s="250"/>
      <c r="AK207" s="146">
        <f t="shared" si="53"/>
        <v>162</v>
      </c>
      <c r="AL207" s="146" t="e">
        <f t="shared" si="60"/>
        <v>#REF!</v>
      </c>
      <c r="AM207" s="146">
        <f t="shared" si="54"/>
        <v>1847.5649356654117</v>
      </c>
      <c r="AN207" s="133">
        <f>'Price Deck'!E166*F207+N207*'Price Deck'!T166+(V207*'Price Deck'!K166/$AB$3)</f>
        <v>66185.645189273899</v>
      </c>
      <c r="AO207" s="133">
        <f t="shared" si="55"/>
        <v>35.823176718515029</v>
      </c>
      <c r="AP207" s="133" t="e">
        <f>'Production Costs '!$N$22*(1+'Production Costs '!$P$2)^(AL207)</f>
        <v>#REF!</v>
      </c>
      <c r="AQ207" s="133" t="e">
        <f>'Production Costs '!$N$23*(1+'Production Costs '!$P$2)^AL207</f>
        <v>#REF!</v>
      </c>
      <c r="AR207" s="162">
        <f>-'Oil Royalties'!W172</f>
        <v>-12.324053008094408</v>
      </c>
      <c r="AS207" s="162">
        <f>-'Butane Royalties'!AD172</f>
        <v>-5.8463794068242887</v>
      </c>
      <c r="AT207" s="162">
        <f>-'Propane Royalties'!AD172</f>
        <v>-5.2969954549702329</v>
      </c>
      <c r="AU207" s="162">
        <f>-'Ethane Royalties'!AH172</f>
        <v>-0.3677085719999999</v>
      </c>
      <c r="AV207" s="162">
        <f>-'Natural Gas Royalties'!AB172</f>
        <v>-0.17377731764807747</v>
      </c>
      <c r="AW207" s="133" t="e">
        <f>AN207+AM207*(AP207+AQ207)+(AR207*F207)+(AV207*(V207/$AB$3))+(AS207*'Butane Royalties'!K177)+(AT207*'Propane Royalties'!K177)+(AU207*'Ethane Royalties'!K177)</f>
        <v>#REF!</v>
      </c>
      <c r="AX207" s="133" t="e">
        <f t="shared" si="56"/>
        <v>#REF!</v>
      </c>
      <c r="AY207" s="133">
        <f t="shared" si="49"/>
        <v>1579.2803945377764</v>
      </c>
      <c r="AZ207" s="133">
        <f t="shared" si="51"/>
        <v>61441.000520618793</v>
      </c>
      <c r="BA207" s="133" t="e">
        <f t="shared" si="46"/>
        <v>#REF!</v>
      </c>
      <c r="BB207" s="133" t="e">
        <f t="shared" si="57"/>
        <v>#REF!</v>
      </c>
      <c r="BC207" s="133" t="e">
        <f t="shared" si="47"/>
        <v>#REF!</v>
      </c>
      <c r="BD207" s="133" t="e">
        <f t="shared" si="48"/>
        <v>#REF!</v>
      </c>
      <c r="BE207" s="133" t="e">
        <f t="shared" si="52"/>
        <v>#REF!</v>
      </c>
      <c r="BF207" s="133"/>
    </row>
    <row r="208" spans="2:58">
      <c r="B208" s="111" t="e">
        <f>'[1]Oil Production'!#REF!</f>
        <v>#REF!</v>
      </c>
      <c r="C208" s="66"/>
      <c r="D208" s="127">
        <f>'[1]Oil Production'!A169</f>
        <v>163</v>
      </c>
      <c r="E208" s="66">
        <f>'[1]Oil Production'!B169</f>
        <v>29.247004833914691</v>
      </c>
      <c r="F208" s="66">
        <f>'[1]Oil Production'!C169</f>
        <v>889.59639703157188</v>
      </c>
      <c r="G208" s="66">
        <f>'[1]Oil Production'!D169</f>
        <v>240114.88374885891</v>
      </c>
      <c r="H208" s="95"/>
      <c r="K208" s="109">
        <f>'Liquids Type Curve'!A185</f>
        <v>13.588557465453349</v>
      </c>
      <c r="L208" s="116">
        <f>'Liquids Type Curve'!B185</f>
        <v>163.06268958544018</v>
      </c>
      <c r="M208" s="65">
        <f>'Liquids Type Curve'!C185</f>
        <v>5.905687786581165</v>
      </c>
      <c r="N208" s="65">
        <f>'Liquids Type Curve'!D185</f>
        <v>179.63133684184376</v>
      </c>
      <c r="O208" s="65">
        <f>'Liquids Type Curve'!E185</f>
        <v>110140.79851376879</v>
      </c>
      <c r="P208" s="250"/>
      <c r="S208" s="112">
        <f>'Gas Type Curve'!A192</f>
        <v>13.583333333333361</v>
      </c>
      <c r="T208" s="128">
        <f>'Gas Type Curve'!B192</f>
        <v>163.00000000000034</v>
      </c>
      <c r="U208" s="94">
        <f>'Gas Type Curve'!C192</f>
        <v>152.21812518854802</v>
      </c>
      <c r="V208" s="94">
        <f>'Gas Type Curve'!D192</f>
        <v>4629.9679744850027</v>
      </c>
      <c r="W208" s="94">
        <f>'Gas Type Curve'!E192</f>
        <v>2021386.261297544</v>
      </c>
      <c r="X208" s="250"/>
      <c r="AK208" s="146">
        <f t="shared" si="53"/>
        <v>163</v>
      </c>
      <c r="AL208" s="146" t="e">
        <f t="shared" si="60"/>
        <v>#REF!</v>
      </c>
      <c r="AM208" s="146">
        <f t="shared" si="54"/>
        <v>1840.8890629542493</v>
      </c>
      <c r="AN208" s="133">
        <f>'Price Deck'!E167*F208+N208*'Price Deck'!T167+(V208*'Price Deck'!K167/$AB$3)</f>
        <v>65990.366828888509</v>
      </c>
      <c r="AO208" s="133">
        <f t="shared" si="55"/>
        <v>35.84700901149769</v>
      </c>
      <c r="AP208" s="133" t="e">
        <f>'Production Costs '!$N$22*(1+'Production Costs '!$P$2)^(AL208)</f>
        <v>#REF!</v>
      </c>
      <c r="AQ208" s="133" t="e">
        <f>'Production Costs '!$N$23*(1+'Production Costs '!$P$2)^AL208</f>
        <v>#REF!</v>
      </c>
      <c r="AR208" s="162">
        <f>-'Oil Royalties'!W173</f>
        <v>-12.287463708703184</v>
      </c>
      <c r="AS208" s="162">
        <f>-'Butane Royalties'!AD173</f>
        <v>-5.8421044887694782</v>
      </c>
      <c r="AT208" s="162">
        <f>-'Propane Royalties'!AD173</f>
        <v>-5.2933049995884627</v>
      </c>
      <c r="AU208" s="162">
        <f>-'Ethane Royalties'!AH173</f>
        <v>-0.36770857199999996</v>
      </c>
      <c r="AV208" s="162">
        <f>-'Natural Gas Royalties'!AB173</f>
        <v>-0.17377731764807747</v>
      </c>
      <c r="AW208" s="133" t="e">
        <f>AN208+AM208*(AP208+AQ208)+(AR208*F208)+(AV208*(V208/$AB$3))+(AS208*'Butane Royalties'!K178)+(AT208*'Propane Royalties'!K178)+(AU208*'Ethane Royalties'!K178)</f>
        <v>#REF!</v>
      </c>
      <c r="AX208" s="133" t="e">
        <f t="shared" si="56"/>
        <v>#REF!</v>
      </c>
      <c r="AY208" s="133">
        <f t="shared" si="49"/>
        <v>1539.7038244502962</v>
      </c>
      <c r="AZ208" s="133">
        <f t="shared" si="51"/>
        <v>59901.296696168494</v>
      </c>
      <c r="BA208" s="133" t="e">
        <f t="shared" si="46"/>
        <v>#REF!</v>
      </c>
      <c r="BB208" s="133" t="e">
        <f t="shared" si="57"/>
        <v>#REF!</v>
      </c>
      <c r="BC208" s="133" t="e">
        <f t="shared" si="47"/>
        <v>#REF!</v>
      </c>
      <c r="BD208" s="133" t="e">
        <f t="shared" si="48"/>
        <v>#REF!</v>
      </c>
      <c r="BE208" s="133" t="e">
        <f t="shared" si="52"/>
        <v>#REF!</v>
      </c>
      <c r="BF208" s="133"/>
    </row>
    <row r="209" spans="2:58">
      <c r="B209" s="111" t="e">
        <f>'[1]Oil Production'!#REF!</f>
        <v>#REF!</v>
      </c>
      <c r="C209" s="66"/>
      <c r="D209" s="127">
        <f>'[1]Oil Production'!A170</f>
        <v>164</v>
      </c>
      <c r="E209" s="66">
        <f>'[1]Oil Production'!B170</f>
        <v>29.172632115077651</v>
      </c>
      <c r="F209" s="66">
        <f>'[1]Oil Production'!C170</f>
        <v>887.33422683361187</v>
      </c>
      <c r="G209" s="66">
        <f>'[1]Oil Production'!D170</f>
        <v>241002.2179756925</v>
      </c>
      <c r="H209" s="95"/>
      <c r="K209" s="109">
        <f>'Liquids Type Curve'!A186</f>
        <v>13.671890798786682</v>
      </c>
      <c r="L209" s="116">
        <f>'Liquids Type Curve'!B186</f>
        <v>164.06268958544018</v>
      </c>
      <c r="M209" s="65">
        <f>'Liquids Type Curve'!C186</f>
        <v>5.8721291515626906</v>
      </c>
      <c r="N209" s="65">
        <f>'Liquids Type Curve'!D186</f>
        <v>178.61059502669852</v>
      </c>
      <c r="O209" s="65">
        <f>'Liquids Type Curve'!E186</f>
        <v>110319.40910879549</v>
      </c>
      <c r="P209" s="250"/>
      <c r="S209" s="112">
        <f>'Gas Type Curve'!A193</f>
        <v>13.666666666666694</v>
      </c>
      <c r="T209" s="128">
        <f>'Gas Type Curve'!B193</f>
        <v>164.00000000000034</v>
      </c>
      <c r="U209" s="94">
        <f>'Gas Type Curve'!C193</f>
        <v>151.56202709628002</v>
      </c>
      <c r="V209" s="94">
        <f>'Gas Type Curve'!D193</f>
        <v>4610.0116575118509</v>
      </c>
      <c r="W209" s="94">
        <f>'Gas Type Curve'!E193</f>
        <v>2025996.2729550558</v>
      </c>
      <c r="X209" s="250"/>
      <c r="AK209" s="146">
        <f t="shared" si="53"/>
        <v>164</v>
      </c>
      <c r="AL209" s="146" t="e">
        <f t="shared" si="60"/>
        <v>#REF!</v>
      </c>
      <c r="AM209" s="146">
        <f t="shared" si="54"/>
        <v>1834.2800981122855</v>
      </c>
      <c r="AN209" s="133">
        <f>'Price Deck'!E168*F209+N209*'Price Deck'!T168+(V209*'Price Deck'!K168/$AB$3)</f>
        <v>65796.918201883091</v>
      </c>
      <c r="AO209" s="133">
        <f t="shared" si="55"/>
        <v>35.870703863383099</v>
      </c>
      <c r="AP209" s="133" t="e">
        <f>'Production Costs '!$N$22*(1+'Production Costs '!$P$2)^(AL209)</f>
        <v>#REF!</v>
      </c>
      <c r="AQ209" s="133" t="e">
        <f>'Production Costs '!$N$23*(1+'Production Costs '!$P$2)^AL209</f>
        <v>#REF!</v>
      </c>
      <c r="AR209" s="162">
        <f>-'Oil Royalties'!W174</f>
        <v>-12.251190957262216</v>
      </c>
      <c r="AS209" s="162">
        <f>-'Butane Royalties'!AD174</f>
        <v>-5.8378815078233641</v>
      </c>
      <c r="AT209" s="162">
        <f>-'Propane Royalties'!AD174</f>
        <v>-5.2896593805239789</v>
      </c>
      <c r="AU209" s="162">
        <f>-'Ethane Royalties'!AH174</f>
        <v>-0.3677085719999999</v>
      </c>
      <c r="AV209" s="162">
        <f>-'Natural Gas Royalties'!AB174</f>
        <v>-0.1737773176480775</v>
      </c>
      <c r="AW209" s="133" t="e">
        <f>AN209+AM209*(AP209+AQ209)+(AR209*F209)+(AV209*(V209/$AB$3))+(AS209*'Butane Royalties'!K179)+(AT209*'Propane Royalties'!K179)+(AU209*'Ethane Royalties'!K179)</f>
        <v>#REF!</v>
      </c>
      <c r="AX209" s="133" t="e">
        <f t="shared" si="56"/>
        <v>#REF!</v>
      </c>
      <c r="AY209" s="133">
        <f t="shared" si="49"/>
        <v>1501.1190382824454</v>
      </c>
      <c r="AZ209" s="133">
        <f t="shared" si="51"/>
        <v>58400.177657886052</v>
      </c>
      <c r="BA209" s="133" t="e">
        <f t="shared" si="46"/>
        <v>#REF!</v>
      </c>
      <c r="BB209" s="133" t="e">
        <f t="shared" si="57"/>
        <v>#REF!</v>
      </c>
      <c r="BC209" s="133" t="e">
        <f t="shared" si="47"/>
        <v>#REF!</v>
      </c>
      <c r="BD209" s="133" t="e">
        <f t="shared" si="48"/>
        <v>#REF!</v>
      </c>
      <c r="BE209" s="133" t="e">
        <f t="shared" si="52"/>
        <v>#REF!</v>
      </c>
      <c r="BF209" s="133"/>
    </row>
    <row r="210" spans="2:58">
      <c r="B210" s="111" t="e">
        <f>'[1]Oil Production'!#REF!</f>
        <v>#REF!</v>
      </c>
      <c r="C210" s="66"/>
      <c r="D210" s="127">
        <f>'[1]Oil Production'!A171</f>
        <v>165</v>
      </c>
      <c r="E210" s="66">
        <f>'[1]Oil Production'!B171</f>
        <v>29.098898916428411</v>
      </c>
      <c r="F210" s="66">
        <f>'[1]Oil Production'!C171</f>
        <v>885.09150870803091</v>
      </c>
      <c r="G210" s="66">
        <f>'[1]Oil Production'!D171</f>
        <v>241887.30948440052</v>
      </c>
      <c r="H210" s="95"/>
      <c r="K210" s="109">
        <f>'Liquids Type Curve'!A187</f>
        <v>13.755224132120016</v>
      </c>
      <c r="L210" s="116">
        <f>'Liquids Type Curve'!B187</f>
        <v>165.06268958544018</v>
      </c>
      <c r="M210" s="65">
        <f>'Liquids Type Curve'!C187</f>
        <v>5.8389634059110893</v>
      </c>
      <c r="N210" s="65">
        <f>'Liquids Type Curve'!D187</f>
        <v>177.6018035964623</v>
      </c>
      <c r="O210" s="65">
        <f>'Liquids Type Curve'!E187</f>
        <v>110497.01091239195</v>
      </c>
      <c r="P210" s="250"/>
      <c r="S210" s="112">
        <f>'Gas Type Curve'!A194</f>
        <v>13.750000000000028</v>
      </c>
      <c r="T210" s="128">
        <f>'Gas Type Curve'!B194</f>
        <v>165.00000000000034</v>
      </c>
      <c r="U210" s="94">
        <f>'Gas Type Curve'!C194</f>
        <v>150.91271970320261</v>
      </c>
      <c r="V210" s="94">
        <f>'Gas Type Curve'!D194</f>
        <v>4590.2618909724133</v>
      </c>
      <c r="W210" s="94">
        <f>'Gas Type Curve'!E194</f>
        <v>2030586.5348460283</v>
      </c>
      <c r="X210" s="250"/>
      <c r="AK210" s="146">
        <f t="shared" si="53"/>
        <v>165</v>
      </c>
      <c r="AL210" s="146" t="e">
        <f t="shared" si="60"/>
        <v>#REF!</v>
      </c>
      <c r="AM210" s="146">
        <f t="shared" si="54"/>
        <v>1827.7369607998953</v>
      </c>
      <c r="AN210" s="133">
        <f>'Price Deck'!E169*F210+N210*'Price Deck'!T169+(V210*'Price Deck'!K169/$AB$3)</f>
        <v>65605.27085684464</v>
      </c>
      <c r="AO210" s="133">
        <f t="shared" si="55"/>
        <v>35.894262830978143</v>
      </c>
      <c r="AP210" s="133" t="e">
        <f>'Production Costs '!$N$22*(1+'Production Costs '!$P$2)^(AL210)</f>
        <v>#REF!</v>
      </c>
      <c r="AQ210" s="133" t="e">
        <f>'Production Costs '!$N$23*(1+'Production Costs '!$P$2)^AL210</f>
        <v>#REF!</v>
      </c>
      <c r="AR210" s="162">
        <f>-'Oil Royalties'!W175</f>
        <v>-12.215230109933083</v>
      </c>
      <c r="AS210" s="162">
        <f>-'Butane Royalties'!AD175</f>
        <v>-5.8337095123822351</v>
      </c>
      <c r="AT210" s="162">
        <f>-'Propane Royalties'!AD175</f>
        <v>-5.2860577762754248</v>
      </c>
      <c r="AU210" s="162">
        <f>-'Ethane Royalties'!AH175</f>
        <v>-0.36770857199999984</v>
      </c>
      <c r="AV210" s="162">
        <f>-'Natural Gas Royalties'!AB175</f>
        <v>-0.17377731764807744</v>
      </c>
      <c r="AW210" s="133" t="e">
        <f>AN210+AM210*(AP210+AQ210)+(AR210*F210)+(AV210*(V210/$AB$3))+(AS210*'Butane Royalties'!K180)+(AT210*'Propane Royalties'!K180)+(AU210*'Ethane Royalties'!K180)</f>
        <v>#REF!</v>
      </c>
      <c r="AX210" s="133" t="e">
        <f t="shared" si="56"/>
        <v>#REF!</v>
      </c>
      <c r="AY210" s="133">
        <f t="shared" si="49"/>
        <v>1463.5011820526631</v>
      </c>
      <c r="AZ210" s="133">
        <f t="shared" si="51"/>
        <v>56936.676475833388</v>
      </c>
      <c r="BA210" s="133" t="e">
        <f t="shared" si="46"/>
        <v>#REF!</v>
      </c>
      <c r="BB210" s="133" t="e">
        <f t="shared" si="57"/>
        <v>#REF!</v>
      </c>
      <c r="BC210" s="133" t="e">
        <f t="shared" si="47"/>
        <v>#REF!</v>
      </c>
      <c r="BD210" s="133" t="e">
        <f t="shared" si="48"/>
        <v>#REF!</v>
      </c>
      <c r="BE210" s="133" t="e">
        <f t="shared" si="52"/>
        <v>#REF!</v>
      </c>
      <c r="BF210" s="133"/>
    </row>
    <row r="211" spans="2:58">
      <c r="B211" s="111" t="e">
        <f>'[1]Oil Production'!#REF!</f>
        <v>#REF!</v>
      </c>
      <c r="C211" s="66"/>
      <c r="D211" s="127">
        <f>'[1]Oil Production'!A172</f>
        <v>166</v>
      </c>
      <c r="E211" s="66">
        <f>'[1]Oil Production'!B172</f>
        <v>29.025795912662058</v>
      </c>
      <c r="F211" s="66">
        <f>'[1]Oil Production'!C172</f>
        <v>882.86795901013761</v>
      </c>
      <c r="G211" s="66">
        <f>'[1]Oil Production'!D172</f>
        <v>242770.17744341065</v>
      </c>
      <c r="H211" s="95"/>
      <c r="K211" s="109">
        <f>'Liquids Type Curve'!A188</f>
        <v>13.83855746545335</v>
      </c>
      <c r="L211" s="116">
        <f>'Liquids Type Curve'!B188</f>
        <v>166.06268958544021</v>
      </c>
      <c r="M211" s="65">
        <f>'Liquids Type Curve'!C188</f>
        <v>5.8061836111627709</v>
      </c>
      <c r="N211" s="65">
        <f>'Liquids Type Curve'!D188</f>
        <v>176.60475150620096</v>
      </c>
      <c r="O211" s="65">
        <f>'Liquids Type Curve'!E188</f>
        <v>110673.61566389815</v>
      </c>
      <c r="P211" s="250"/>
      <c r="S211" s="112">
        <f>'Gas Type Curve'!A195</f>
        <v>13.833333333333362</v>
      </c>
      <c r="T211" s="128">
        <f>'Gas Type Curve'!B195</f>
        <v>166.00000000000034</v>
      </c>
      <c r="U211" s="94">
        <f>'Gas Type Curve'!C195</f>
        <v>150.27009220423571</v>
      </c>
      <c r="V211" s="94">
        <f>'Gas Type Curve'!D195</f>
        <v>4570.7153045455034</v>
      </c>
      <c r="W211" s="94">
        <f>'Gas Type Curve'!E195</f>
        <v>2035157.2501505739</v>
      </c>
      <c r="X211" s="250"/>
      <c r="AK211" s="146">
        <f t="shared" si="53"/>
        <v>166</v>
      </c>
      <c r="AL211" s="146" t="e">
        <f t="shared" si="60"/>
        <v>#REF!</v>
      </c>
      <c r="AM211" s="146">
        <f t="shared" si="54"/>
        <v>1821.2585946072559</v>
      </c>
      <c r="AN211" s="133">
        <f>'Price Deck'!E170*F211+N211*'Price Deck'!T170+(V211*'Price Deck'!K170/$AB$3)</f>
        <v>65415.396956951452</v>
      </c>
      <c r="AO211" s="133">
        <f t="shared" si="55"/>
        <v>35.917687444631063</v>
      </c>
      <c r="AP211" s="133" t="e">
        <f>'Production Costs '!$N$22*(1+'Production Costs '!$P$2)^(AL211)</f>
        <v>#REF!</v>
      </c>
      <c r="AQ211" s="133" t="e">
        <f>'Production Costs '!$N$23*(1+'Production Costs '!$P$2)^AL211</f>
        <v>#REF!</v>
      </c>
      <c r="AR211" s="162">
        <f>-'Oil Royalties'!W176</f>
        <v>-12.179576618617062</v>
      </c>
      <c r="AS211" s="162">
        <f>-'Butane Royalties'!AD176</f>
        <v>-5.8295875740791629</v>
      </c>
      <c r="AT211" s="162">
        <f>-'Propane Royalties'!AD176</f>
        <v>-5.2824993854012945</v>
      </c>
      <c r="AU211" s="162">
        <f>-'Ethane Royalties'!AH176</f>
        <v>-0.36770857199999996</v>
      </c>
      <c r="AV211" s="162">
        <f>-'Natural Gas Royalties'!AB176</f>
        <v>-0.1737773176480775</v>
      </c>
      <c r="AW211" s="133" t="e">
        <f>AN211+AM211*(AP211+AQ211)+(AR211*F211)+(AV211*(V211/$AB$3))+(AS211*'Butane Royalties'!K181)+(AT211*'Propane Royalties'!K181)+(AU211*'Ethane Royalties'!K181)</f>
        <v>#REF!</v>
      </c>
      <c r="AX211" s="133" t="e">
        <f t="shared" si="56"/>
        <v>#REF!</v>
      </c>
      <c r="AY211" s="133">
        <f t="shared" si="49"/>
        <v>1426.8260246170705</v>
      </c>
      <c r="AZ211" s="133">
        <f t="shared" si="51"/>
        <v>55509.85045121632</v>
      </c>
      <c r="BA211" s="133" t="e">
        <f t="shared" si="46"/>
        <v>#REF!</v>
      </c>
      <c r="BB211" s="133" t="e">
        <f t="shared" si="57"/>
        <v>#REF!</v>
      </c>
      <c r="BC211" s="133" t="e">
        <f t="shared" si="47"/>
        <v>#REF!</v>
      </c>
      <c r="BD211" s="133" t="e">
        <f t="shared" si="48"/>
        <v>#REF!</v>
      </c>
      <c r="BE211" s="133" t="e">
        <f t="shared" si="52"/>
        <v>#REF!</v>
      </c>
      <c r="BF211" s="133"/>
    </row>
    <row r="212" spans="2:58">
      <c r="B212" s="111" t="e">
        <f>'[1]Oil Production'!#REF!</f>
        <v>#REF!</v>
      </c>
      <c r="C212" s="66"/>
      <c r="D212" s="127">
        <f>'[1]Oil Production'!A173</f>
        <v>167</v>
      </c>
      <c r="E212" s="66">
        <f>'[1]Oil Production'!B173</f>
        <v>28.953313969575582</v>
      </c>
      <c r="F212" s="66">
        <f>'[1]Oil Production'!C173</f>
        <v>880.66329990792394</v>
      </c>
      <c r="G212" s="66">
        <f>'[1]Oil Production'!D173</f>
        <v>243650.84074331858</v>
      </c>
      <c r="H212" s="95"/>
      <c r="K212" s="109">
        <f>'Liquids Type Curve'!A189</f>
        <v>13.921890798786684</v>
      </c>
      <c r="L212" s="116">
        <f>'Liquids Type Curve'!B189</f>
        <v>167.06268958544021</v>
      </c>
      <c r="M212" s="65">
        <f>'Liquids Type Curve'!C189</f>
        <v>5.7737829921950734</v>
      </c>
      <c r="N212" s="65">
        <f>'Liquids Type Curve'!D189</f>
        <v>175.61923267926682</v>
      </c>
      <c r="O212" s="65">
        <f>'Liquids Type Curve'!E189</f>
        <v>110849.23489657741</v>
      </c>
      <c r="P212" s="250"/>
      <c r="S212" s="112">
        <f>'Gas Type Curve'!A196</f>
        <v>13.916666666666696</v>
      </c>
      <c r="T212" s="128">
        <f>'Gas Type Curve'!B196</f>
        <v>167.00000000000034</v>
      </c>
      <c r="U212" s="94">
        <f>'Gas Type Curve'!C196</f>
        <v>149.63403625558163</v>
      </c>
      <c r="V212" s="94">
        <f>'Gas Type Curve'!D196</f>
        <v>4551.3686027739413</v>
      </c>
      <c r="W212" s="94">
        <f>'Gas Type Curve'!E196</f>
        <v>2039708.6187533478</v>
      </c>
      <c r="X212" s="250"/>
      <c r="AK212" s="146">
        <f t="shared" si="53"/>
        <v>167</v>
      </c>
      <c r="AL212" s="146" t="e">
        <f t="shared" si="60"/>
        <v>#REF!</v>
      </c>
      <c r="AM212" s="146">
        <f t="shared" si="54"/>
        <v>1814.8439663828476</v>
      </c>
      <c r="AN212" s="133">
        <f>'Price Deck'!E171*F212+N212*'Price Deck'!T171+(V212*'Price Deck'!K171/$AB$3)</f>
        <v>65378.236151162622</v>
      </c>
      <c r="AO212" s="133">
        <f t="shared" si="55"/>
        <v>36.024163708942709</v>
      </c>
      <c r="AP212" s="133" t="e">
        <f>'Production Costs '!$N$22*(1+'Production Costs '!$P$2)^(AL212)</f>
        <v>#REF!</v>
      </c>
      <c r="AQ212" s="133" t="e">
        <f>'Production Costs '!$N$23*(1+'Production Costs '!$P$2)^AL212</f>
        <v>#REF!</v>
      </c>
      <c r="AR212" s="162">
        <f>-'Oil Royalties'!W177</f>
        <v>-12.144226028418858</v>
      </c>
      <c r="AS212" s="162">
        <f>-'Butane Royalties'!AD177</f>
        <v>-6.2410017279820478</v>
      </c>
      <c r="AT212" s="162">
        <f>-'Propane Royalties'!AD177</f>
        <v>-5.4855869034568281</v>
      </c>
      <c r="AU212" s="162">
        <f>-'Ethane Royalties'!AH177</f>
        <v>-0.374181454729691</v>
      </c>
      <c r="AV212" s="162">
        <f>-'Natural Gas Royalties'!AB177</f>
        <v>-0.1772930259597823</v>
      </c>
      <c r="AW212" s="133" t="e">
        <f>AN212+AM212*(AP212+AQ212)+(AR212*F212)+(AV212*(V212/$AB$3))+(AS212*'Butane Royalties'!K182)+(AT212*'Propane Royalties'!K182)+(AU212*'Ethane Royalties'!K182)</f>
        <v>#REF!</v>
      </c>
      <c r="AX212" s="133" t="e">
        <f t="shared" si="56"/>
        <v>#REF!</v>
      </c>
      <c r="AY212" s="133">
        <f t="shared" si="49"/>
        <v>1391.0699420612393</v>
      </c>
      <c r="AZ212" s="133">
        <f t="shared" si="51"/>
        <v>54118.780509155084</v>
      </c>
      <c r="BA212" s="133" t="e">
        <f t="shared" si="46"/>
        <v>#REF!</v>
      </c>
      <c r="BB212" s="133" t="e">
        <f t="shared" si="57"/>
        <v>#REF!</v>
      </c>
      <c r="BC212" s="133" t="e">
        <f t="shared" si="47"/>
        <v>#REF!</v>
      </c>
      <c r="BD212" s="133" t="e">
        <f t="shared" si="48"/>
        <v>#REF!</v>
      </c>
      <c r="BE212" s="133" t="e">
        <f t="shared" si="52"/>
        <v>#REF!</v>
      </c>
      <c r="BF212" s="133"/>
    </row>
    <row r="213" spans="2:58">
      <c r="B213" s="111" t="e">
        <f>'[1]Oil Production'!#REF!</f>
        <v>#REF!</v>
      </c>
      <c r="C213" s="66"/>
      <c r="D213" s="127">
        <f>'[1]Oil Production'!A174</f>
        <v>168</v>
      </c>
      <c r="E213" s="66">
        <f>'[1]Oil Production'!B174</f>
        <v>28.881444139035519</v>
      </c>
      <c r="F213" s="66">
        <f>'[1]Oil Production'!C174</f>
        <v>878.47725922899713</v>
      </c>
      <c r="G213" s="66">
        <f>'[1]Oil Production'!D174</f>
        <v>244529.31800254757</v>
      </c>
      <c r="H213" s="95"/>
      <c r="K213" s="109">
        <f>'Liquids Type Curve'!A190</f>
        <v>14.005224132120018</v>
      </c>
      <c r="L213" s="116">
        <f>'Liquids Type Curve'!B190</f>
        <v>168.06268958544021</v>
      </c>
      <c r="M213" s="65">
        <f>'Liquids Type Curve'!C190</f>
        <v>5.7417549324317809</v>
      </c>
      <c r="N213" s="65">
        <f>'Liquids Type Curve'!D190</f>
        <v>174.64504586146668</v>
      </c>
      <c r="O213" s="65">
        <f>'Liquids Type Curve'!E190</f>
        <v>111023.87994243889</v>
      </c>
      <c r="P213" s="250"/>
      <c r="S213" s="112">
        <f>'Gas Type Curve'!A197</f>
        <v>14.00000000000003</v>
      </c>
      <c r="T213" s="128">
        <f>'Gas Type Curve'!B197</f>
        <v>168.00000000000037</v>
      </c>
      <c r="U213" s="94">
        <f>'Gas Type Curve'!C197</f>
        <v>149.00444590571576</v>
      </c>
      <c r="V213" s="94">
        <f>'Gas Type Curve'!D197</f>
        <v>4532.2185629655214</v>
      </c>
      <c r="W213" s="94">
        <f>'Gas Type Curve'!E197</f>
        <v>2044240.8373163133</v>
      </c>
      <c r="X213" s="250"/>
      <c r="AK213" s="146">
        <f t="shared" si="53"/>
        <v>168</v>
      </c>
      <c r="AL213" s="146" t="e">
        <f>$B$213</f>
        <v>#REF!</v>
      </c>
      <c r="AM213" s="146">
        <f t="shared" si="54"/>
        <v>1808.4920655847175</v>
      </c>
      <c r="AN213" s="133">
        <f>'Price Deck'!E172*F213+N213*'Price Deck'!T172+(V213*'Price Deck'!K172/$AB$3)</f>
        <v>66030.207389654941</v>
      </c>
      <c r="AO213" s="133">
        <f t="shared" si="55"/>
        <v>36.511195512658333</v>
      </c>
      <c r="AP213" s="133" t="e">
        <f>'Production Costs '!$N$22*(1+'Production Costs '!$P$2)^(AL213)</f>
        <v>#REF!</v>
      </c>
      <c r="AQ213" s="133" t="e">
        <f>'Production Costs '!$N$23*(1+'Production Costs '!$P$2)^AL213</f>
        <v>#REF!</v>
      </c>
      <c r="AR213" s="162">
        <f>-'Oil Royalties'!W178</f>
        <v>-12.499250222658002</v>
      </c>
      <c r="AS213" s="162">
        <f>-'Butane Royalties'!AD178</f>
        <v>-6.2369168404951241</v>
      </c>
      <c r="AT213" s="162">
        <f>-'Propane Royalties'!AD178</f>
        <v>-5.4820604978469989</v>
      </c>
      <c r="AU213" s="162">
        <f>-'Ethane Royalties'!AH178</f>
        <v>-0.37411019732917111</v>
      </c>
      <c r="AV213" s="162">
        <f>-'Natural Gas Royalties'!AB178</f>
        <v>-0.1772930259597823</v>
      </c>
      <c r="AW213" s="133" t="e">
        <f>AN213+AM213*(AP213+AQ213)+(AR213*F213)+(AV213*(V213/$AB$3))+(AS213*'Butane Royalties'!K183)+(AT213*'Propane Royalties'!K183)+(AU213*'Ethane Royalties'!K183)</f>
        <v>#REF!</v>
      </c>
      <c r="AX213" s="133" t="e">
        <f t="shared" si="56"/>
        <v>#REF!</v>
      </c>
      <c r="AY213" s="133">
        <f t="shared" si="49"/>
        <v>1356.2099024830954</v>
      </c>
      <c r="AZ213" s="133">
        <f t="shared" si="51"/>
        <v>52762.570606671987</v>
      </c>
      <c r="BA213" s="133" t="e">
        <f t="shared" si="46"/>
        <v>#REF!</v>
      </c>
      <c r="BB213" s="133" t="e">
        <f t="shared" si="57"/>
        <v>#REF!</v>
      </c>
      <c r="BC213" s="133" t="e">
        <f t="shared" si="47"/>
        <v>#REF!</v>
      </c>
      <c r="BD213" s="133" t="e">
        <f t="shared" si="48"/>
        <v>#REF!</v>
      </c>
      <c r="BE213" s="133" t="e">
        <f t="shared" si="52"/>
        <v>#REF!</v>
      </c>
      <c r="BF213" s="133"/>
    </row>
    <row r="214" spans="2:58">
      <c r="B214" s="111" t="e">
        <f>'[1]Oil Production'!#REF!</f>
        <v>#REF!</v>
      </c>
      <c r="C214" s="66" t="e">
        <f>B213</f>
        <v>#REF!</v>
      </c>
      <c r="D214" s="127">
        <f>'[1]Oil Production'!A175</f>
        <v>169</v>
      </c>
      <c r="E214" s="66">
        <f>'[1]Oil Production'!B175</f>
        <v>28.810177654107079</v>
      </c>
      <c r="F214" s="66">
        <f>'[1]Oil Production'!C175</f>
        <v>876.30957031242372</v>
      </c>
      <c r="G214" s="66">
        <f>'[1]Oil Production'!D175</f>
        <v>245405.62757285999</v>
      </c>
      <c r="H214" s="95" t="e">
        <f>IF(C214&gt;0,((E214-E202)/(E202)),0)</f>
        <v>#REF!</v>
      </c>
      <c r="K214" s="109">
        <f>'Liquids Type Curve'!A191</f>
        <v>14.088557465453352</v>
      </c>
      <c r="L214" s="116">
        <f>'Liquids Type Curve'!B191</f>
        <v>169.06268958544024</v>
      </c>
      <c r="M214" s="65">
        <f>'Liquids Type Curve'!C191</f>
        <v>5.710092969216868</v>
      </c>
      <c r="N214" s="65">
        <f>'Liquids Type Curve'!D191</f>
        <v>173.68199448034642</v>
      </c>
      <c r="O214" s="65">
        <f>'Liquids Type Curve'!E191</f>
        <v>111197.56193691923</v>
      </c>
      <c r="P214" s="250" t="e">
        <f t="shared" ref="P214:P226" si="61">IF(C214&gt;0,((M214-M202)/M202))</f>
        <v>#REF!</v>
      </c>
      <c r="S214" s="112">
        <f>'Gas Type Curve'!A198</f>
        <v>14.083333333333364</v>
      </c>
      <c r="T214" s="128">
        <f>'Gas Type Curve'!B198</f>
        <v>169.00000000000037</v>
      </c>
      <c r="U214" s="94">
        <f>'Gas Type Curve'!C198</f>
        <v>148.3812175287095</v>
      </c>
      <c r="V214" s="94">
        <f>'Gas Type Curve'!D198</f>
        <v>4513.2620331649141</v>
      </c>
      <c r="W214" s="94">
        <f>'Gas Type Curve'!E198</f>
        <v>2048754.0993494783</v>
      </c>
      <c r="X214" s="250" t="e">
        <f t="shared" si="58"/>
        <v>#REF!</v>
      </c>
      <c r="AK214" s="146">
        <f t="shared" si="53"/>
        <v>169</v>
      </c>
      <c r="AL214" s="146" t="e">
        <f t="shared" ref="AL214:AL224" si="62">$B$213</f>
        <v>#REF!</v>
      </c>
      <c r="AM214" s="146">
        <f t="shared" si="54"/>
        <v>1802.2019036535889</v>
      </c>
      <c r="AN214" s="133">
        <f>'Price Deck'!E173*F214+N214*'Price Deck'!T173+(V214*'Price Deck'!K173/$AB$3)</f>
        <v>65842.664537837874</v>
      </c>
      <c r="AO214" s="133">
        <f t="shared" si="55"/>
        <v>36.534566079613825</v>
      </c>
      <c r="AP214" s="133" t="e">
        <f>'Production Costs '!$N$22*(1+'Production Costs '!$P$2)^(AL214)</f>
        <v>#REF!</v>
      </c>
      <c r="AQ214" s="133" t="e">
        <f>'Production Costs '!$N$23*(1+'Production Costs '!$P$2)^AL214</f>
        <v>#REF!</v>
      </c>
      <c r="AR214" s="162">
        <f>-'Oil Royalties'!W179</f>
        <v>-12.463971063749771</v>
      </c>
      <c r="AS214" s="162">
        <f>-'Butane Royalties'!AD179</f>
        <v>-6.2328800685881465</v>
      </c>
      <c r="AT214" s="162">
        <f>-'Propane Royalties'!AD179</f>
        <v>-5.4785756295014378</v>
      </c>
      <c r="AU214" s="162">
        <f>-'Ethane Royalties'!AH179</f>
        <v>-0.37403977926416804</v>
      </c>
      <c r="AV214" s="162">
        <f>-'Natural Gas Royalties'!AB179</f>
        <v>-0.1772930259597823</v>
      </c>
      <c r="AW214" s="133" t="e">
        <f>AN214+AM214*(AP214+AQ214)+(AR214*F214)+(AV214*(V214/$AB$3))+(AS214*'Butane Royalties'!K184)+(AT214*'Propane Royalties'!K184)+(AU214*'Ethane Royalties'!K184)</f>
        <v>#REF!</v>
      </c>
      <c r="AX214" s="133" t="e">
        <f t="shared" si="56"/>
        <v>#REF!</v>
      </c>
      <c r="AY214" s="133">
        <f t="shared" si="49"/>
        <v>1322.2234511571633</v>
      </c>
      <c r="AZ214" s="133">
        <f t="shared" si="51"/>
        <v>51440.347155514821</v>
      </c>
      <c r="BA214" s="133" t="e">
        <f t="shared" si="46"/>
        <v>#REF!</v>
      </c>
      <c r="BB214" s="133" t="e">
        <f t="shared" si="57"/>
        <v>#REF!</v>
      </c>
      <c r="BC214" s="133" t="e">
        <f t="shared" si="47"/>
        <v>#REF!</v>
      </c>
      <c r="BD214" s="133" t="e">
        <f t="shared" si="48"/>
        <v>#REF!</v>
      </c>
      <c r="BE214" s="133" t="e">
        <f t="shared" si="52"/>
        <v>#REF!</v>
      </c>
      <c r="BF214" s="133"/>
    </row>
    <row r="215" spans="2:58">
      <c r="B215" s="111" t="e">
        <f>'[1]Oil Production'!#REF!</f>
        <v>#REF!</v>
      </c>
      <c r="C215" s="66"/>
      <c r="D215" s="127">
        <f>'[1]Oil Production'!A176</f>
        <v>170</v>
      </c>
      <c r="E215" s="66">
        <f>'[1]Oil Production'!B176</f>
        <v>28.739505924338854</v>
      </c>
      <c r="F215" s="66">
        <f>'[1]Oil Production'!C176</f>
        <v>874.15997186530683</v>
      </c>
      <c r="G215" s="66">
        <f>'[1]Oil Production'!D176</f>
        <v>246279.78754472529</v>
      </c>
      <c r="H215" s="95"/>
      <c r="K215" s="109">
        <f>'Liquids Type Curve'!A192</f>
        <v>14.171890798786686</v>
      </c>
      <c r="L215" s="116">
        <f>'Liquids Type Curve'!B192</f>
        <v>170.06268958544024</v>
      </c>
      <c r="M215" s="65">
        <f>'Liquids Type Curve'!C192</f>
        <v>5.6787907893497112</v>
      </c>
      <c r="N215" s="65">
        <f>'Liquids Type Curve'!D192</f>
        <v>172.72988650938706</v>
      </c>
      <c r="O215" s="65">
        <f>'Liquids Type Curve'!E192</f>
        <v>111370.29182342862</v>
      </c>
      <c r="P215" s="250"/>
      <c r="S215" s="112">
        <f>'Gas Type Curve'!A199</f>
        <v>14.166666666666698</v>
      </c>
      <c r="T215" s="128">
        <f>'Gas Type Curve'!B199</f>
        <v>170.00000000000037</v>
      </c>
      <c r="U215" s="94">
        <f>'Gas Type Curve'!C199</f>
        <v>147.76424975979208</v>
      </c>
      <c r="V215" s="94">
        <f>'Gas Type Curve'!D199</f>
        <v>4494.495930193676</v>
      </c>
      <c r="W215" s="94">
        <f>'Gas Type Curve'!E199</f>
        <v>2053248.595279672</v>
      </c>
      <c r="X215" s="250"/>
      <c r="AK215" s="146">
        <f t="shared" si="53"/>
        <v>170</v>
      </c>
      <c r="AL215" s="146" t="e">
        <f t="shared" si="62"/>
        <v>#REF!</v>
      </c>
      <c r="AM215" s="146">
        <f t="shared" si="54"/>
        <v>1795.9725134069731</v>
      </c>
      <c r="AN215" s="133">
        <f>'Price Deck'!E174*F215+N215*'Price Deck'!T174+(V215*'Price Deck'!K174/$AB$3)</f>
        <v>65656.815195192627</v>
      </c>
      <c r="AO215" s="133">
        <f t="shared" si="55"/>
        <v>36.557806260988464</v>
      </c>
      <c r="AP215" s="133" t="e">
        <f>'Production Costs '!$N$22*(1+'Production Costs '!$P$2)^(AL215)</f>
        <v>#REF!</v>
      </c>
      <c r="AQ215" s="133" t="e">
        <f>'Production Costs '!$N$23*(1+'Production Costs '!$P$2)^AL215</f>
        <v>#REF!</v>
      </c>
      <c r="AR215" s="162">
        <f>-'Oil Royalties'!W180</f>
        <v>-12.428986327413801</v>
      </c>
      <c r="AS215" s="162">
        <f>-'Butane Royalties'!AD180</f>
        <v>-6.2288905573864408</v>
      </c>
      <c r="AT215" s="162">
        <f>-'Propane Royalties'!AD180</f>
        <v>-5.4751315604231054</v>
      </c>
      <c r="AU215" s="162">
        <f>-'Ethane Royalties'!AH180</f>
        <v>-0.37397018562211826</v>
      </c>
      <c r="AV215" s="162">
        <f>-'Natural Gas Royalties'!AB180</f>
        <v>-0.17729302595978233</v>
      </c>
      <c r="AW215" s="133" t="e">
        <f>AN215+AM215*(AP215+AQ215)+(AR215*F215)+(AV215*(V215/$AB$3))+(AS215*'Butane Royalties'!K185)+(AT215*'Propane Royalties'!K185)+(AU215*'Ethane Royalties'!K185)</f>
        <v>#REF!</v>
      </c>
      <c r="AX215" s="133" t="e">
        <f t="shared" si="56"/>
        <v>#REF!</v>
      </c>
      <c r="AY215" s="133">
        <f t="shared" si="49"/>
        <v>1289.0886960705927</v>
      </c>
      <c r="AZ215" s="133">
        <f t="shared" si="51"/>
        <v>50151.258459444231</v>
      </c>
      <c r="BA215" s="133" t="e">
        <f t="shared" si="46"/>
        <v>#REF!</v>
      </c>
      <c r="BB215" s="133" t="e">
        <f t="shared" si="57"/>
        <v>#REF!</v>
      </c>
      <c r="BC215" s="133" t="e">
        <f t="shared" si="47"/>
        <v>#REF!</v>
      </c>
      <c r="BD215" s="133" t="e">
        <f t="shared" si="48"/>
        <v>#REF!</v>
      </c>
      <c r="BE215" s="133" t="e">
        <f t="shared" si="52"/>
        <v>#REF!</v>
      </c>
      <c r="BF215" s="133"/>
    </row>
    <row r="216" spans="2:58">
      <c r="B216" s="111" t="e">
        <f>'[1]Oil Production'!#REF!</f>
        <v>#REF!</v>
      </c>
      <c r="C216" s="66"/>
      <c r="D216" s="127">
        <f>'[1]Oil Production'!A177</f>
        <v>171</v>
      </c>
      <c r="E216" s="66">
        <f>'[1]Oil Production'!B177</f>
        <v>28.669420531197012</v>
      </c>
      <c r="F216" s="66">
        <f>'[1]Oil Production'!C177</f>
        <v>872.02820782390916</v>
      </c>
      <c r="G216" s="66">
        <f>'[1]Oil Production'!D177</f>
        <v>247151.81575254918</v>
      </c>
      <c r="H216" s="95"/>
      <c r="K216" s="109">
        <f>'Liquids Type Curve'!A193</f>
        <v>14.25522413212002</v>
      </c>
      <c r="L216" s="116">
        <f>'Liquids Type Curve'!B193</f>
        <v>171.06268958544024</v>
      </c>
      <c r="M216" s="65">
        <f>'Liquids Type Curve'!C193</f>
        <v>5.6478422247751228</v>
      </c>
      <c r="N216" s="65">
        <f>'Liquids Type Curve'!D193</f>
        <v>171.78853433691</v>
      </c>
      <c r="O216" s="65">
        <f>'Liquids Type Curve'!E193</f>
        <v>111542.08035776553</v>
      </c>
      <c r="P216" s="250"/>
      <c r="S216" s="112">
        <f>'Gas Type Curve'!A200</f>
        <v>14.250000000000032</v>
      </c>
      <c r="T216" s="128">
        <f>'Gas Type Curve'!B200</f>
        <v>171.0000000000004</v>
      </c>
      <c r="U216" s="94">
        <f>'Gas Type Curve'!C200</f>
        <v>147.15344343306637</v>
      </c>
      <c r="V216" s="94">
        <f>'Gas Type Curve'!D200</f>
        <v>4475.9172377557688</v>
      </c>
      <c r="W216" s="94">
        <f>'Gas Type Curve'!E200</f>
        <v>2057724.5125174278</v>
      </c>
      <c r="X216" s="250"/>
      <c r="AK216" s="146">
        <f t="shared" si="53"/>
        <v>171</v>
      </c>
      <c r="AL216" s="146" t="e">
        <f t="shared" si="62"/>
        <v>#REF!</v>
      </c>
      <c r="AM216" s="146">
        <f t="shared" si="54"/>
        <v>1789.8029484534472</v>
      </c>
      <c r="AN216" s="133">
        <f>'Price Deck'!E175*F216+N216*'Price Deck'!T175+(V216*'Price Deck'!K175/$AB$3)</f>
        <v>65472.633970590367</v>
      </c>
      <c r="AO216" s="133">
        <f t="shared" si="55"/>
        <v>36.580917484332389</v>
      </c>
      <c r="AP216" s="133" t="e">
        <f>'Production Costs '!$N$22*(1+'Production Costs '!$P$2)^(AL216)</f>
        <v>#REF!</v>
      </c>
      <c r="AQ216" s="133" t="e">
        <f>'Production Costs '!$N$23*(1+'Production Costs '!$P$2)^AL216</f>
        <v>#REF!</v>
      </c>
      <c r="AR216" s="162">
        <f>-'Oil Royalties'!W181</f>
        <v>-12.394291846210198</v>
      </c>
      <c r="AS216" s="162">
        <f>-'Butane Royalties'!AD181</f>
        <v>-6.2249474722614462</v>
      </c>
      <c r="AT216" s="162">
        <f>-'Propane Royalties'!AD181</f>
        <v>-5.4717275700930603</v>
      </c>
      <c r="AU216" s="162">
        <f>-'Ethane Royalties'!AH181</f>
        <v>-0.3739014018436333</v>
      </c>
      <c r="AV216" s="162">
        <f>-'Natural Gas Royalties'!AB181</f>
        <v>-0.1772930259597823</v>
      </c>
      <c r="AW216" s="133" t="e">
        <f>AN216+AM216*(AP216+AQ216)+(AR216*F216)+(AV216*(V216/$AB$3))+(AS216*'Butane Royalties'!K186)+(AT216*'Propane Royalties'!K186)+(AU216*'Ethane Royalties'!K186)</f>
        <v>#REF!</v>
      </c>
      <c r="AX216" s="133" t="e">
        <f t="shared" si="56"/>
        <v>#REF!</v>
      </c>
      <c r="AY216" s="133">
        <f t="shared" si="49"/>
        <v>1256.7842938216506</v>
      </c>
      <c r="AZ216" s="133">
        <f t="shared" si="51"/>
        <v>48894.474165622581</v>
      </c>
      <c r="BA216" s="133" t="e">
        <f t="shared" si="46"/>
        <v>#REF!</v>
      </c>
      <c r="BB216" s="133" t="e">
        <f t="shared" si="57"/>
        <v>#REF!</v>
      </c>
      <c r="BC216" s="133" t="e">
        <f t="shared" si="47"/>
        <v>#REF!</v>
      </c>
      <c r="BD216" s="133" t="e">
        <f t="shared" si="48"/>
        <v>#REF!</v>
      </c>
      <c r="BE216" s="133" t="e">
        <f t="shared" si="52"/>
        <v>#REF!</v>
      </c>
      <c r="BF216" s="133"/>
    </row>
    <row r="217" spans="2:58">
      <c r="B217" s="111" t="e">
        <f>'[1]Oil Production'!#REF!</f>
        <v>#REF!</v>
      </c>
      <c r="C217" s="66"/>
      <c r="D217" s="127">
        <f>'[1]Oil Production'!A178</f>
        <v>172</v>
      </c>
      <c r="E217" s="66">
        <f>'[1]Oil Production'!B178</f>
        <v>28.599913223643664</v>
      </c>
      <c r="F217" s="66">
        <f>'[1]Oil Production'!C178</f>
        <v>869.91402721916154</v>
      </c>
      <c r="G217" s="66">
        <f>'[1]Oil Production'!D178</f>
        <v>248021.72977976836</v>
      </c>
      <c r="H217" s="95"/>
      <c r="K217" s="109">
        <f>'Liquids Type Curve'!A194</f>
        <v>14.338557465453354</v>
      </c>
      <c r="L217" s="116">
        <f>'Liquids Type Curve'!B194</f>
        <v>172.06268958544024</v>
      </c>
      <c r="M217" s="65">
        <f>'Liquids Type Curve'!C194</f>
        <v>5.6172412484219976</v>
      </c>
      <c r="N217" s="65">
        <f>'Liquids Type Curve'!D194</f>
        <v>170.85775463950245</v>
      </c>
      <c r="O217" s="65">
        <f>'Liquids Type Curve'!E194</f>
        <v>111712.93811240503</v>
      </c>
      <c r="P217" s="250"/>
      <c r="S217" s="112">
        <f>'Gas Type Curve'!A201</f>
        <v>14.333333333333366</v>
      </c>
      <c r="T217" s="128">
        <f>'Gas Type Curve'!B201</f>
        <v>172.0000000000004</v>
      </c>
      <c r="U217" s="94">
        <f>'Gas Type Curve'!C201</f>
        <v>146.54870152129109</v>
      </c>
      <c r="V217" s="94">
        <f>'Gas Type Curve'!D201</f>
        <v>4457.5230046059378</v>
      </c>
      <c r="W217" s="94">
        <f>'Gas Type Curve'!E201</f>
        <v>2062182.0355220337</v>
      </c>
      <c r="X217" s="250"/>
      <c r="AK217" s="146">
        <f t="shared" si="53"/>
        <v>172</v>
      </c>
      <c r="AL217" s="146" t="e">
        <f t="shared" si="62"/>
        <v>#REF!</v>
      </c>
      <c r="AM217" s="146">
        <f t="shared" si="54"/>
        <v>1783.6922826263203</v>
      </c>
      <c r="AN217" s="133">
        <f>'Price Deck'!E176*F217+N217*'Price Deck'!T176+(V217*'Price Deck'!K176/$AB$3)</f>
        <v>65290.096001961218</v>
      </c>
      <c r="AO217" s="133">
        <f t="shared" si="55"/>
        <v>36.603901153750378</v>
      </c>
      <c r="AP217" s="133" t="e">
        <f>'Production Costs '!$N$22*(1+'Production Costs '!$P$2)^(AL217)</f>
        <v>#REF!</v>
      </c>
      <c r="AQ217" s="133" t="e">
        <f>'Production Costs '!$N$23*(1+'Production Costs '!$P$2)^AL217</f>
        <v>#REF!</v>
      </c>
      <c r="AR217" s="162">
        <f>-'Oil Royalties'!W182</f>
        <v>-12.359883535614827</v>
      </c>
      <c r="AS217" s="162">
        <f>-'Butane Royalties'!AD182</f>
        <v>-6.2210499982329184</v>
      </c>
      <c r="AT217" s="162">
        <f>-'Propane Royalties'!AD182</f>
        <v>-5.4683629549543662</v>
      </c>
      <c r="AU217" s="162">
        <f>-'Ethane Royalties'!AH182</f>
        <v>-0.37383341371207363</v>
      </c>
      <c r="AV217" s="162">
        <f>-'Natural Gas Royalties'!AB182</f>
        <v>-0.17729302595978233</v>
      </c>
      <c r="AW217" s="133" t="e">
        <f>AN217+AM217*(AP217+AQ217)+(AR217*F217)+(AV217*(V217/$AB$3))+(AS217*'Butane Royalties'!K187)+(AT217*'Propane Royalties'!K187)+(AU217*'Ethane Royalties'!K187)</f>
        <v>#REF!</v>
      </c>
      <c r="AX217" s="133" t="e">
        <f t="shared" si="56"/>
        <v>#REF!</v>
      </c>
      <c r="AY217" s="133">
        <f t="shared" si="49"/>
        <v>1225.2894358715937</v>
      </c>
      <c r="AZ217" s="133">
        <f t="shared" si="51"/>
        <v>47669.184729750988</v>
      </c>
      <c r="BA217" s="133" t="e">
        <f t="shared" si="46"/>
        <v>#REF!</v>
      </c>
      <c r="BB217" s="133" t="e">
        <f t="shared" si="57"/>
        <v>#REF!</v>
      </c>
      <c r="BC217" s="133" t="e">
        <f t="shared" si="47"/>
        <v>#REF!</v>
      </c>
      <c r="BD217" s="133" t="e">
        <f t="shared" si="48"/>
        <v>#REF!</v>
      </c>
      <c r="BE217" s="133" t="e">
        <f t="shared" ref="BE217:BE225" si="63">BD217/(1+$AC$3)^AL217</f>
        <v>#REF!</v>
      </c>
      <c r="BF217" s="133"/>
    </row>
    <row r="218" spans="2:58">
      <c r="B218" s="111" t="e">
        <f>'[1]Oil Production'!#REF!</f>
        <v>#REF!</v>
      </c>
      <c r="C218" s="66"/>
      <c r="D218" s="127">
        <f>'[1]Oil Production'!A179</f>
        <v>173</v>
      </c>
      <c r="E218" s="66">
        <f>'[1]Oil Production'!B179</f>
        <v>28.530975913853705</v>
      </c>
      <c r="F218" s="66">
        <f>'[1]Oil Production'!C179</f>
        <v>867.81718404638355</v>
      </c>
      <c r="G218" s="66">
        <f>'[1]Oil Production'!D179</f>
        <v>248889.54696381473</v>
      </c>
      <c r="H218" s="95"/>
      <c r="K218" s="109">
        <f>'Liquids Type Curve'!A195</f>
        <v>14.421890798786688</v>
      </c>
      <c r="L218" s="116">
        <f>'Liquids Type Curve'!B195</f>
        <v>173.06268958544024</v>
      </c>
      <c r="M218" s="65">
        <f>'Liquids Type Curve'!C195</f>
        <v>5.5869819701846577</v>
      </c>
      <c r="N218" s="65">
        <f>'Liquids Type Curve'!D195</f>
        <v>169.93736825978334</v>
      </c>
      <c r="O218" s="65">
        <f>'Liquids Type Curve'!E195</f>
        <v>111882.87548066481</v>
      </c>
      <c r="P218" s="250"/>
      <c r="S218" s="112">
        <f>'Gas Type Curve'!A202</f>
        <v>14.4166666666667</v>
      </c>
      <c r="T218" s="128">
        <f>'Gas Type Curve'!B202</f>
        <v>173.0000000000004</v>
      </c>
      <c r="U218" s="94">
        <f>'Gas Type Curve'!C202</f>
        <v>145.94992907765214</v>
      </c>
      <c r="V218" s="94">
        <f>'Gas Type Curve'!D202</f>
        <v>4439.3103427785863</v>
      </c>
      <c r="W218" s="94">
        <f>'Gas Type Curve'!E202</f>
        <v>2066621.3458648124</v>
      </c>
      <c r="X218" s="250"/>
      <c r="AK218" s="146">
        <f t="shared" si="53"/>
        <v>173</v>
      </c>
      <c r="AL218" s="146" t="e">
        <f t="shared" si="62"/>
        <v>#REF!</v>
      </c>
      <c r="AM218" s="146">
        <f t="shared" si="54"/>
        <v>1777.6396094359313</v>
      </c>
      <c r="AN218" s="133">
        <f>'Price Deck'!E177*F218+N218*'Price Deck'!T177+(V218*'Price Deck'!K177/$AB$3)</f>
        <v>65109.176942228631</v>
      </c>
      <c r="AO218" s="133">
        <f t="shared" si="55"/>
        <v>36.626758650415447</v>
      </c>
      <c r="AP218" s="133" t="e">
        <f>'Production Costs '!$N$22*(1+'Production Costs '!$P$2)^(AL218)</f>
        <v>#REF!</v>
      </c>
      <c r="AQ218" s="133" t="e">
        <f>'Production Costs '!$N$23*(1+'Production Costs '!$P$2)^AL218</f>
        <v>#REF!</v>
      </c>
      <c r="AR218" s="162">
        <f>-'Oil Royalties'!W183</f>
        <v>-12.325757391899053</v>
      </c>
      <c r="AS218" s="162">
        <f>-'Butane Royalties'!AD183</f>
        <v>-6.2171973393921718</v>
      </c>
      <c r="AT218" s="162">
        <f>-'Propane Royalties'!AD183</f>
        <v>-5.4650370279142049</v>
      </c>
      <c r="AU218" s="162">
        <f>-'Ethane Royalties'!AH183</f>
        <v>-0.37376620734348681</v>
      </c>
      <c r="AV218" s="162">
        <f>-'Natural Gas Royalties'!AB183</f>
        <v>-0.1772930259597823</v>
      </c>
      <c r="AW218" s="133" t="e">
        <f>AN218+AM218*(AP218+AQ218)+(AR218*F218)+(AV218*(V218/$AB$3))+(AS218*'Butane Royalties'!K188)+(AT218*'Propane Royalties'!K188)+(AU218*'Ethane Royalties'!K188)</f>
        <v>#REF!</v>
      </c>
      <c r="AX218" s="133" t="e">
        <f t="shared" si="56"/>
        <v>#REF!</v>
      </c>
      <c r="AY218" s="133">
        <f t="shared" si="49"/>
        <v>1194.5838351410696</v>
      </c>
      <c r="AZ218" s="133">
        <f t="shared" si="51"/>
        <v>46474.600894609917</v>
      </c>
      <c r="BA218" s="133" t="e">
        <f t="shared" si="46"/>
        <v>#REF!</v>
      </c>
      <c r="BB218" s="133" t="e">
        <f t="shared" si="57"/>
        <v>#REF!</v>
      </c>
      <c r="BC218" s="133" t="e">
        <f t="shared" si="47"/>
        <v>#REF!</v>
      </c>
      <c r="BD218" s="133" t="e">
        <f t="shared" si="48"/>
        <v>#REF!</v>
      </c>
      <c r="BE218" s="133" t="e">
        <f t="shared" si="63"/>
        <v>#REF!</v>
      </c>
      <c r="BF218" s="133"/>
    </row>
    <row r="219" spans="2:58">
      <c r="B219" s="111" t="e">
        <f>'[1]Oil Production'!#REF!</f>
        <v>#REF!</v>
      </c>
      <c r="C219" s="66"/>
      <c r="D219" s="127">
        <f>'[1]Oil Production'!A180</f>
        <v>174</v>
      </c>
      <c r="E219" s="66">
        <f>'[1]Oil Production'!B180</f>
        <v>28.462600673065388</v>
      </c>
      <c r="F219" s="66">
        <f>'[1]Oil Production'!C180</f>
        <v>865.73743713907231</v>
      </c>
      <c r="G219" s="66">
        <f>'[1]Oil Production'!D180</f>
        <v>249755.28440095379</v>
      </c>
      <c r="H219" s="95"/>
      <c r="K219" s="109">
        <f>'Liquids Type Curve'!A196</f>
        <v>14.505224132120022</v>
      </c>
      <c r="L219" s="116">
        <f>'Liquids Type Curve'!B196</f>
        <v>174.06268958544027</v>
      </c>
      <c r="M219" s="65">
        <f>'Liquids Type Curve'!C196</f>
        <v>5.5570586330411542</v>
      </c>
      <c r="N219" s="65">
        <f>'Liquids Type Curve'!D196</f>
        <v>169.02720008833512</v>
      </c>
      <c r="O219" s="65">
        <f>'Liquids Type Curve'!E196</f>
        <v>112051.90268075315</v>
      </c>
      <c r="P219" s="250"/>
      <c r="S219" s="112">
        <f>'Gas Type Curve'!A203</f>
        <v>14.500000000000034</v>
      </c>
      <c r="T219" s="128">
        <f>'Gas Type Curve'!B203</f>
        <v>174.0000000000004</v>
      </c>
      <c r="U219" s="94">
        <f>'Gas Type Curve'!C203</f>
        <v>145.3570331794443</v>
      </c>
      <c r="V219" s="94">
        <f>'Gas Type Curve'!D203</f>
        <v>4421.2764258747648</v>
      </c>
      <c r="W219" s="94">
        <f>'Gas Type Curve'!E203</f>
        <v>2071042.6222906872</v>
      </c>
      <c r="X219" s="250"/>
      <c r="AK219" s="146">
        <f t="shared" si="53"/>
        <v>174</v>
      </c>
      <c r="AL219" s="146" t="e">
        <f t="shared" si="62"/>
        <v>#REF!</v>
      </c>
      <c r="AM219" s="146">
        <f t="shared" si="54"/>
        <v>1771.6440415398683</v>
      </c>
      <c r="AN219" s="133">
        <f>'Price Deck'!E178*F219+N219*'Price Deck'!T178+(V219*'Price Deck'!K178/$AB$3)</f>
        <v>64929.852945697734</v>
      </c>
      <c r="AO219" s="133">
        <f t="shared" si="55"/>
        <v>36.649491333068433</v>
      </c>
      <c r="AP219" s="133" t="e">
        <f>'Production Costs '!$N$22*(1+'Production Costs '!$P$2)^(AL219)</f>
        <v>#REF!</v>
      </c>
      <c r="AQ219" s="133" t="e">
        <f>'Production Costs '!$N$23*(1+'Production Costs '!$P$2)^AL219</f>
        <v>#REF!</v>
      </c>
      <c r="AR219" s="162">
        <f>-'Oil Royalties'!W184</f>
        <v>-12.291909490075618</v>
      </c>
      <c r="AS219" s="162">
        <f>-'Butane Royalties'!AD184</f>
        <v>-6.2133887183455982</v>
      </c>
      <c r="AT219" s="162">
        <f>-'Propane Royalties'!AD184</f>
        <v>-5.4617491178634783</v>
      </c>
      <c r="AU219" s="162">
        <f>-'Ethane Royalties'!AH184</f>
        <v>-0.37369976917689979</v>
      </c>
      <c r="AV219" s="162">
        <f>-'Natural Gas Royalties'!AB184</f>
        <v>-0.17729302595978233</v>
      </c>
      <c r="AW219" s="133" t="e">
        <f>AN219+AM219*(AP219+AQ219)+(AR219*F219)+(AV219*(V219/$AB$3))+(AS219*'Butane Royalties'!K189)+(AT219*'Propane Royalties'!K189)+(AU219*'Ethane Royalties'!K189)</f>
        <v>#REF!</v>
      </c>
      <c r="AX219" s="133" t="e">
        <f t="shared" si="56"/>
        <v>#REF!</v>
      </c>
      <c r="AY219" s="133">
        <f t="shared" si="49"/>
        <v>1164.647712942409</v>
      </c>
      <c r="AZ219" s="133">
        <f t="shared" si="51"/>
        <v>45309.953181667508</v>
      </c>
      <c r="BA219" s="133" t="e">
        <f t="shared" si="46"/>
        <v>#REF!</v>
      </c>
      <c r="BB219" s="133" t="e">
        <f t="shared" si="57"/>
        <v>#REF!</v>
      </c>
      <c r="BC219" s="133" t="e">
        <f t="shared" si="47"/>
        <v>#REF!</v>
      </c>
      <c r="BD219" s="133" t="e">
        <f t="shared" si="48"/>
        <v>#REF!</v>
      </c>
      <c r="BE219" s="133" t="e">
        <f t="shared" si="63"/>
        <v>#REF!</v>
      </c>
      <c r="BF219" s="133"/>
    </row>
    <row r="220" spans="2:58">
      <c r="B220" s="111" t="e">
        <f>'[1]Oil Production'!#REF!</f>
        <v>#REF!</v>
      </c>
      <c r="C220" s="66"/>
      <c r="D220" s="127">
        <f>'[1]Oil Production'!A181</f>
        <v>175</v>
      </c>
      <c r="E220" s="66">
        <f>'[1]Oil Production'!B181</f>
        <v>28.394779727559428</v>
      </c>
      <c r="F220" s="66">
        <f>'[1]Oil Production'!C181</f>
        <v>863.67455004659928</v>
      </c>
      <c r="G220" s="66">
        <f>'[1]Oil Production'!D181</f>
        <v>250618.95895100039</v>
      </c>
      <c r="H220" s="95"/>
      <c r="K220" s="109">
        <f>'Liquids Type Curve'!A197</f>
        <v>14.588557465453356</v>
      </c>
      <c r="L220" s="116">
        <f>'Liquids Type Curve'!B197</f>
        <v>175.06268958544027</v>
      </c>
      <c r="M220" s="65">
        <f>'Liquids Type Curve'!C197</f>
        <v>5.5274656093031451</v>
      </c>
      <c r="N220" s="65">
        <f>'Liquids Type Curve'!D197</f>
        <v>168.12707894963734</v>
      </c>
      <c r="O220" s="65">
        <f>'Liquids Type Curve'!E197</f>
        <v>112220.02975970278</v>
      </c>
      <c r="P220" s="250"/>
      <c r="S220" s="112">
        <f>'Gas Type Curve'!A204</f>
        <v>14.583333333333368</v>
      </c>
      <c r="T220" s="128">
        <f>'Gas Type Curve'!B204</f>
        <v>175.0000000000004</v>
      </c>
      <c r="U220" s="94">
        <f>'Gas Type Curve'!C204</f>
        <v>144.76992287359118</v>
      </c>
      <c r="V220" s="94">
        <f>'Gas Type Curve'!D204</f>
        <v>4403.4184874050652</v>
      </c>
      <c r="W220" s="94">
        <f>'Gas Type Curve'!E204</f>
        <v>2075446.0407780923</v>
      </c>
      <c r="X220" s="250"/>
      <c r="AK220" s="146">
        <f t="shared" si="53"/>
        <v>175</v>
      </c>
      <c r="AL220" s="146" t="e">
        <f t="shared" si="62"/>
        <v>#REF!</v>
      </c>
      <c r="AM220" s="146">
        <f t="shared" si="54"/>
        <v>1765.7047102304141</v>
      </c>
      <c r="AN220" s="133">
        <f>'Price Deck'!E179*F220+N220*'Price Deck'!T179+(V220*'Price Deck'!K179/$AB$3)</f>
        <v>64752.10065487989</v>
      </c>
      <c r="AO220" s="133">
        <f t="shared" si="55"/>
        <v>36.67210053850404</v>
      </c>
      <c r="AP220" s="133" t="e">
        <f>'Production Costs '!$N$22*(1+'Production Costs '!$P$2)^(AL220)</f>
        <v>#REF!</v>
      </c>
      <c r="AQ220" s="133" t="e">
        <f>'Production Costs '!$N$23*(1+'Production Costs '!$P$2)^AL220</f>
        <v>#REF!</v>
      </c>
      <c r="AR220" s="162">
        <f>-'Oil Royalties'!W185</f>
        <v>-12.258335981908155</v>
      </c>
      <c r="AS220" s="162">
        <f>-'Butane Royalties'!AD185</f>
        <v>-6.2096233756776025</v>
      </c>
      <c r="AT220" s="162">
        <f>-'Propane Royalties'!AD185</f>
        <v>-5.45849856921315</v>
      </c>
      <c r="AU220" s="162">
        <f>-'Ethane Royalties'!AH185</f>
        <v>-0.37363408596495157</v>
      </c>
      <c r="AV220" s="162">
        <f>-'Natural Gas Royalties'!AB185</f>
        <v>-0.17729302595978236</v>
      </c>
      <c r="AW220" s="133" t="e">
        <f>AN220+AM220*(AP220+AQ220)+(AR220*F220)+(AV220*(V220/$AB$3))+(AS220*'Butane Royalties'!K190)+(AT220*'Propane Royalties'!K190)+(AU220*'Ethane Royalties'!K190)</f>
        <v>#REF!</v>
      </c>
      <c r="AX220" s="133" t="e">
        <f t="shared" si="56"/>
        <v>#REF!</v>
      </c>
      <c r="AY220" s="133">
        <f t="shared" si="49"/>
        <v>1135.4617862393936</v>
      </c>
      <c r="AZ220" s="133">
        <f t="shared" si="51"/>
        <v>44174.491395428115</v>
      </c>
      <c r="BA220" s="133" t="e">
        <f t="shared" si="46"/>
        <v>#REF!</v>
      </c>
      <c r="BB220" s="133" t="e">
        <f t="shared" si="57"/>
        <v>#REF!</v>
      </c>
      <c r="BC220" s="133" t="e">
        <f t="shared" si="47"/>
        <v>#REF!</v>
      </c>
      <c r="BD220" s="133" t="e">
        <f t="shared" si="48"/>
        <v>#REF!</v>
      </c>
      <c r="BE220" s="133" t="e">
        <f t="shared" si="63"/>
        <v>#REF!</v>
      </c>
      <c r="BF220" s="133"/>
    </row>
    <row r="221" spans="2:58">
      <c r="B221" s="111" t="e">
        <f>'[1]Oil Production'!#REF!</f>
        <v>#REF!</v>
      </c>
      <c r="C221" s="66"/>
      <c r="D221" s="127">
        <f>'[1]Oil Production'!A182</f>
        <v>176</v>
      </c>
      <c r="E221" s="66">
        <f>'[1]Oil Production'!B182</f>
        <v>28.327505454762129</v>
      </c>
      <c r="F221" s="66">
        <f>'[1]Oil Production'!C182</f>
        <v>861.62829091568142</v>
      </c>
      <c r="G221" s="66">
        <f>'[1]Oil Production'!D182</f>
        <v>251480.58724191607</v>
      </c>
      <c r="H221" s="95"/>
      <c r="K221" s="109">
        <f>'Liquids Type Curve'!A198</f>
        <v>14.67189079878669</v>
      </c>
      <c r="L221" s="116">
        <f>'Liquids Type Curve'!B198</f>
        <v>176.06268958544027</v>
      </c>
      <c r="M221" s="65">
        <f>'Liquids Type Curve'!C198</f>
        <v>5.4981973969921292</v>
      </c>
      <c r="N221" s="65">
        <f>'Liquids Type Curve'!D198</f>
        <v>167.23683749184394</v>
      </c>
      <c r="O221" s="65">
        <f>'Liquids Type Curve'!E198</f>
        <v>112387.26659719463</v>
      </c>
      <c r="P221" s="250"/>
      <c r="S221" s="112">
        <f>'Gas Type Curve'!A205</f>
        <v>14.666666666666702</v>
      </c>
      <c r="T221" s="128">
        <f>'Gas Type Curve'!B205</f>
        <v>176.00000000000043</v>
      </c>
      <c r="U221" s="94">
        <f>'Gas Type Curve'!C205</f>
        <v>144.18850912393353</v>
      </c>
      <c r="V221" s="94">
        <f>'Gas Type Curve'!D205</f>
        <v>4385.7338191863118</v>
      </c>
      <c r="W221" s="94">
        <f>'Gas Type Curve'!E205</f>
        <v>2079831.7745972786</v>
      </c>
      <c r="X221" s="250"/>
      <c r="AK221" s="146">
        <f t="shared" si="53"/>
        <v>176</v>
      </c>
      <c r="AL221" s="146" t="e">
        <f t="shared" si="62"/>
        <v>#REF!</v>
      </c>
      <c r="AM221" s="146">
        <f t="shared" si="54"/>
        <v>1759.8207649385772</v>
      </c>
      <c r="AN221" s="133">
        <f>'Price Deck'!E180*F221+N221*'Price Deck'!T180+(V221*'Price Deck'!K180/$AB$3)</f>
        <v>64575.897187737624</v>
      </c>
      <c r="AO221" s="133">
        <f t="shared" si="55"/>
        <v>36.694587582043624</v>
      </c>
      <c r="AP221" s="133" t="e">
        <f>'Production Costs '!$N$22*(1+'Production Costs '!$P$2)^(AL221)</f>
        <v>#REF!</v>
      </c>
      <c r="AQ221" s="133" t="e">
        <f>'Production Costs '!$N$23*(1+'Production Costs '!$P$2)^AL221</f>
        <v>#REF!</v>
      </c>
      <c r="AR221" s="162">
        <f>-'Oil Royalties'!W186</f>
        <v>-12.225033093982153</v>
      </c>
      <c r="AS221" s="162">
        <f>-'Butane Royalties'!AD186</f>
        <v>-6.2059005694321403</v>
      </c>
      <c r="AT221" s="162">
        <f>-'Propane Royalties'!AD186</f>
        <v>-5.4552847414467012</v>
      </c>
      <c r="AU221" s="162">
        <f>-'Ethane Royalties'!AH186</f>
        <v>-0.37356914476484721</v>
      </c>
      <c r="AV221" s="162">
        <f>-'Natural Gas Royalties'!AB186</f>
        <v>-0.1772930259597823</v>
      </c>
      <c r="AW221" s="133" t="e">
        <f>AN221+AM221*(AP221+AQ221)+(AR221*F221)+(AV221*(V221/$AB$3))+(AS221*'Butane Royalties'!K191)+(AT221*'Propane Royalties'!K191)+(AU221*'Ethane Royalties'!K191)</f>
        <v>#REF!</v>
      </c>
      <c r="AX221" s="133" t="e">
        <f t="shared" si="56"/>
        <v>#REF!</v>
      </c>
      <c r="AY221" s="133">
        <f t="shared" si="49"/>
        <v>1107.0072552262916</v>
      </c>
      <c r="AZ221" s="133">
        <f t="shared" si="51"/>
        <v>43067.484140201821</v>
      </c>
      <c r="BA221" s="133" t="e">
        <f t="shared" si="46"/>
        <v>#REF!</v>
      </c>
      <c r="BB221" s="133" t="e">
        <f t="shared" si="57"/>
        <v>#REF!</v>
      </c>
      <c r="BC221" s="133" t="e">
        <f t="shared" si="47"/>
        <v>#REF!</v>
      </c>
      <c r="BD221" s="133" t="e">
        <f t="shared" si="48"/>
        <v>#REF!</v>
      </c>
      <c r="BE221" s="133" t="e">
        <f t="shared" si="63"/>
        <v>#REF!</v>
      </c>
      <c r="BF221" s="133"/>
    </row>
    <row r="222" spans="2:58">
      <c r="B222" s="111" t="e">
        <f>'[1]Oil Production'!#REF!</f>
        <v>#REF!</v>
      </c>
      <c r="C222" s="66"/>
      <c r="D222" s="127">
        <f>'[1]Oil Production'!A183</f>
        <v>177</v>
      </c>
      <c r="E222" s="66">
        <f>'[1]Oil Production'!B183</f>
        <v>28.26077037946785</v>
      </c>
      <c r="F222" s="66">
        <f>'[1]Oil Production'!C183</f>
        <v>859.59843237548046</v>
      </c>
      <c r="G222" s="66">
        <f>'[1]Oil Production'!D183</f>
        <v>252340.18567429154</v>
      </c>
      <c r="H222" s="95"/>
      <c r="K222" s="109">
        <f>'Liquids Type Curve'!A199</f>
        <v>14.755224132120023</v>
      </c>
      <c r="L222" s="116">
        <f>'Liquids Type Curve'!B199</f>
        <v>177.0626895854403</v>
      </c>
      <c r="M222" s="65">
        <f>'Liquids Type Curve'!C199</f>
        <v>5.4692486163371408</v>
      </c>
      <c r="N222" s="65">
        <f>'Liquids Type Curve'!D199</f>
        <v>166.3563120802547</v>
      </c>
      <c r="O222" s="65">
        <f>'Liquids Type Curve'!E199</f>
        <v>112553.62290927488</v>
      </c>
      <c r="P222" s="250"/>
      <c r="S222" s="112">
        <f>'Gas Type Curve'!A206</f>
        <v>14.750000000000036</v>
      </c>
      <c r="T222" s="128">
        <f>'Gas Type Curve'!B206</f>
        <v>177.00000000000043</v>
      </c>
      <c r="U222" s="94">
        <f>'Gas Type Curve'!C206</f>
        <v>143.61270476021744</v>
      </c>
      <c r="V222" s="94">
        <f>'Gas Type Curve'!D206</f>
        <v>4368.2197697899473</v>
      </c>
      <c r="W222" s="94">
        <f>'Gas Type Curve'!E206</f>
        <v>2084199.9943670684</v>
      </c>
      <c r="X222" s="250"/>
      <c r="AK222" s="146">
        <f t="shared" si="53"/>
        <v>177</v>
      </c>
      <c r="AL222" s="146" t="e">
        <f t="shared" si="62"/>
        <v>#REF!</v>
      </c>
      <c r="AM222" s="146">
        <f t="shared" si="54"/>
        <v>1753.9913727540597</v>
      </c>
      <c r="AN222" s="133">
        <f>'Price Deck'!E181*F222+N222*'Price Deck'!T181+(V222*'Price Deck'!K181/$AB$3)</f>
        <v>64401.220125333464</v>
      </c>
      <c r="AO222" s="133">
        <f t="shared" si="55"/>
        <v>36.716953757995277</v>
      </c>
      <c r="AP222" s="133" t="e">
        <f>'Production Costs '!$N$22*(1+'Production Costs '!$P$2)^(AL222)</f>
        <v>#REF!</v>
      </c>
      <c r="AQ222" s="133" t="e">
        <f>'Production Costs '!$N$23*(1+'Production Costs '!$P$2)^AL222</f>
        <v>#REF!</v>
      </c>
      <c r="AR222" s="162">
        <f>-'Oil Royalties'!W187</f>
        <v>-12.191997125834947</v>
      </c>
      <c r="AS222" s="162">
        <f>-'Butane Royalties'!AD187</f>
        <v>-6.2022195746121707</v>
      </c>
      <c r="AT222" s="162">
        <f>-'Propane Royalties'!AD187</f>
        <v>-5.4521070086879764</v>
      </c>
      <c r="AU222" s="162">
        <f>-'Ethane Royalties'!AH187</f>
        <v>-0.37350493292962816</v>
      </c>
      <c r="AV222" s="162">
        <f>-'Natural Gas Royalties'!AB187</f>
        <v>-0.17729302595978233</v>
      </c>
      <c r="AW222" s="133" t="e">
        <f>AN222+AM222*(AP222+AQ222)+(AR222*F222)+(AV222*(V222/$AB$3))+(AS222*'Butane Royalties'!K192)+(AT222*'Propane Royalties'!K192)+(AU222*'Ethane Royalties'!K192)</f>
        <v>#REF!</v>
      </c>
      <c r="AX222" s="133" t="e">
        <f t="shared" si="56"/>
        <v>#REF!</v>
      </c>
      <c r="AY222" s="133">
        <f t="shared" si="49"/>
        <v>1079.2657912181633</v>
      </c>
      <c r="AZ222" s="133">
        <f t="shared" si="51"/>
        <v>41988.218348983661</v>
      </c>
      <c r="BA222" s="133" t="e">
        <f t="shared" si="46"/>
        <v>#REF!</v>
      </c>
      <c r="BB222" s="133" t="e">
        <f t="shared" si="57"/>
        <v>#REF!</v>
      </c>
      <c r="BC222" s="133" t="e">
        <f t="shared" si="47"/>
        <v>#REF!</v>
      </c>
      <c r="BD222" s="133" t="e">
        <f t="shared" si="48"/>
        <v>#REF!</v>
      </c>
      <c r="BE222" s="133" t="e">
        <f t="shared" si="63"/>
        <v>#REF!</v>
      </c>
      <c r="BF222" s="133"/>
    </row>
    <row r="223" spans="2:58">
      <c r="B223" s="111" t="e">
        <f>'[1]Oil Production'!#REF!</f>
        <v>#REF!</v>
      </c>
      <c r="C223" s="66"/>
      <c r="D223" s="127">
        <f>'[1]Oil Production'!A184</f>
        <v>178</v>
      </c>
      <c r="E223" s="66">
        <f>'[1]Oil Production'!B184</f>
        <v>28.194567170176747</v>
      </c>
      <c r="F223" s="66">
        <f>'[1]Oil Production'!C184</f>
        <v>857.58475142620944</v>
      </c>
      <c r="G223" s="66">
        <f>'[1]Oil Production'!D184</f>
        <v>253197.77042571775</v>
      </c>
      <c r="H223" s="95"/>
      <c r="K223" s="109">
        <f>'Liquids Type Curve'!A200</f>
        <v>14.838557465453357</v>
      </c>
      <c r="L223" s="116">
        <f>'Liquids Type Curve'!B200</f>
        <v>178.0626895854403</v>
      </c>
      <c r="M223" s="65">
        <f>'Liquids Type Curve'!C200</f>
        <v>5.4406140063891186</v>
      </c>
      <c r="N223" s="65">
        <f>'Liquids Type Curve'!D200</f>
        <v>165.48534269433569</v>
      </c>
      <c r="O223" s="65">
        <f>'Liquids Type Curve'!E200</f>
        <v>112719.10825196921</v>
      </c>
      <c r="P223" s="250"/>
      <c r="S223" s="112">
        <f>'Gas Type Curve'!A207</f>
        <v>14.833333333333369</v>
      </c>
      <c r="T223" s="128">
        <f>'Gas Type Curve'!B207</f>
        <v>178.00000000000043</v>
      </c>
      <c r="U223" s="94">
        <f>'Gas Type Curve'!C207</f>
        <v>143.04242442871964</v>
      </c>
      <c r="V223" s="94">
        <f>'Gas Type Curve'!D207</f>
        <v>4350.8737430402225</v>
      </c>
      <c r="W223" s="94">
        <f>'Gas Type Curve'!E207</f>
        <v>2088550.8681101087</v>
      </c>
      <c r="X223" s="250"/>
      <c r="AK223" s="146">
        <f t="shared" si="53"/>
        <v>178</v>
      </c>
      <c r="AL223" s="146" t="e">
        <f t="shared" si="62"/>
        <v>#REF!</v>
      </c>
      <c r="AM223" s="146">
        <f t="shared" si="54"/>
        <v>1748.2157179605822</v>
      </c>
      <c r="AN223" s="133">
        <f>'Price Deck'!E182*F223+N223*'Price Deck'!T182+(V223*'Price Deck'!K182/$AB$3)</f>
        <v>64228.04749986859</v>
      </c>
      <c r="AO223" s="133">
        <f t="shared" si="55"/>
        <v>36.739200340101718</v>
      </c>
      <c r="AP223" s="133" t="e">
        <f>'Production Costs '!$N$22*(1+'Production Costs '!$P$2)^(AL223)</f>
        <v>#REF!</v>
      </c>
      <c r="AQ223" s="133" t="e">
        <f>'Production Costs '!$N$23*(1+'Production Costs '!$P$2)^AL223</f>
        <v>#REF!</v>
      </c>
      <c r="AR223" s="162">
        <f>-'Oil Royalties'!W188</f>
        <v>-12.159224448142748</v>
      </c>
      <c r="AS223" s="162">
        <f>-'Butane Royalties'!AD188</f>
        <v>-6.1985796826962236</v>
      </c>
      <c r="AT223" s="162">
        <f>-'Propane Royalties'!AD188</f>
        <v>-5.4489647592838892</v>
      </c>
      <c r="AU223" s="162">
        <f>-'Ethane Royalties'!AH188</f>
        <v>-0.37344143809973768</v>
      </c>
      <c r="AV223" s="162">
        <f>-'Natural Gas Royalties'!AB188</f>
        <v>-0.17729302595978233</v>
      </c>
      <c r="AW223" s="133" t="e">
        <f>AN223+AM223*(AP223+AQ223)+(AR223*F223)+(AV223*(V223/$AB$3))+(AS223*'Butane Royalties'!K193)+(AT223*'Propane Royalties'!K193)+(AU223*'Ethane Royalties'!K193)</f>
        <v>#REF!</v>
      </c>
      <c r="AX223" s="133" t="e">
        <f t="shared" si="56"/>
        <v>#REF!</v>
      </c>
      <c r="AY223" s="133">
        <f t="shared" si="49"/>
        <v>1052.2195248446312</v>
      </c>
      <c r="AZ223" s="133">
        <f t="shared" si="51"/>
        <v>40935.998824139031</v>
      </c>
      <c r="BA223" s="133" t="e">
        <f t="shared" si="46"/>
        <v>#REF!</v>
      </c>
      <c r="BB223" s="133" t="e">
        <f t="shared" si="57"/>
        <v>#REF!</v>
      </c>
      <c r="BC223" s="133" t="e">
        <f t="shared" si="47"/>
        <v>#REF!</v>
      </c>
      <c r="BD223" s="133" t="e">
        <f t="shared" si="48"/>
        <v>#REF!</v>
      </c>
      <c r="BE223" s="133" t="e">
        <f t="shared" si="63"/>
        <v>#REF!</v>
      </c>
      <c r="BF223" s="133"/>
    </row>
    <row r="224" spans="2:58">
      <c r="B224" s="111" t="e">
        <f>'[1]Oil Production'!#REF!</f>
        <v>#REF!</v>
      </c>
      <c r="C224" s="66"/>
      <c r="D224" s="127">
        <f>'[1]Oil Production'!A185</f>
        <v>179</v>
      </c>
      <c r="E224" s="66">
        <f>'[1]Oil Production'!B185</f>
        <v>28.128888635543369</v>
      </c>
      <c r="F224" s="66">
        <f>'[1]Oil Production'!C185</f>
        <v>855.58702933111078</v>
      </c>
      <c r="G224" s="66">
        <f>'[1]Oil Production'!D185</f>
        <v>254053.35745504886</v>
      </c>
      <c r="H224" s="95"/>
      <c r="K224" s="109">
        <f>'Liquids Type Curve'!A201</f>
        <v>14.921890798786691</v>
      </c>
      <c r="L224" s="116">
        <f>'Liquids Type Curve'!B201</f>
        <v>179.0626895854403</v>
      </c>
      <c r="M224" s="65">
        <f>'Liquids Type Curve'!C201</f>
        <v>5.4122884217474665</v>
      </c>
      <c r="N224" s="65">
        <f>'Liquids Type Curve'!D201</f>
        <v>164.62377282815211</v>
      </c>
      <c r="O224" s="65">
        <f>'Liquids Type Curve'!E201</f>
        <v>112883.73202479737</v>
      </c>
      <c r="P224" s="250"/>
      <c r="S224" s="112">
        <f>'Gas Type Curve'!A208</f>
        <v>14.916666666666703</v>
      </c>
      <c r="T224" s="128">
        <f>'Gas Type Curve'!B208</f>
        <v>179.00000000000045</v>
      </c>
      <c r="U224" s="94">
        <f>'Gas Type Curve'!C208</f>
        <v>142.47758454444815</v>
      </c>
      <c r="V224" s="94">
        <f>'Gas Type Curve'!D208</f>
        <v>4333.693196560298</v>
      </c>
      <c r="W224" s="94">
        <f>'Gas Type Curve'!E208</f>
        <v>2092884.5613066689</v>
      </c>
      <c r="X224" s="250"/>
      <c r="AK224" s="146">
        <f t="shared" si="53"/>
        <v>179</v>
      </c>
      <c r="AL224" s="146" t="e">
        <f t="shared" si="62"/>
        <v>#REF!</v>
      </c>
      <c r="AM224" s="146">
        <f t="shared" si="54"/>
        <v>1742.4930015859793</v>
      </c>
      <c r="AN224" s="133">
        <f>'Price Deck'!E183*F224+N224*'Price Deck'!T183+(V224*'Price Deck'!K183/$AB$3)</f>
        <v>65030.334941520341</v>
      </c>
      <c r="AO224" s="133">
        <f t="shared" si="55"/>
        <v>37.320284719841709</v>
      </c>
      <c r="AP224" s="133" t="e">
        <f>'Production Costs '!$N$22*(1+'Production Costs '!$P$2)^(AL224)</f>
        <v>#REF!</v>
      </c>
      <c r="AQ224" s="133" t="e">
        <f>'Production Costs '!$N$23*(1+'Production Costs '!$P$2)^AL224</f>
        <v>#REF!</v>
      </c>
      <c r="AR224" s="162">
        <f>-'Oil Royalties'!W189</f>
        <v>-12.523350869143602</v>
      </c>
      <c r="AS224" s="162">
        <f>-'Butane Royalties'!AD189</f>
        <v>-6.5302949960673509</v>
      </c>
      <c r="AT224" s="162">
        <f>-'Propane Royalties'!AD189</f>
        <v>-5.6588152134893415</v>
      </c>
      <c r="AU224" s="162">
        <f>-'Ethane Royalties'!AH189</f>
        <v>-0.41455439002651512</v>
      </c>
      <c r="AV224" s="162">
        <f>-'Natural Gas Royalties'!AB189</f>
        <v>-0.1808614698961627</v>
      </c>
      <c r="AW224" s="133" t="e">
        <f>AN224+AM224*(AP224+AQ224)+(AR224*F224)+(AV224*(V224/$AB$3))+(AS224*'Butane Royalties'!K194)+(AT224*'Propane Royalties'!K194)+(AU224*'Ethane Royalties'!K194)</f>
        <v>#REF!</v>
      </c>
      <c r="AX224" s="133" t="e">
        <f t="shared" si="56"/>
        <v>#REF!</v>
      </c>
      <c r="AY224" s="133">
        <f t="shared" si="49"/>
        <v>1025.8510345395155</v>
      </c>
      <c r="AZ224" s="133">
        <f t="shared" si="51"/>
        <v>39910.147789599512</v>
      </c>
      <c r="BA224" s="133" t="e">
        <f t="shared" si="46"/>
        <v>#REF!</v>
      </c>
      <c r="BB224" s="133" t="e">
        <f t="shared" si="57"/>
        <v>#REF!</v>
      </c>
      <c r="BC224" s="133" t="e">
        <f t="shared" si="47"/>
        <v>#REF!</v>
      </c>
      <c r="BD224" s="133" t="e">
        <f t="shared" si="48"/>
        <v>#REF!</v>
      </c>
      <c r="BE224" s="133" t="e">
        <f t="shared" si="63"/>
        <v>#REF!</v>
      </c>
      <c r="BF224" s="133"/>
    </row>
    <row r="225" spans="2:58">
      <c r="B225" s="111" t="e">
        <f>'[1]Oil Production'!#REF!</f>
        <v>#REF!</v>
      </c>
      <c r="C225" s="66"/>
      <c r="D225" s="127">
        <f>'[1]Oil Production'!A186</f>
        <v>180</v>
      </c>
      <c r="E225" s="66">
        <f>'[1]Oil Production'!B186</f>
        <v>28.063727720932427</v>
      </c>
      <c r="F225" s="66">
        <f>'[1]Oil Production'!C186</f>
        <v>853.60505151169468</v>
      </c>
      <c r="G225" s="66">
        <f>'[1]Oil Production'!D186</f>
        <v>254906.96250656055</v>
      </c>
      <c r="H225" s="239"/>
      <c r="I225" s="33"/>
      <c r="J225" s="33"/>
      <c r="K225" s="111">
        <f>'Liquids Type Curve'!A202</f>
        <v>15.005224132120025</v>
      </c>
      <c r="L225" s="127">
        <f>'Liquids Type Curve'!B202</f>
        <v>180.0626895854403</v>
      </c>
      <c r="M225" s="66">
        <f>'Liquids Type Curve'!C202</f>
        <v>5.384266829394468</v>
      </c>
      <c r="N225" s="66">
        <f>'Liquids Type Curve'!D202</f>
        <v>163.77144939408174</v>
      </c>
      <c r="O225" s="66">
        <f>'Liquids Type Curve'!E202</f>
        <v>113047.50347419146</v>
      </c>
      <c r="P225" s="250"/>
      <c r="Q225" s="33"/>
      <c r="R225" s="33"/>
      <c r="S225" s="274">
        <f>'Gas Type Curve'!A209</f>
        <v>15.000000000000037</v>
      </c>
      <c r="T225" s="275">
        <f>'Gas Type Curve'!B209</f>
        <v>180.00000000000045</v>
      </c>
      <c r="U225" s="276">
        <f>'Gas Type Curve'!C209</f>
        <v>141.91810324485934</v>
      </c>
      <c r="V225" s="276">
        <f>'Gas Type Curve'!D209</f>
        <v>4316.6756403644713</v>
      </c>
      <c r="W225" s="276">
        <f>'Gas Type Curve'!E209</f>
        <v>2097201.2369470336</v>
      </c>
      <c r="X225" s="250"/>
      <c r="AK225" s="146">
        <f t="shared" si="53"/>
        <v>180</v>
      </c>
      <c r="AL225" s="146" t="e">
        <f t="shared" ref="AL225:AL249" si="64">B225</f>
        <v>#REF!</v>
      </c>
      <c r="AM225" s="146">
        <f t="shared" si="54"/>
        <v>1736.8224409665218</v>
      </c>
      <c r="AN225" s="174">
        <f>'Price Deck'!E184*F225+N225*'Price Deck'!T184+(V225*'Price Deck'!K184/$AB$3)</f>
        <v>64857.502048949944</v>
      </c>
      <c r="AO225" s="133">
        <f t="shared" si="55"/>
        <v>37.3426209376115</v>
      </c>
      <c r="AP225" s="133" t="e">
        <f>'Production Costs '!$N$22*(1+'Production Costs '!$P$2)^(AL225)</f>
        <v>#REF!</v>
      </c>
      <c r="AQ225" s="133" t="e">
        <f>'Production Costs '!$N$23*(1+'Production Costs '!$P$2)^AL225</f>
        <v>#REF!</v>
      </c>
      <c r="AR225" s="162">
        <f>-'Oil Royalties'!W190</f>
        <v>-12.490610309574461</v>
      </c>
      <c r="AS225" s="162">
        <f>-'Butane Royalties'!AD190</f>
        <v>-6.5266818517572753</v>
      </c>
      <c r="AT225" s="162">
        <f>-'Propane Royalties'!AD190</f>
        <v>-5.655696054784241</v>
      </c>
      <c r="AU225" s="162">
        <f>-'Ethane Royalties'!AH190</f>
        <v>-0.41449136178594176</v>
      </c>
      <c r="AV225" s="162">
        <f>-'Natural Gas Royalties'!AB190</f>
        <v>-0.18086146989616267</v>
      </c>
      <c r="AW225" s="133" t="e">
        <f>AN225+AM225*(AP225+AQ225)+(AR225*F225)+(AV225*(V225/$AB$3))+(AS225*'Butane Royalties'!K195)+(AT225*'Propane Royalties'!K195)+(AU225*'Ethane Royalties'!K195)</f>
        <v>#REF!</v>
      </c>
      <c r="AX225" s="133" t="e">
        <f t="shared" si="56"/>
        <v>#REF!</v>
      </c>
      <c r="AY225" s="133">
        <f t="shared" si="49"/>
        <v>1000.1433353189154</v>
      </c>
      <c r="AZ225" s="133">
        <f t="shared" si="51"/>
        <v>38910.004454280599</v>
      </c>
      <c r="BA225" s="133" t="e">
        <f t="shared" si="46"/>
        <v>#REF!</v>
      </c>
      <c r="BB225" s="133" t="e">
        <f t="shared" si="57"/>
        <v>#REF!</v>
      </c>
      <c r="BC225" s="133" t="e">
        <f t="shared" si="47"/>
        <v>#REF!</v>
      </c>
      <c r="BD225" s="133" t="e">
        <f t="shared" si="48"/>
        <v>#REF!</v>
      </c>
      <c r="BE225" s="133" t="e">
        <f t="shared" si="63"/>
        <v>#REF!</v>
      </c>
      <c r="BF225" s="133"/>
    </row>
    <row r="226" spans="2:58">
      <c r="B226" s="111" t="e">
        <f>'[1]Oil Production'!#REF!</f>
        <v>#REF!</v>
      </c>
      <c r="C226" s="66" t="e">
        <f>B225</f>
        <v>#REF!</v>
      </c>
      <c r="D226" s="127">
        <f>'[1]Oil Production'!A187</f>
        <v>181</v>
      </c>
      <c r="E226" s="66">
        <f>'[1]Oil Production'!B187</f>
        <v>27.999077505077693</v>
      </c>
      <c r="F226" s="66">
        <f>'[1]Oil Production'!C187</f>
        <v>851.63860744611316</v>
      </c>
      <c r="G226" s="66">
        <f>'[1]Oil Production'!D187</f>
        <v>255758.60111400665</v>
      </c>
      <c r="H226" s="239" t="e">
        <f>IF(C226&gt;0,((E226-E214)/(E214)),0)</f>
        <v>#REF!</v>
      </c>
      <c r="I226" s="33"/>
      <c r="J226" s="33"/>
      <c r="K226" s="111">
        <f>'Liquids Type Curve'!A203</f>
        <v>15.088557465453359</v>
      </c>
      <c r="L226" s="127">
        <f>'Liquids Type Curve'!B203</f>
        <v>181.0626895854403</v>
      </c>
      <c r="M226" s="66">
        <f>'Liquids Type Curve'!C203</f>
        <v>5.3565443056334558</v>
      </c>
      <c r="N226" s="66">
        <f>'Liquids Type Curve'!D203</f>
        <v>162.92822262968429</v>
      </c>
      <c r="O226" s="66">
        <f>'Liquids Type Curve'!E203</f>
        <v>113210.43169682114</v>
      </c>
      <c r="P226" s="277" t="e">
        <f t="shared" si="61"/>
        <v>#REF!</v>
      </c>
      <c r="Q226" s="33"/>
      <c r="R226" s="33"/>
      <c r="S226" s="274">
        <f>'Gas Type Curve'!A210</f>
        <v>15.083333333333371</v>
      </c>
      <c r="T226" s="275">
        <f>'Gas Type Curve'!B210</f>
        <v>181.00000000000045</v>
      </c>
      <c r="U226" s="276">
        <f>'Gas Type Curve'!C210</f>
        <v>141.36390034503543</v>
      </c>
      <c r="V226" s="276">
        <f>'Gas Type Curve'!D210</f>
        <v>4299.8186354948275</v>
      </c>
      <c r="W226" s="276">
        <f>'Gas Type Curve'!E210</f>
        <v>2101501.0555825285</v>
      </c>
      <c r="X226" s="250" t="e">
        <f t="shared" si="58"/>
        <v>#REF!</v>
      </c>
      <c r="AK226" s="146">
        <f t="shared" si="53"/>
        <v>181</v>
      </c>
      <c r="AL226" s="145"/>
      <c r="AM226" s="146">
        <f t="shared" si="54"/>
        <v>1731.2032693249353</v>
      </c>
      <c r="AN226" s="174">
        <f>'Price Deck'!E185*F226+N226*'Price Deck'!T185+(V226*'Price Deck'!K185/$AB$3)</f>
        <v>64686.132386069694</v>
      </c>
      <c r="AO226" s="133">
        <f t="shared" si="55"/>
        <v>37.364839549600305</v>
      </c>
      <c r="AP226" s="133">
        <f>'Production Costs '!$N$22*(1+'Production Costs '!$P$2)^(AL226)</f>
        <v>-6.5424999999999995</v>
      </c>
      <c r="AQ226" s="133">
        <f>'Production Costs '!$N$23*(1+'Production Costs '!$P$2)^AL226</f>
        <v>-1.1487500000000002</v>
      </c>
      <c r="AR226" s="162">
        <f>-'Oil Royalties'!W191</f>
        <v>-12.45812635418514</v>
      </c>
      <c r="AS226" s="162">
        <f>-'Butane Royalties'!AD191</f>
        <v>-6.5231083651235968</v>
      </c>
      <c r="AT226" s="162">
        <f>-'Propane Royalties'!AD191</f>
        <v>-5.6526111317962853</v>
      </c>
      <c r="AU226" s="162">
        <f>-'Ethane Royalties'!AH191</f>
        <v>-0.41442902533992615</v>
      </c>
      <c r="AV226" s="162">
        <f>-'Natural Gas Royalties'!AB191</f>
        <v>-0.18086146989616267</v>
      </c>
      <c r="AW226" s="133">
        <f>AN226+AM226*(AP226+AQ226)+(AR226*F226)+(AV226*(V226/$AB$3))+(AS226*'Butane Royalties'!K196)+(AT226*'Propane Royalties'!K196)+(AU226*'Ethane Royalties'!K196)</f>
        <v>40053.508474270166</v>
      </c>
      <c r="AX226" s="133">
        <f t="shared" si="56"/>
        <v>23.136225066100192</v>
      </c>
      <c r="AY226" s="133">
        <f t="shared" ref="AY226:AY285" si="65">AZ225*$AD$3/12</f>
        <v>975.07986784051354</v>
      </c>
      <c r="AZ226" s="133">
        <f t="shared" ref="AZ226:AZ285" si="66">AZ225-AY226</f>
        <v>37934.924586440087</v>
      </c>
      <c r="BA226" s="133">
        <f t="shared" ref="BA226:BA285" si="67">AW226-AY226</f>
        <v>39078.428606429654</v>
      </c>
      <c r="BB226" s="133">
        <f t="shared" ref="BB226:BB285" si="68">AW226</f>
        <v>40053.508474270166</v>
      </c>
      <c r="BC226" s="133">
        <f t="shared" ref="BC226:BC285" si="69">BA226*$AD$3</f>
        <v>11751.606673521328</v>
      </c>
      <c r="BD226" s="133">
        <f t="shared" ref="BD226:BD285" si="70">BB226-BC226</f>
        <v>28301.901800748838</v>
      </c>
      <c r="BE226" s="133">
        <f t="shared" ref="BE226:BE285" si="71">BD226/(1+$AC$3)^AL226</f>
        <v>28301.901800748838</v>
      </c>
    </row>
    <row r="227" spans="2:58">
      <c r="B227" s="111" t="e">
        <f>'[1]Oil Production'!#REF!</f>
        <v>#REF!</v>
      </c>
      <c r="C227" s="66"/>
      <c r="D227" s="127">
        <f>'[1]Oil Production'!A188</f>
        <v>182</v>
      </c>
      <c r="E227" s="66">
        <f>'[1]Oil Production'!B188</f>
        <v>27.934931196840523</v>
      </c>
      <c r="F227" s="66">
        <f>'[1]Oil Production'!C188</f>
        <v>849.68749057056596</v>
      </c>
      <c r="G227" s="66">
        <f>'[1]Oil Production'!D188</f>
        <v>256608.28860457722</v>
      </c>
      <c r="H227" s="95"/>
      <c r="K227" s="109">
        <f>'Liquids Type Curve'!A204</f>
        <v>15.171890798786693</v>
      </c>
      <c r="L227" s="116">
        <f>'Liquids Type Curve'!B204</f>
        <v>182.06268958544032</v>
      </c>
      <c r="M227" s="65">
        <f>'Liquids Type Curve'!C204</f>
        <v>5.3291160331267351</v>
      </c>
      <c r="N227" s="65">
        <f>'Liquids Type Curve'!D204</f>
        <v>162.09394600760487</v>
      </c>
      <c r="O227" s="65">
        <f>'Liquids Type Curve'!E204</f>
        <v>113372.52564282874</v>
      </c>
      <c r="S227" s="112">
        <f>'Gas Type Curve'!A211</f>
        <v>15.166666666666705</v>
      </c>
      <c r="T227" s="128">
        <f>'Gas Type Curve'!B211</f>
        <v>182.00000000000045</v>
      </c>
      <c r="U227" s="94">
        <f>'Gas Type Curve'!C211</f>
        <v>140.81489729426818</v>
      </c>
      <c r="V227" s="94">
        <f>'Gas Type Curve'!D211</f>
        <v>4283.1197927006569</v>
      </c>
      <c r="W227" s="94">
        <f>'Gas Type Curve'!E211</f>
        <v>2105784.1753752292</v>
      </c>
      <c r="AK227" s="146">
        <f t="shared" si="53"/>
        <v>182</v>
      </c>
      <c r="AL227" s="145"/>
      <c r="AM227" s="146">
        <f t="shared" si="54"/>
        <v>1725.6347353616136</v>
      </c>
      <c r="AN227" s="133">
        <f>'Price Deck'!E186*F227+N227*'Price Deck'!T186+(V227*'Price Deck'!K186/$AB$3)</f>
        <v>64516.205365940179</v>
      </c>
      <c r="AO227" s="133">
        <f t="shared" si="55"/>
        <v>37.386941769238639</v>
      </c>
      <c r="AP227" s="133">
        <f>'Production Costs '!$N$22*(1+'Production Costs '!$P$2)^(AL227)</f>
        <v>-6.5424999999999995</v>
      </c>
      <c r="AQ227" s="133">
        <f>'Production Costs '!$N$23*(1+'Production Costs '!$P$2)^AL227</f>
        <v>-1.1487500000000002</v>
      </c>
      <c r="AR227" s="162">
        <f>-'Oil Royalties'!W192</f>
        <v>-12.425895590720277</v>
      </c>
      <c r="AS227" s="162">
        <f>-'Butane Royalties'!AD192</f>
        <v>-6.519573879326094</v>
      </c>
      <c r="AT227" s="162">
        <f>-'Propane Royalties'!AD192</f>
        <v>-5.64955987748779</v>
      </c>
      <c r="AU227" s="162">
        <f>-'Ethane Royalties'!AH192</f>
        <v>-0.41436736923044687</v>
      </c>
      <c r="AV227" s="162">
        <f>-'Natural Gas Royalties'!AB192</f>
        <v>-0.18086146989616267</v>
      </c>
      <c r="AW227" s="133">
        <f>AN227+AM227*(AP227+AQ227)+(AR227*F227)+(AV227*(V227/$AB$3))+(AS227*'Butane Royalties'!K197)+(AT227*'Propane Royalties'!K197)+(AU227*'Ethane Royalties'!K197)</f>
        <v>39981.866558935668</v>
      </c>
      <c r="AX227" s="133">
        <f t="shared" si="56"/>
        <v>23.169368198048765</v>
      </c>
      <c r="AY227" s="133">
        <f t="shared" si="65"/>
        <v>950.64448773704828</v>
      </c>
      <c r="AZ227" s="133">
        <f t="shared" si="66"/>
        <v>36984.280098703042</v>
      </c>
      <c r="BA227" s="133">
        <f t="shared" si="67"/>
        <v>39031.222071198623</v>
      </c>
      <c r="BB227" s="133">
        <f t="shared" si="68"/>
        <v>39981.866558935668</v>
      </c>
      <c r="BC227" s="133">
        <f t="shared" si="69"/>
        <v>11737.410794765765</v>
      </c>
      <c r="BD227" s="133">
        <f t="shared" si="70"/>
        <v>28244.455764169903</v>
      </c>
      <c r="BE227" s="133">
        <f t="shared" si="71"/>
        <v>28244.455764169903</v>
      </c>
    </row>
    <row r="228" spans="2:58">
      <c r="B228" s="111" t="e">
        <f>'[1]Oil Production'!#REF!</f>
        <v>#REF!</v>
      </c>
      <c r="C228" s="66"/>
      <c r="D228" s="127">
        <f>'[1]Oil Production'!A189</f>
        <v>183</v>
      </c>
      <c r="E228" s="66">
        <f>'[1]Oil Production'!B189</f>
        <v>27.87128213206449</v>
      </c>
      <c r="F228" s="66">
        <f>'[1]Oil Production'!C189</f>
        <v>847.75149818362831</v>
      </c>
      <c r="G228" s="66">
        <f>'[1]Oil Production'!D189</f>
        <v>257456.04010276083</v>
      </c>
      <c r="H228" s="95"/>
      <c r="K228" s="109">
        <f>'Liquids Type Curve'!A205</f>
        <v>15.255224132120027</v>
      </c>
      <c r="L228" s="116">
        <f>'Liquids Type Curve'!B205</f>
        <v>183.06268958544032</v>
      </c>
      <c r="M228" s="65">
        <f>'Liquids Type Curve'!C205</f>
        <v>5.3019772980295237</v>
      </c>
      <c r="N228" s="65">
        <f>'Liquids Type Curve'!D205</f>
        <v>161.26847614839801</v>
      </c>
      <c r="O228" s="65">
        <f>'Liquids Type Curve'!E205</f>
        <v>113533.79411897714</v>
      </c>
      <c r="S228" s="112">
        <f>'Gas Type Curve'!A212</f>
        <v>15.250000000000039</v>
      </c>
      <c r="T228" s="128">
        <f>'Gas Type Curve'!B212</f>
        <v>183.00000000000045</v>
      </c>
      <c r="U228" s="94">
        <f>'Gas Type Curve'!C212</f>
        <v>140.27101713399799</v>
      </c>
      <c r="V228" s="94">
        <f>'Gas Type Curve'!D212</f>
        <v>4266.5767711591052</v>
      </c>
      <c r="W228" s="94">
        <f>'Gas Type Curve'!E212</f>
        <v>2110050.7521463884</v>
      </c>
      <c r="AK228" s="146">
        <f t="shared" si="53"/>
        <v>183</v>
      </c>
      <c r="AL228" s="145"/>
      <c r="AM228" s="146">
        <f t="shared" si="54"/>
        <v>1720.1161028585439</v>
      </c>
      <c r="AN228" s="133">
        <f>'Price Deck'!E187*F228+N228*'Price Deck'!T187+(V228*'Price Deck'!K187/$AB$3)</f>
        <v>64347.700804405758</v>
      </c>
      <c r="AO228" s="133">
        <f t="shared" si="55"/>
        <v>37.408928791184906</v>
      </c>
      <c r="AP228" s="133">
        <f>'Production Costs '!$N$22*(1+'Production Costs '!$P$2)^(AL228)</f>
        <v>-6.5424999999999995</v>
      </c>
      <c r="AQ228" s="133">
        <f>'Production Costs '!$N$23*(1+'Production Costs '!$P$2)^AL228</f>
        <v>-1.1487500000000002</v>
      </c>
      <c r="AR228" s="162">
        <f>-'Oil Royalties'!W193</f>
        <v>-12.393914670727645</v>
      </c>
      <c r="AS228" s="162">
        <f>-'Butane Royalties'!AD193</f>
        <v>-6.5160777520320021</v>
      </c>
      <c r="AT228" s="162">
        <f>-'Propane Royalties'!AD193</f>
        <v>-5.6465417373451245</v>
      </c>
      <c r="AU228" s="162">
        <f>-'Ethane Royalties'!AH193</f>
        <v>-0.41430638225255301</v>
      </c>
      <c r="AV228" s="162">
        <f>-'Natural Gas Royalties'!AB193</f>
        <v>-0.18086146989616267</v>
      </c>
      <c r="AW228" s="133">
        <f>AN228+AM228*(AP228+AQ228)+(AR228*F228)+(AV228*(V228/$AB$3))+(AS228*'Butane Royalties'!K198)+(AT228*'Propane Royalties'!K198)+(AU228*'Ethane Royalties'!K198)</f>
        <v>39910.696047171383</v>
      </c>
      <c r="AX228" s="133">
        <f t="shared" si="56"/>
        <v>23.20232685505735</v>
      </c>
      <c r="AY228" s="133">
        <f t="shared" si="65"/>
        <v>926.82145521709253</v>
      </c>
      <c r="AZ228" s="133">
        <f t="shared" si="66"/>
        <v>36057.458643485952</v>
      </c>
      <c r="BA228" s="133">
        <f t="shared" si="67"/>
        <v>38983.874591954293</v>
      </c>
      <c r="BB228" s="133">
        <f t="shared" si="68"/>
        <v>39910.696047171383</v>
      </c>
      <c r="BC228" s="133">
        <f t="shared" si="69"/>
        <v>11723.17253153707</v>
      </c>
      <c r="BD228" s="133">
        <f t="shared" si="70"/>
        <v>28187.523515634311</v>
      </c>
      <c r="BE228" s="133">
        <f t="shared" si="71"/>
        <v>28187.523515634311</v>
      </c>
    </row>
    <row r="229" spans="2:58">
      <c r="B229" s="111" t="e">
        <f>'[1]Oil Production'!#REF!</f>
        <v>#REF!</v>
      </c>
      <c r="C229" s="66"/>
      <c r="D229" s="127">
        <f>'[1]Oil Production'!A190</f>
        <v>184</v>
      </c>
      <c r="E229" s="66">
        <f>'[1]Oil Production'!B190</f>
        <v>27.808123770522734</v>
      </c>
      <c r="F229" s="66">
        <f>'[1]Oil Production'!C190</f>
        <v>845.83043135339983</v>
      </c>
      <c r="G229" s="66">
        <f>'[1]Oil Production'!D190</f>
        <v>258301.87053411422</v>
      </c>
      <c r="H229" s="239"/>
      <c r="K229" s="109">
        <f>'Liquids Type Curve'!A206</f>
        <v>15.338557465453361</v>
      </c>
      <c r="L229" s="116">
        <f>'Liquids Type Curve'!B206</f>
        <v>184.06268958544032</v>
      </c>
      <c r="M229" s="65">
        <f>'Liquids Type Curve'!C206</f>
        <v>5.2751234872163</v>
      </c>
      <c r="N229" s="65">
        <f>'Liquids Type Curve'!D206</f>
        <v>160.45167273616246</v>
      </c>
      <c r="O229" s="65">
        <f>'Liquids Type Curve'!E206</f>
        <v>113694.2457917133</v>
      </c>
      <c r="S229" s="112">
        <f>'Gas Type Curve'!A213</f>
        <v>15.333333333333373</v>
      </c>
      <c r="T229" s="128">
        <f>'Gas Type Curve'!B213</f>
        <v>184.00000000000048</v>
      </c>
      <c r="U229" s="94">
        <f>'Gas Type Curve'!C213</f>
        <v>139.73218445705777</v>
      </c>
      <c r="V229" s="94">
        <f>'Gas Type Curve'!D213</f>
        <v>4250.1872772355073</v>
      </c>
      <c r="W229" s="94">
        <f>'Gas Type Curve'!E213</f>
        <v>2114300.939423624</v>
      </c>
      <c r="AK229" s="146">
        <f t="shared" si="53"/>
        <v>184</v>
      </c>
      <c r="AL229" s="145"/>
      <c r="AM229" s="146">
        <f t="shared" si="54"/>
        <v>1714.6466502954802</v>
      </c>
      <c r="AN229" s="133">
        <f>'Price Deck'!E188*F229+N229*'Price Deck'!T188+(V229*'Price Deck'!K188/$AB$3)</f>
        <v>64180.59891003451</v>
      </c>
      <c r="AO229" s="133">
        <f t="shared" si="55"/>
        <v>37.430801791712859</v>
      </c>
      <c r="AP229" s="133">
        <f>'Production Costs '!$N$22*(1+'Production Costs '!$P$2)^(AL229)</f>
        <v>-6.5424999999999995</v>
      </c>
      <c r="AQ229" s="133">
        <f>'Production Costs '!$N$23*(1+'Production Costs '!$P$2)^AL229</f>
        <v>-1.1487500000000002</v>
      </c>
      <c r="AR229" s="162">
        <f>-'Oil Royalties'!W194</f>
        <v>-12.362180308024273</v>
      </c>
      <c r="AS229" s="162">
        <f>-'Butane Royalties'!AD194</f>
        <v>-6.512619355016418</v>
      </c>
      <c r="AT229" s="162">
        <f>-'Propane Royalties'!AD194</f>
        <v>-5.643556169033678</v>
      </c>
      <c r="AU229" s="162">
        <f>-'Ethane Royalties'!AH194</f>
        <v>-0.41424605344739329</v>
      </c>
      <c r="AV229" s="162">
        <f>-'Natural Gas Royalties'!AB194</f>
        <v>-0.18086146989616267</v>
      </c>
      <c r="AW229" s="133">
        <f>AN229+AM229*(AP229+AQ229)+(AR229*F229)+(AV229*(V229/$AB$3))+(AS229*'Butane Royalties'!K199)+(AT229*'Propane Royalties'!K199)+(AU229*'Ethane Royalties'!K199)</f>
        <v>39839.991554688502</v>
      </c>
      <c r="AX229" s="133">
        <f t="shared" si="56"/>
        <v>23.23510301543644</v>
      </c>
      <c r="AY229" s="133">
        <f t="shared" si="65"/>
        <v>903.59542492643266</v>
      </c>
      <c r="AZ229" s="133">
        <f t="shared" si="66"/>
        <v>35153.86321855952</v>
      </c>
      <c r="BA229" s="133">
        <f t="shared" si="67"/>
        <v>38936.39612976207</v>
      </c>
      <c r="BB229" s="133">
        <f t="shared" si="68"/>
        <v>39839.991554688502</v>
      </c>
      <c r="BC229" s="133">
        <f t="shared" si="69"/>
        <v>11708.894879311953</v>
      </c>
      <c r="BD229" s="133">
        <f t="shared" si="70"/>
        <v>28131.09667537655</v>
      </c>
      <c r="BE229" s="133">
        <f t="shared" si="71"/>
        <v>28131.09667537655</v>
      </c>
    </row>
    <row r="230" spans="2:58">
      <c r="B230" s="111" t="e">
        <f>'[1]Oil Production'!#REF!</f>
        <v>#REF!</v>
      </c>
      <c r="C230" s="66"/>
      <c r="D230" s="127">
        <f>'[1]Oil Production'!A191</f>
        <v>185</v>
      </c>
      <c r="E230" s="66">
        <f>'[1]Oil Production'!B191</f>
        <v>27.745449692954871</v>
      </c>
      <c r="F230" s="66">
        <f>'[1]Oil Production'!C191</f>
        <v>843.92409482737742</v>
      </c>
      <c r="G230" s="66">
        <f>'[1]Oil Production'!D191</f>
        <v>259145.7946289416</v>
      </c>
      <c r="H230" s="239"/>
      <c r="K230" s="109">
        <f>'Liquids Type Curve'!A207</f>
        <v>15.421890798786695</v>
      </c>
      <c r="L230" s="116">
        <f>'Liquids Type Curve'!B207</f>
        <v>185.06268958544035</v>
      </c>
      <c r="M230" s="65">
        <f>'Liquids Type Curve'!C207</f>
        <v>5.2485500855959932</v>
      </c>
      <c r="N230" s="65">
        <f>'Liquids Type Curve'!D207</f>
        <v>159.64339843687813</v>
      </c>
      <c r="O230" s="65">
        <f>'Liquids Type Curve'!E207</f>
        <v>113853.88919015018</v>
      </c>
      <c r="S230" s="112">
        <f>'Gas Type Curve'!A214</f>
        <v>15.416666666666707</v>
      </c>
      <c r="T230" s="128">
        <f>'Gas Type Curve'!B214</f>
        <v>185.00000000000048</v>
      </c>
      <c r="U230" s="94">
        <f>'Gas Type Curve'!C214</f>
        <v>139.1983253681758</v>
      </c>
      <c r="V230" s="94">
        <f>'Gas Type Curve'!D214</f>
        <v>4233.9490632820143</v>
      </c>
      <c r="W230" s="94">
        <f>'Gas Type Curve'!E214</f>
        <v>2118534.888486906</v>
      </c>
      <c r="AK230" s="146">
        <f t="shared" si="53"/>
        <v>185</v>
      </c>
      <c r="AL230" s="145"/>
      <c r="AM230" s="146">
        <f t="shared" si="54"/>
        <v>1709.2256704779247</v>
      </c>
      <c r="AN230" s="133">
        <f>'Price Deck'!E189*F230+N230*'Price Deck'!T189+(V230*'Price Deck'!K189/$AB$3)</f>
        <v>64014.880274362957</v>
      </c>
      <c r="AO230" s="133">
        <f t="shared" si="55"/>
        <v>37.452561929088894</v>
      </c>
      <c r="AP230" s="133">
        <f>'Production Costs '!$N$22*(1+'Production Costs '!$P$2)^(AL230)</f>
        <v>-6.5424999999999995</v>
      </c>
      <c r="AQ230" s="133">
        <f>'Production Costs '!$N$23*(1+'Production Costs '!$P$2)^AL230</f>
        <v>-1.1487500000000002</v>
      </c>
      <c r="AR230" s="162">
        <f>-'Oil Royalties'!W195</f>
        <v>-12.330689277207668</v>
      </c>
      <c r="AS230" s="162">
        <f>-'Butane Royalties'!AD195</f>
        <v>-6.5091980737757469</v>
      </c>
      <c r="AT230" s="162">
        <f>-'Propane Royalties'!AD195</f>
        <v>-5.6406026420642048</v>
      </c>
      <c r="AU230" s="162">
        <f>-'Ethane Royalties'!AH195</f>
        <v>-0.41418637209547399</v>
      </c>
      <c r="AV230" s="162">
        <f>-'Natural Gas Royalties'!AB195</f>
        <v>-0.18086146989616267</v>
      </c>
      <c r="AW230" s="133">
        <f>AN230+AM230*(AP230+AQ230)+(AR230*F230)+(AV230*(V230/$AB$3))+(AS230*'Butane Royalties'!K200)+(AT230*'Propane Royalties'!K200)+(AU230*'Ethane Royalties'!K200)</f>
        <v>39769.747784326406</v>
      </c>
      <c r="AX230" s="133">
        <f t="shared" si="56"/>
        <v>23.2676986258966</v>
      </c>
      <c r="AY230" s="133">
        <f t="shared" si="65"/>
        <v>880.95143606352133</v>
      </c>
      <c r="AZ230" s="133">
        <f t="shared" si="66"/>
        <v>34272.911782495998</v>
      </c>
      <c r="BA230" s="133">
        <f t="shared" si="67"/>
        <v>38888.796348262884</v>
      </c>
      <c r="BB230" s="133">
        <f t="shared" si="68"/>
        <v>39769.747784326406</v>
      </c>
      <c r="BC230" s="133">
        <f t="shared" si="69"/>
        <v>11694.580744126079</v>
      </c>
      <c r="BD230" s="133">
        <f t="shared" si="70"/>
        <v>28075.167040200329</v>
      </c>
      <c r="BE230" s="133">
        <f t="shared" si="71"/>
        <v>28075.167040200329</v>
      </c>
    </row>
    <row r="231" spans="2:58">
      <c r="B231" s="111" t="e">
        <f>'[1]Oil Production'!#REF!</f>
        <v>#REF!</v>
      </c>
      <c r="C231" s="66"/>
      <c r="D231" s="127">
        <f>'[1]Oil Production'!A192</f>
        <v>186</v>
      </c>
      <c r="E231" s="66">
        <f>'[1]Oil Production'!B192</f>
        <v>27.683253598190188</v>
      </c>
      <c r="F231" s="66">
        <f>'[1]Oil Production'!C192</f>
        <v>842.03229694495155</v>
      </c>
      <c r="G231" s="66">
        <f>'[1]Oil Production'!D192</f>
        <v>259987.82692588656</v>
      </c>
      <c r="H231" s="95"/>
      <c r="K231" s="109">
        <f>'Liquids Type Curve'!A208</f>
        <v>15.505224132120029</v>
      </c>
      <c r="L231" s="116">
        <f>'Liquids Type Curve'!B208</f>
        <v>186.06268958544035</v>
      </c>
      <c r="M231" s="65">
        <f>'Liquids Type Curve'!C208</f>
        <v>5.2222526735129309</v>
      </c>
      <c r="N231" s="65">
        <f>'Liquids Type Curve'!D208</f>
        <v>158.84351881935166</v>
      </c>
      <c r="O231" s="65">
        <f>'Liquids Type Curve'!E208</f>
        <v>114012.73270896953</v>
      </c>
      <c r="S231" s="112">
        <f>'Gas Type Curve'!A215</f>
        <v>15.500000000000041</v>
      </c>
      <c r="T231" s="128">
        <f>'Gas Type Curve'!B215</f>
        <v>186.00000000000048</v>
      </c>
      <c r="U231" s="94">
        <f>'Gas Type Curve'!C215</f>
        <v>138.66936744569003</v>
      </c>
      <c r="V231" s="94">
        <f>'Gas Type Curve'!D215</f>
        <v>4217.8599264730719</v>
      </c>
      <c r="W231" s="94">
        <f>'Gas Type Curve'!E215</f>
        <v>2122752.7484133788</v>
      </c>
      <c r="AK231" s="146">
        <f t="shared" si="53"/>
        <v>186</v>
      </c>
      <c r="AL231" s="145"/>
      <c r="AM231" s="146">
        <f t="shared" si="54"/>
        <v>1703.8524701764818</v>
      </c>
      <c r="AN231" s="133">
        <f>'Price Deck'!E190*F231+N231*'Price Deck'!T190+(V231*'Price Deck'!K190/$AB$3)</f>
        <v>63850.525862434843</v>
      </c>
      <c r="AO231" s="133">
        <f t="shared" si="55"/>
        <v>37.474210343939767</v>
      </c>
      <c r="AP231" s="133">
        <f>'Production Costs '!$N$22*(1+'Production Costs '!$P$2)^(AL231)</f>
        <v>-6.5424999999999995</v>
      </c>
      <c r="AQ231" s="133">
        <f>'Production Costs '!$N$23*(1+'Production Costs '!$P$2)^AL231</f>
        <v>-1.1487500000000002</v>
      </c>
      <c r="AR231" s="162">
        <f>-'Oil Royalties'!W196</f>
        <v>-12.299438412210312</v>
      </c>
      <c r="AS231" s="162">
        <f>-'Butane Royalties'!AD196</f>
        <v>-6.5058133071538933</v>
      </c>
      <c r="AT231" s="162">
        <f>-'Propane Royalties'!AD196</f>
        <v>-5.637680637470079</v>
      </c>
      <c r="AU231" s="162">
        <f>-'Ethane Royalties'!AH196</f>
        <v>-0.41412732771013588</v>
      </c>
      <c r="AV231" s="162">
        <f>-'Natural Gas Royalties'!AB196</f>
        <v>-0.18086146989616267</v>
      </c>
      <c r="AW231" s="133">
        <f>AN231+AM231*(AP231+AQ231)+(AR231*F231)+(AV231*(V231/$AB$3))+(AS231*'Butane Royalties'!K201)+(AT231*'Propane Royalties'!K201)+(AU231*'Ethane Royalties'!K201)</f>
        <v>39699.959524239457</v>
      </c>
      <c r="AX231" s="133">
        <f t="shared" si="56"/>
        <v>23.300115602219606</v>
      </c>
      <c r="AY231" s="133">
        <f t="shared" si="65"/>
        <v>858.87490274263575</v>
      </c>
      <c r="AZ231" s="133">
        <f t="shared" si="66"/>
        <v>33414.036879753359</v>
      </c>
      <c r="BA231" s="133">
        <f t="shared" si="67"/>
        <v>38841.084621496819</v>
      </c>
      <c r="BB231" s="133">
        <f t="shared" si="68"/>
        <v>39699.959524239457</v>
      </c>
      <c r="BC231" s="133">
        <f t="shared" si="69"/>
        <v>11680.232944926776</v>
      </c>
      <c r="BD231" s="133">
        <f t="shared" si="70"/>
        <v>28019.726579312679</v>
      </c>
      <c r="BE231" s="133">
        <f t="shared" si="71"/>
        <v>28019.726579312679</v>
      </c>
    </row>
    <row r="232" spans="2:58">
      <c r="B232" s="111" t="e">
        <f>'[1]Oil Production'!#REF!</f>
        <v>#REF!</v>
      </c>
      <c r="C232" s="66"/>
      <c r="D232" s="127">
        <f>'[1]Oil Production'!A193</f>
        <v>187</v>
      </c>
      <c r="E232" s="66">
        <f>'[1]Oil Production'!B193</f>
        <v>27.621529300354531</v>
      </c>
      <c r="F232" s="66">
        <f>'[1]Oil Production'!C193</f>
        <v>840.1548495524504</v>
      </c>
      <c r="G232" s="66">
        <f>'[1]Oil Production'!D193</f>
        <v>260827.98177543902</v>
      </c>
      <c r="H232" s="95"/>
      <c r="K232" s="109">
        <f>'Liquids Type Curve'!A209</f>
        <v>15.588557465453363</v>
      </c>
      <c r="L232" s="116">
        <f>'Liquids Type Curve'!B209</f>
        <v>187.06268958544035</v>
      </c>
      <c r="M232" s="65">
        <f>'Liquids Type Curve'!C209</f>
        <v>5.1962269242300438</v>
      </c>
      <c r="N232" s="65">
        <f>'Liquids Type Curve'!D209</f>
        <v>158.05190227866385</v>
      </c>
      <c r="O232" s="65">
        <f>'Liquids Type Curve'!E209</f>
        <v>114170.78461124819</v>
      </c>
      <c r="S232" s="112">
        <f>'Gas Type Curve'!A216</f>
        <v>15.583333333333375</v>
      </c>
      <c r="T232" s="128">
        <f>'Gas Type Curve'!B216</f>
        <v>187.00000000000051</v>
      </c>
      <c r="U232" s="94">
        <f>'Gas Type Curve'!C216</f>
        <v>138.14523970443273</v>
      </c>
      <c r="V232" s="94">
        <f>'Gas Type Curve'!D216</f>
        <v>4201.9177076764954</v>
      </c>
      <c r="W232" s="94">
        <f>'Gas Type Curve'!E216</f>
        <v>2126954.6661210554</v>
      </c>
      <c r="AK232" s="146">
        <f t="shared" si="53"/>
        <v>187</v>
      </c>
      <c r="AL232" s="145"/>
      <c r="AM232" s="146">
        <f t="shared" si="54"/>
        <v>1698.5263697771968</v>
      </c>
      <c r="AN232" s="133">
        <f>'Price Deck'!E191*F232+N232*'Price Deck'!T191+(V232*'Price Deck'!K191/$AB$3)</f>
        <v>63687.517003623994</v>
      </c>
      <c r="AO232" s="133">
        <f t="shared" si="55"/>
        <v>37.495748159610947</v>
      </c>
      <c r="AP232" s="133">
        <f>'Production Costs '!$N$22*(1+'Production Costs '!$P$2)^(AL232)</f>
        <v>-6.5424999999999995</v>
      </c>
      <c r="AQ232" s="133">
        <f>'Production Costs '!$N$23*(1+'Production Costs '!$P$2)^AL232</f>
        <v>-1.1487500000000002</v>
      </c>
      <c r="AR232" s="162">
        <f>-'Oil Royalties'!W197</f>
        <v>-12.268424604896257</v>
      </c>
      <c r="AS232" s="162">
        <f>-'Butane Royalties'!AD197</f>
        <v>-6.5024644669806024</v>
      </c>
      <c r="AT232" s="162">
        <f>-'Propane Royalties'!AD197</f>
        <v>-5.6347896474951229</v>
      </c>
      <c r="AU232" s="162">
        <f>-'Ethane Royalties'!AH197</f>
        <v>-0.41406891003124768</v>
      </c>
      <c r="AV232" s="162">
        <f>-'Natural Gas Royalties'!AB197</f>
        <v>-0.18086146989616264</v>
      </c>
      <c r="AW232" s="133">
        <f>AN232+AM232*(AP232+AQ232)+(AR232*F232)+(AV232*(V232/$AB$3))+(AS232*'Butane Royalties'!K202)+(AT232*'Propane Royalties'!K202)+(AU232*'Ethane Royalties'!K202)</f>
        <v>39630.621646129803</v>
      </c>
      <c r="AX232" s="133">
        <f t="shared" si="56"/>
        <v>23.332355829911741</v>
      </c>
      <c r="AY232" s="133">
        <f t="shared" si="65"/>
        <v>837.35160459853375</v>
      </c>
      <c r="AZ232" s="133">
        <f t="shared" si="66"/>
        <v>32576.685275154825</v>
      </c>
      <c r="BA232" s="133">
        <f t="shared" si="67"/>
        <v>38793.270041531272</v>
      </c>
      <c r="BB232" s="133">
        <f t="shared" si="68"/>
        <v>39630.621646129803</v>
      </c>
      <c r="BC232" s="133">
        <f t="shared" si="69"/>
        <v>11665.854215866972</v>
      </c>
      <c r="BD232" s="133">
        <f t="shared" si="70"/>
        <v>27964.767430262829</v>
      </c>
      <c r="BE232" s="133">
        <f t="shared" si="71"/>
        <v>27964.767430262829</v>
      </c>
    </row>
    <row r="233" spans="2:58">
      <c r="B233" s="111" t="e">
        <f>'[1]Oil Production'!#REF!</f>
        <v>#REF!</v>
      </c>
      <c r="C233" s="66"/>
      <c r="D233" s="127">
        <f>'[1]Oil Production'!A194</f>
        <v>188</v>
      </c>
      <c r="E233" s="66">
        <f>'[1]Oil Production'!B194</f>
        <v>27.560270726157547</v>
      </c>
      <c r="F233" s="66">
        <f>'[1]Oil Production'!C194</f>
        <v>838.29156792062543</v>
      </c>
      <c r="G233" s="66">
        <f>'[1]Oil Production'!D194</f>
        <v>261666.27334335964</v>
      </c>
      <c r="H233" s="95"/>
      <c r="K233" s="109">
        <f>'Liquids Type Curve'!A210</f>
        <v>15.671890798786697</v>
      </c>
      <c r="L233" s="116">
        <f>'Liquids Type Curve'!B210</f>
        <v>188.06268958544035</v>
      </c>
      <c r="M233" s="65">
        <f>'Liquids Type Curve'!C210</f>
        <v>5.1704686014916517</v>
      </c>
      <c r="N233" s="65">
        <f>'Liquids Type Curve'!D210</f>
        <v>157.26841996203774</v>
      </c>
      <c r="O233" s="65">
        <f>'Liquids Type Curve'!E210</f>
        <v>114328.05303121023</v>
      </c>
      <c r="S233" s="112">
        <f>'Gas Type Curve'!A217</f>
        <v>15.666666666666709</v>
      </c>
      <c r="T233" s="128">
        <f>'Gas Type Curve'!B217</f>
        <v>188.00000000000051</v>
      </c>
      <c r="U233" s="94">
        <f>'Gas Type Curve'!C217</f>
        <v>137.62587255974245</v>
      </c>
      <c r="V233" s="94">
        <f>'Gas Type Curve'!D217</f>
        <v>4186.1202903588328</v>
      </c>
      <c r="W233" s="94">
        <f>'Gas Type Curve'!E217</f>
        <v>2131140.7864114144</v>
      </c>
      <c r="AK233" s="146">
        <f t="shared" si="53"/>
        <v>188</v>
      </c>
      <c r="AL233" s="145"/>
      <c r="AM233" s="146">
        <f t="shared" si="54"/>
        <v>1693.2467029424686</v>
      </c>
      <c r="AN233" s="133">
        <f>'Price Deck'!E192*F233+N233*'Price Deck'!T192+(V233*'Price Deck'!K192/$AB$3)</f>
        <v>63525.835382730453</v>
      </c>
      <c r="AO233" s="133">
        <f t="shared" si="55"/>
        <v>37.517176482515715</v>
      </c>
      <c r="AP233" s="133">
        <f>'Production Costs '!$N$22*(1+'Production Costs '!$P$2)^(AL233)</f>
        <v>-6.5424999999999995</v>
      </c>
      <c r="AQ233" s="133">
        <f>'Production Costs '!$N$23*(1+'Production Costs '!$P$2)^AL233</f>
        <v>-1.1487500000000002</v>
      </c>
      <c r="AR233" s="162">
        <f>-'Oil Royalties'!W198</f>
        <v>-12.237644803698071</v>
      </c>
      <c r="AS233" s="162">
        <f>-'Butane Royalties'!AD198</f>
        <v>-6.499150977721535</v>
      </c>
      <c r="AT233" s="162">
        <f>-'Propane Royalties'!AD198</f>
        <v>-5.6319291752914973</v>
      </c>
      <c r="AU233" s="162">
        <f>-'Ethane Royalties'!AH198</f>
        <v>-0.41401110901910015</v>
      </c>
      <c r="AV233" s="162">
        <f>-'Natural Gas Royalties'!AB198</f>
        <v>-0.18086146989616267</v>
      </c>
      <c r="AW233" s="133">
        <f>AN233+AM233*(AP233+AQ233)+(AR233*F233)+(AV233*(V233/$AB$3))+(AS233*'Butane Royalties'!K203)+(AT233*'Propane Royalties'!K203)+(AU233*'Ethane Royalties'!K203)</f>
        <v>39561.729103524369</v>
      </c>
      <c r="AX233" s="133">
        <f t="shared" si="56"/>
        <v>23.364421164839886</v>
      </c>
      <c r="AY233" s="133">
        <f t="shared" si="65"/>
        <v>816.36767762655518</v>
      </c>
      <c r="AZ233" s="133">
        <f t="shared" si="66"/>
        <v>31760.317597528268</v>
      </c>
      <c r="BA233" s="133">
        <f t="shared" si="67"/>
        <v>38745.361425897812</v>
      </c>
      <c r="BB233" s="133">
        <f t="shared" si="68"/>
        <v>39561.729103524369</v>
      </c>
      <c r="BC233" s="133">
        <f t="shared" si="69"/>
        <v>11651.447208541589</v>
      </c>
      <c r="BD233" s="133">
        <f t="shared" si="70"/>
        <v>27910.281894982778</v>
      </c>
      <c r="BE233" s="133">
        <f t="shared" si="71"/>
        <v>27910.281894982778</v>
      </c>
    </row>
    <row r="234" spans="2:58">
      <c r="B234" s="111" t="e">
        <f>'[1]Oil Production'!#REF!</f>
        <v>#REF!</v>
      </c>
      <c r="C234" s="66"/>
      <c r="D234" s="127">
        <f>'[1]Oil Production'!A195</f>
        <v>189</v>
      </c>
      <c r="E234" s="66">
        <f>'[1]Oil Production'!B195</f>
        <v>27.499471912257896</v>
      </c>
      <c r="F234" s="66">
        <f>'[1]Oil Production'!C195</f>
        <v>836.44227066451106</v>
      </c>
      <c r="G234" s="66">
        <f>'[1]Oil Production'!D195</f>
        <v>262502.71561402414</v>
      </c>
      <c r="H234" s="95"/>
      <c r="K234" s="109">
        <f>'Liquids Type Curve'!A211</f>
        <v>15.755224132120031</v>
      </c>
      <c r="L234" s="116">
        <f>'Liquids Type Curve'!B211</f>
        <v>189.06268958544035</v>
      </c>
      <c r="M234" s="65">
        <f>'Liquids Type Curve'!C211</f>
        <v>5.1449735571625812</v>
      </c>
      <c r="N234" s="65">
        <f>'Liquids Type Curve'!D211</f>
        <v>156.49294569702852</v>
      </c>
      <c r="O234" s="65">
        <f>'Liquids Type Curve'!E211</f>
        <v>114484.54597690726</v>
      </c>
      <c r="S234" s="112">
        <f>'Gas Type Curve'!A218</f>
        <v>15.750000000000043</v>
      </c>
      <c r="T234" s="128">
        <f>'Gas Type Curve'!B218</f>
        <v>189.00000000000051</v>
      </c>
      <c r="U234" s="94">
        <f>'Gas Type Curve'!C218</f>
        <v>137.11119779256245</v>
      </c>
      <c r="V234" s="94">
        <f>'Gas Type Curve'!D218</f>
        <v>4170.4655995237745</v>
      </c>
      <c r="W234" s="94">
        <f>'Gas Type Curve'!E218</f>
        <v>2135311.2520109382</v>
      </c>
      <c r="AK234" s="146">
        <f t="shared" si="53"/>
        <v>189</v>
      </c>
      <c r="AL234" s="145"/>
      <c r="AM234" s="146">
        <f t="shared" si="54"/>
        <v>1688.0128162821686</v>
      </c>
      <c r="AN234" s="133">
        <f>'Price Deck'!E193*F234+N234*'Price Deck'!T193+(V234*'Price Deck'!K193/$AB$3)</f>
        <v>63365.46303134098</v>
      </c>
      <c r="AO234" s="133">
        <f t="shared" si="55"/>
        <v>37.538496402475651</v>
      </c>
      <c r="AP234" s="133">
        <f>'Production Costs '!$N$22*(1+'Production Costs '!$P$2)^(AL234)</f>
        <v>-6.5424999999999995</v>
      </c>
      <c r="AQ234" s="133">
        <f>'Production Costs '!$N$23*(1+'Production Costs '!$P$2)^AL234</f>
        <v>-1.1487500000000002</v>
      </c>
      <c r="AR234" s="162">
        <f>-'Oil Royalties'!W199</f>
        <v>-12.207096012292983</v>
      </c>
      <c r="AS234" s="162">
        <f>-'Butane Royalties'!AD199</f>
        <v>-6.4958722761396057</v>
      </c>
      <c r="AT234" s="162">
        <f>-'Propane Royalties'!AD199</f>
        <v>-5.6290987346273491</v>
      </c>
      <c r="AU234" s="162">
        <f>-'Ethane Royalties'!AH199</f>
        <v>-0.41395391484850003</v>
      </c>
      <c r="AV234" s="162">
        <f>-'Natural Gas Royalties'!AB199</f>
        <v>-0.18086146989616267</v>
      </c>
      <c r="AW234" s="133">
        <f>AN234+AM234*(AP234+AQ234)+(AR234*F234)+(AV234*(V234/$AB$3))+(AS234*'Butane Royalties'!K204)+(AT234*'Propane Royalties'!K204)+(AU234*'Ethane Royalties'!K204)</f>
        <v>39493.276930095184</v>
      </c>
      <c r="AX234" s="133">
        <f t="shared" si="56"/>
        <v>23.396313433851013</v>
      </c>
      <c r="AY234" s="133">
        <f t="shared" si="65"/>
        <v>795.90960525227149</v>
      </c>
      <c r="AZ234" s="133">
        <f t="shared" si="66"/>
        <v>30964.407992275996</v>
      </c>
      <c r="BA234" s="133">
        <f t="shared" si="67"/>
        <v>38697.367324842911</v>
      </c>
      <c r="BB234" s="133">
        <f t="shared" si="68"/>
        <v>39493.276930095184</v>
      </c>
      <c r="BC234" s="133">
        <f t="shared" si="69"/>
        <v>11637.01449416797</v>
      </c>
      <c r="BD234" s="133">
        <f t="shared" si="70"/>
        <v>27856.262435927216</v>
      </c>
      <c r="BE234" s="133">
        <f t="shared" si="71"/>
        <v>27856.262435927216</v>
      </c>
    </row>
    <row r="235" spans="2:58">
      <c r="B235" s="111" t="e">
        <f>'[1]Oil Production'!#REF!</f>
        <v>#REF!</v>
      </c>
      <c r="C235" s="66"/>
      <c r="D235" s="127">
        <f>'[1]Oil Production'!A196</f>
        <v>190</v>
      </c>
      <c r="E235" s="66">
        <f>'[1]Oil Production'!B196</f>
        <v>27.439127002703756</v>
      </c>
      <c r="F235" s="66">
        <f>'[1]Oil Production'!C196</f>
        <v>834.60677966557262</v>
      </c>
      <c r="G235" s="66">
        <f>'[1]Oil Production'!D196</f>
        <v>263337.32239368971</v>
      </c>
      <c r="H235" s="95"/>
      <c r="K235" s="109">
        <f>'Liquids Type Curve'!A212</f>
        <v>15.838557465453365</v>
      </c>
      <c r="L235" s="116">
        <f>'Liquids Type Curve'!B212</f>
        <v>190.06268958544038</v>
      </c>
      <c r="M235" s="65">
        <f>'Liquids Type Curve'!C212</f>
        <v>5.1197377289410921</v>
      </c>
      <c r="N235" s="65">
        <f>'Liquids Type Curve'!D212</f>
        <v>155.72535592195823</v>
      </c>
      <c r="O235" s="65">
        <f>'Liquids Type Curve'!E212</f>
        <v>114640.27133282922</v>
      </c>
      <c r="S235" s="112">
        <f>'Gas Type Curve'!A219</f>
        <v>15.833333333333377</v>
      </c>
      <c r="T235" s="128">
        <f>'Gas Type Curve'!B219</f>
        <v>190.00000000000051</v>
      </c>
      <c r="U235" s="94">
        <f>'Gas Type Curve'!C219</f>
        <v>136.60114851558899</v>
      </c>
      <c r="V235" s="94">
        <f>'Gas Type Curve'!D219</f>
        <v>4154.9516006824988</v>
      </c>
      <c r="W235" s="94">
        <f>'Gas Type Curve'!E219</f>
        <v>2139466.2036116207</v>
      </c>
      <c r="AK235" s="146">
        <f t="shared" si="53"/>
        <v>190</v>
      </c>
      <c r="AL235" s="145"/>
      <c r="AM235" s="146">
        <f t="shared" si="54"/>
        <v>1682.824069034614</v>
      </c>
      <c r="AN235" s="133">
        <f>'Price Deck'!E194*F235+N235*'Price Deck'!T194+(V235*'Price Deck'!K194/$AB$3)</f>
        <v>63206.382319444579</v>
      </c>
      <c r="AO235" s="133">
        <f t="shared" si="55"/>
        <v>37.559708993052489</v>
      </c>
      <c r="AP235" s="133">
        <f>'Production Costs '!$N$22*(1+'Production Costs '!$P$2)^(AL235)</f>
        <v>-6.5424999999999995</v>
      </c>
      <c r="AQ235" s="133">
        <f>'Production Costs '!$N$23*(1+'Production Costs '!$P$2)^AL235</f>
        <v>-1.1487500000000002</v>
      </c>
      <c r="AR235" s="162">
        <f>-'Oil Royalties'!W200</f>
        <v>-12.17677528831684</v>
      </c>
      <c r="AS235" s="162">
        <f>-'Butane Royalties'!AD200</f>
        <v>-6.4926278109672122</v>
      </c>
      <c r="AT235" s="162">
        <f>-'Propane Royalties'!AD200</f>
        <v>-5.6262978496038416</v>
      </c>
      <c r="AU235" s="162">
        <f>-'Ethane Royalties'!AH200</f>
        <v>-0.41389731790305112</v>
      </c>
      <c r="AV235" s="162">
        <f>-'Natural Gas Royalties'!AB200</f>
        <v>-0.18086146989616267</v>
      </c>
      <c r="AW235" s="133">
        <f>AN235+AM235*(AP235+AQ235)+(AR235*F235)+(AV235*(V235/$AB$3))+(AS235*'Butane Royalties'!K205)+(AT235*'Propane Royalties'!K205)+(AU235*'Ethane Royalties'!K205)</f>
        <v>39425.26023802151</v>
      </c>
      <c r="AX235" s="133">
        <f t="shared" si="56"/>
        <v>23.428034435375412</v>
      </c>
      <c r="AY235" s="133">
        <f t="shared" si="65"/>
        <v>775.96420962492664</v>
      </c>
      <c r="AZ235" s="133">
        <f t="shared" si="66"/>
        <v>30188.443782651069</v>
      </c>
      <c r="BA235" s="133">
        <f t="shared" si="67"/>
        <v>38649.29602839658</v>
      </c>
      <c r="BB235" s="133">
        <f t="shared" si="68"/>
        <v>39425.26023802151</v>
      </c>
      <c r="BC235" s="133">
        <f t="shared" si="69"/>
        <v>11622.558565711559</v>
      </c>
      <c r="BD235" s="133">
        <f t="shared" si="70"/>
        <v>27802.701672309951</v>
      </c>
      <c r="BE235" s="133">
        <f t="shared" si="71"/>
        <v>27802.701672309951</v>
      </c>
    </row>
    <row r="236" spans="2:58">
      <c r="B236" s="111" t="e">
        <f>'[1]Oil Production'!#REF!</f>
        <v>#REF!</v>
      </c>
      <c r="C236" s="66"/>
      <c r="D236" s="127">
        <f>'[1]Oil Production'!A197</f>
        <v>191</v>
      </c>
      <c r="E236" s="66">
        <f>'[1]Oil Production'!B197</f>
        <v>27.379230246445868</v>
      </c>
      <c r="F236" s="66">
        <f>'[1]Oil Production'!C197</f>
        <v>832.78491999606183</v>
      </c>
      <c r="G236" s="66">
        <f>'[1]Oil Production'!D197</f>
        <v>264170.10731368576</v>
      </c>
      <c r="H236" s="95"/>
      <c r="K236" s="109">
        <f>'Liquids Type Curve'!A213</f>
        <v>15.921890798786698</v>
      </c>
      <c r="L236" s="116">
        <f>'Liquids Type Curve'!B213</f>
        <v>191.06268958544038</v>
      </c>
      <c r="M236" s="65">
        <f>'Liquids Type Curve'!C213</f>
        <v>5.0947571381427599</v>
      </c>
      <c r="N236" s="65">
        <f>'Liquids Type Curve'!D213</f>
        <v>154.96552961850895</v>
      </c>
      <c r="O236" s="65">
        <f>'Liquids Type Curve'!E213</f>
        <v>114795.23686244772</v>
      </c>
      <c r="S236" s="112">
        <f>'Gas Type Curve'!A220</f>
        <v>15.91666666666671</v>
      </c>
      <c r="T236" s="128">
        <f>'Gas Type Curve'!B220</f>
        <v>191.00000000000051</v>
      </c>
      <c r="U236" s="94">
        <f>'Gas Type Curve'!C220</f>
        <v>136.09565914043162</v>
      </c>
      <c r="V236" s="94">
        <f>'Gas Type Curve'!D220</f>
        <v>4139.5762988547949</v>
      </c>
      <c r="W236" s="94">
        <f>'Gas Type Curve'!E220</f>
        <v>2143605.7799104755</v>
      </c>
      <c r="AK236" s="146">
        <f t="shared" si="53"/>
        <v>191</v>
      </c>
      <c r="AL236" s="145"/>
      <c r="AM236" s="146">
        <f t="shared" si="54"/>
        <v>1677.6798327570366</v>
      </c>
      <c r="AN236" s="133">
        <f>'Price Deck'!E195*F236+N236*'Price Deck'!T195+(V236*'Price Deck'!K195/$AB$3)</f>
        <v>64006.848172568622</v>
      </c>
      <c r="AO236" s="133">
        <f t="shared" si="55"/>
        <v>38.152004287601258</v>
      </c>
      <c r="AP236" s="133">
        <f>'Production Costs '!$N$22*(1+'Production Costs '!$P$2)^(AL236)</f>
        <v>-6.5424999999999995</v>
      </c>
      <c r="AQ236" s="133">
        <f>'Production Costs '!$N$23*(1+'Production Costs '!$P$2)^AL236</f>
        <v>-1.1487500000000002</v>
      </c>
      <c r="AR236" s="162">
        <f>-'Oil Royalties'!W201</f>
        <v>-12.550109110989279</v>
      </c>
      <c r="AS236" s="162">
        <f>-'Butane Royalties'!AD201</f>
        <v>-6.7830378187314091</v>
      </c>
      <c r="AT236" s="162">
        <f>-'Propane Royalties'!AD201</f>
        <v>-5.8431165368089992</v>
      </c>
      <c r="AU236" s="162">
        <f>-'Ethane Royalties'!AH201</f>
        <v>-0.45669924676211238</v>
      </c>
      <c r="AV236" s="162">
        <f>-'Natural Gas Royalties'!AB201</f>
        <v>-0.18448344049158877</v>
      </c>
      <c r="AW236" s="133">
        <f>AN236+AM236*(AP236+AQ236)+(AR236*F236)+(AV236*(V236/$AB$3))+(AS236*'Butane Royalties'!K206)+(AT236*'Propane Royalties'!K206)+(AU236*'Ethane Royalties'!K206)</f>
        <v>39952.860573626531</v>
      </c>
      <c r="AX236" s="133">
        <f t="shared" si="56"/>
        <v>23.814353486010191</v>
      </c>
      <c r="AY236" s="133">
        <f t="shared" si="65"/>
        <v>756.51864312906355</v>
      </c>
      <c r="AZ236" s="133">
        <f t="shared" si="66"/>
        <v>29431.925139522005</v>
      </c>
      <c r="BA236" s="133">
        <f t="shared" si="67"/>
        <v>39196.341930497467</v>
      </c>
      <c r="BB236" s="133">
        <f t="shared" si="68"/>
        <v>39952.860573626531</v>
      </c>
      <c r="BC236" s="133">
        <f t="shared" si="69"/>
        <v>11787.065392191105</v>
      </c>
      <c r="BD236" s="133">
        <f t="shared" si="70"/>
        <v>28165.795181435424</v>
      </c>
      <c r="BE236" s="133">
        <f t="shared" si="71"/>
        <v>28165.795181435424</v>
      </c>
    </row>
    <row r="237" spans="2:58">
      <c r="B237" s="111" t="e">
        <f>'[1]Oil Production'!#REF!</f>
        <v>#REF!</v>
      </c>
      <c r="C237" s="66"/>
      <c r="D237" s="127">
        <f>'[1]Oil Production'!A198</f>
        <v>192</v>
      </c>
      <c r="E237" s="66">
        <f>'[1]Oil Production'!B198</f>
        <v>27.31977599492096</v>
      </c>
      <c r="F237" s="66">
        <f>'[1]Oil Production'!C198</f>
        <v>830.9765198455126</v>
      </c>
      <c r="G237" s="66">
        <f>'[1]Oil Production'!D198</f>
        <v>265001.08383353124</v>
      </c>
      <c r="H237" s="95"/>
      <c r="K237" s="109">
        <f>'Liquids Type Curve'!A214</f>
        <v>16.005224132120031</v>
      </c>
      <c r="L237" s="116">
        <f>'Liquids Type Curve'!B214</f>
        <v>192.06268958544035</v>
      </c>
      <c r="M237" s="65">
        <f>'Liquids Type Curve'!C214</f>
        <v>5.0700278875528531</v>
      </c>
      <c r="N237" s="65">
        <f>'Liquids Type Curve'!D214</f>
        <v>154.21334824639928</v>
      </c>
      <c r="O237" s="65">
        <f>'Liquids Type Curve'!E214</f>
        <v>114949.45021069412</v>
      </c>
      <c r="S237" s="112">
        <f>'Gas Type Curve'!A221</f>
        <v>16.000000000000043</v>
      </c>
      <c r="T237" s="128">
        <f>'Gas Type Curve'!B221</f>
        <v>192.00000000000051</v>
      </c>
      <c r="U237" s="94">
        <f>'Gas Type Curve'!C221</f>
        <v>135.59466534575006</v>
      </c>
      <c r="V237" s="94">
        <f>'Gas Type Curve'!D221</f>
        <v>4124.337737599898</v>
      </c>
      <c r="W237" s="94">
        <f>'Gas Type Curve'!E221</f>
        <v>2147730.1176480753</v>
      </c>
      <c r="AK237" s="146">
        <f t="shared" si="53"/>
        <v>192</v>
      </c>
      <c r="AL237" s="145" t="e">
        <f t="shared" si="64"/>
        <v>#REF!</v>
      </c>
      <c r="AM237" s="146">
        <f t="shared" si="54"/>
        <v>1672.5794910252282</v>
      </c>
      <c r="AN237" s="133">
        <f>'Price Deck'!E196*F237+N237*'Price Deck'!T196+(V237*'Price Deck'!K196/$AB$3)</f>
        <v>63847.904752325718</v>
      </c>
      <c r="AO237" s="133">
        <f t="shared" si="55"/>
        <v>38.173315585251707</v>
      </c>
      <c r="AP237" s="133" t="e">
        <f>'Production Costs '!$N$22*(1+'Production Costs '!$P$2)^(AL237)</f>
        <v>#REF!</v>
      </c>
      <c r="AQ237" s="133" t="e">
        <f>'Production Costs '!$N$23*(1+'Production Costs '!$P$2)^AL237</f>
        <v>#REF!</v>
      </c>
      <c r="AR237" s="162">
        <f>-'Oil Royalties'!W202</f>
        <v>-12.51978780630162</v>
      </c>
      <c r="AS237" s="162">
        <f>-'Butane Royalties'!AD202</f>
        <v>-6.7798125548786521</v>
      </c>
      <c r="AT237" s="162">
        <f>-'Propane Royalties'!AD202</f>
        <v>-5.8403322279192293</v>
      </c>
      <c r="AU237" s="162">
        <f>-'Ethane Royalties'!AH202</f>
        <v>-0.45664298476741255</v>
      </c>
      <c r="AV237" s="162">
        <f>-'Natural Gas Royalties'!AB202</f>
        <v>-0.18448344049158877</v>
      </c>
      <c r="AW237" s="133" t="e">
        <f>AN237+AM237*(AP237+AQ237)+(AR237*F237)+(AV237*(V237/$AB$3))+(AS237*'Butane Royalties'!K207)+(AT237*'Propane Royalties'!K207)+(AU237*'Ethane Royalties'!K207)</f>
        <v>#REF!</v>
      </c>
      <c r="AX237" s="133" t="e">
        <f t="shared" si="56"/>
        <v>#REF!</v>
      </c>
      <c r="AY237" s="133">
        <f t="shared" si="65"/>
        <v>737.56038010886959</v>
      </c>
      <c r="AZ237" s="133">
        <f t="shared" si="66"/>
        <v>28694.364759413136</v>
      </c>
      <c r="BA237" s="133" t="e">
        <f t="shared" si="67"/>
        <v>#REF!</v>
      </c>
      <c r="BB237" s="133" t="e">
        <f t="shared" si="68"/>
        <v>#REF!</v>
      </c>
      <c r="BC237" s="133" t="e">
        <f t="shared" si="69"/>
        <v>#REF!</v>
      </c>
      <c r="BD237" s="133" t="e">
        <f t="shared" si="70"/>
        <v>#REF!</v>
      </c>
      <c r="BE237" s="133" t="e">
        <f t="shared" si="71"/>
        <v>#REF!</v>
      </c>
    </row>
    <row r="238" spans="2:58">
      <c r="B238" s="111" t="e">
        <f>'[1]Oil Production'!#REF!</f>
        <v>#REF!</v>
      </c>
      <c r="C238" s="66" t="e">
        <f>B237</f>
        <v>#REF!</v>
      </c>
      <c r="D238" s="127">
        <f>'[1]Oil Production'!A199</f>
        <v>193</v>
      </c>
      <c r="E238" s="66">
        <f>'[1]Oil Production'!B199</f>
        <v>27.260758699703075</v>
      </c>
      <c r="F238" s="66">
        <f>'[1]Oil Production'!C199</f>
        <v>829.18141044930189</v>
      </c>
      <c r="G238" s="66">
        <f>'[1]Oil Production'!D199</f>
        <v>265830.26524398057</v>
      </c>
      <c r="H238" s="95" t="e">
        <f>IF(C238&gt;0,((E238-E226)/(E226)),0)</f>
        <v>#REF!</v>
      </c>
      <c r="K238" s="109">
        <f>'Liquids Type Curve'!A215</f>
        <v>16.088557465453363</v>
      </c>
      <c r="L238" s="116">
        <f>'Liquids Type Curve'!B215</f>
        <v>193.06268958544035</v>
      </c>
      <c r="M238" s="65">
        <f>'Liquids Type Curve'!C215</f>
        <v>5.0455461593446884</v>
      </c>
      <c r="N238" s="65">
        <f>'Liquids Type Curve'!D215</f>
        <v>153.46869568006761</v>
      </c>
      <c r="O238" s="65">
        <f>'Liquids Type Curve'!E215</f>
        <v>115102.91890637419</v>
      </c>
      <c r="S238" s="112">
        <f>'Gas Type Curve'!A222</f>
        <v>16.083333333333375</v>
      </c>
      <c r="T238" s="128">
        <f>'Gas Type Curve'!B222</f>
        <v>193.00000000000051</v>
      </c>
      <c r="U238" s="94">
        <f>'Gas Type Curve'!C222</f>
        <v>135.09810404633384</v>
      </c>
      <c r="V238" s="94">
        <f>'Gas Type Curve'!D222</f>
        <v>4109.233998075988</v>
      </c>
      <c r="W238" s="94">
        <f>'Gas Type Curve'!E222</f>
        <v>2151839.3516461514</v>
      </c>
      <c r="AK238" s="146">
        <f t="shared" si="53"/>
        <v>193</v>
      </c>
      <c r="AL238" s="145"/>
      <c r="AM238" s="146">
        <f t="shared" si="54"/>
        <v>1667.5224391420343</v>
      </c>
      <c r="AN238" s="133">
        <f>'Price Deck'!E197*F238+N238*'Price Deck'!T197+(V238*'Price Deck'!K197/$AB$3)</f>
        <v>63690.221050777633</v>
      </c>
      <c r="AO238" s="133">
        <f t="shared" si="55"/>
        <v>38.194521138526461</v>
      </c>
      <c r="AP238" s="133">
        <f>'Production Costs '!$N$22*(1+'Production Costs '!$P$2)^(AL238)</f>
        <v>-6.5424999999999995</v>
      </c>
      <c r="AQ238" s="133">
        <f>'Production Costs '!$N$23*(1+'Production Costs '!$P$2)^AL238</f>
        <v>-1.1487500000000002</v>
      </c>
      <c r="AR238" s="162">
        <f>-'Oil Royalties'!W203</f>
        <v>-12.48968934665835</v>
      </c>
      <c r="AS238" s="162">
        <f>-'Butane Royalties'!AD203</f>
        <v>-6.7766204320954442</v>
      </c>
      <c r="AT238" s="162">
        <f>-'Propane Royalties'!AD203</f>
        <v>-5.8375765290839494</v>
      </c>
      <c r="AU238" s="162">
        <f>-'Ethane Royalties'!AH203</f>
        <v>-0.45658730089058602</v>
      </c>
      <c r="AV238" s="162">
        <f>-'Natural Gas Royalties'!AB203</f>
        <v>-0.18448344049158874</v>
      </c>
      <c r="AW238" s="133">
        <f>AN238+AM238*(AP238+AQ238)+(AR238*F238)+(AV238*(V238/$AB$3))+(AS238*'Butane Royalties'!K208)+(AT238*'Propane Royalties'!K208)+(AU238*'Ethane Royalties'!K208)</f>
        <v>39816.649713422652</v>
      </c>
      <c r="AX238" s="133">
        <f t="shared" si="56"/>
        <v>23.877729485852633</v>
      </c>
      <c r="AY238" s="133">
        <f t="shared" si="65"/>
        <v>719.07720879990723</v>
      </c>
      <c r="AZ238" s="133">
        <f t="shared" si="66"/>
        <v>27975.28755061323</v>
      </c>
      <c r="BA238" s="133">
        <f t="shared" si="67"/>
        <v>39097.572504622745</v>
      </c>
      <c r="BB238" s="133">
        <f t="shared" si="68"/>
        <v>39816.649713422652</v>
      </c>
      <c r="BC238" s="133">
        <f t="shared" si="69"/>
        <v>11757.363597987991</v>
      </c>
      <c r="BD238" s="133">
        <f t="shared" si="70"/>
        <v>28059.286115434661</v>
      </c>
      <c r="BE238" s="133">
        <f t="shared" si="71"/>
        <v>28059.286115434661</v>
      </c>
    </row>
    <row r="239" spans="2:58">
      <c r="B239" s="111" t="e">
        <f>'[1]Oil Production'!#REF!</f>
        <v>#REF!</v>
      </c>
      <c r="C239" s="66"/>
      <c r="D239" s="127">
        <f>'[1]Oil Production'!A200</f>
        <v>194</v>
      </c>
      <c r="E239" s="66">
        <f>'[1]Oil Production'!B200</f>
        <v>27.20217291022049</v>
      </c>
      <c r="F239" s="66">
        <f>'[1]Oil Production'!C200</f>
        <v>827.39942601920666</v>
      </c>
      <c r="G239" s="66">
        <f>'[1]Oil Production'!D200</f>
        <v>266657.66466999979</v>
      </c>
      <c r="H239" s="95"/>
      <c r="K239" s="109">
        <f>'Liquids Type Curve'!A216</f>
        <v>16.171890798786695</v>
      </c>
      <c r="L239" s="116">
        <f>'Liquids Type Curve'!B216</f>
        <v>194.06268958544035</v>
      </c>
      <c r="M239" s="65">
        <f>'Liquids Type Curve'!C216</f>
        <v>5.0213082130616256</v>
      </c>
      <c r="N239" s="65">
        <f>'Liquids Type Curve'!D216</f>
        <v>152.73145814729111</v>
      </c>
      <c r="O239" s="65">
        <f>'Liquids Type Curve'!E216</f>
        <v>115255.65036452148</v>
      </c>
      <c r="S239" s="112">
        <f>'Gas Type Curve'!A223</f>
        <v>16.166666666666707</v>
      </c>
      <c r="T239" s="128">
        <f>'Gas Type Curve'!B223</f>
        <v>194.00000000000048</v>
      </c>
      <c r="U239" s="94">
        <f>'Gas Type Curve'!C223</f>
        <v>134.60591336309216</v>
      </c>
      <c r="V239" s="94">
        <f>'Gas Type Curve'!D223</f>
        <v>4094.2631981273867</v>
      </c>
      <c r="W239" s="94">
        <f>'Gas Type Curve'!E223</f>
        <v>2155933.6148442789</v>
      </c>
      <c r="AK239" s="146">
        <f t="shared" si="53"/>
        <v>194</v>
      </c>
      <c r="AL239" s="145"/>
      <c r="AM239" s="146">
        <f t="shared" si="54"/>
        <v>1662.5080838543954</v>
      </c>
      <c r="AN239" s="133">
        <f>'Price Deck'!E198*F239+N239*'Price Deck'!T198+(V239*'Price Deck'!K198/$AB$3)</f>
        <v>63533.780461437942</v>
      </c>
      <c r="AO239" s="133">
        <f t="shared" si="55"/>
        <v>38.215621974083774</v>
      </c>
      <c r="AP239" s="133">
        <f>'Production Costs '!$N$22*(1+'Production Costs '!$P$2)^(AL239)</f>
        <v>-6.5424999999999995</v>
      </c>
      <c r="AQ239" s="133">
        <f>'Production Costs '!$N$23*(1+'Production Costs '!$P$2)^AL239</f>
        <v>-1.1487500000000002</v>
      </c>
      <c r="AR239" s="162">
        <f>-'Oil Royalties'!W204</f>
        <v>-12.459810952301231</v>
      </c>
      <c r="AS239" s="162">
        <f>-'Butane Royalties'!AD204</f>
        <v>-6.7734609363205012</v>
      </c>
      <c r="AT239" s="162">
        <f>-'Propane Royalties'!AD204</f>
        <v>-5.8348489965238324</v>
      </c>
      <c r="AU239" s="162">
        <f>-'Ethane Royalties'!AH204</f>
        <v>-0.45653218616426916</v>
      </c>
      <c r="AV239" s="162">
        <f>-'Natural Gas Royalties'!AB204</f>
        <v>-0.18448344049158877</v>
      </c>
      <c r="AW239" s="133">
        <f>AN239+AM239*(AP239+AQ239)+(AR239*F239)+(AV239*(V239/$AB$3))+(AS239*'Butane Royalties'!K209)+(AT239*'Propane Royalties'!K209)+(AU239*'Ethane Royalties'!K209)</f>
        <v>39749.18345556796</v>
      </c>
      <c r="AX239" s="133">
        <f t="shared" si="56"/>
        <v>23.909167023965729</v>
      </c>
      <c r="AY239" s="133">
        <f t="shared" si="65"/>
        <v>701.05722346303583</v>
      </c>
      <c r="AZ239" s="133">
        <f t="shared" si="66"/>
        <v>27274.230327150195</v>
      </c>
      <c r="BA239" s="133">
        <f t="shared" si="67"/>
        <v>39048.126232104922</v>
      </c>
      <c r="BB239" s="133">
        <f t="shared" si="68"/>
        <v>39749.18345556796</v>
      </c>
      <c r="BC239" s="133">
        <f t="shared" si="69"/>
        <v>11742.494188781358</v>
      </c>
      <c r="BD239" s="133">
        <f t="shared" si="70"/>
        <v>28006.689266786601</v>
      </c>
      <c r="BE239" s="133">
        <f t="shared" si="71"/>
        <v>28006.689266786601</v>
      </c>
    </row>
    <row r="240" spans="2:58">
      <c r="B240" s="111" t="e">
        <f>'[1]Oil Production'!#REF!</f>
        <v>#REF!</v>
      </c>
      <c r="C240" s="66"/>
      <c r="D240" s="127">
        <f>'[1]Oil Production'!A201</f>
        <v>195</v>
      </c>
      <c r="E240" s="66">
        <f>'[1]Oil Production'!B201</f>
        <v>27.14401327153627</v>
      </c>
      <c r="F240" s="66">
        <f>'[1]Oil Production'!C201</f>
        <v>825.63040367589497</v>
      </c>
      <c r="G240" s="66">
        <f>'[1]Oil Production'!D201</f>
        <v>267483.29507367569</v>
      </c>
      <c r="H240" s="95"/>
      <c r="K240" s="109">
        <f>'Liquids Type Curve'!A217</f>
        <v>16.255224132120027</v>
      </c>
      <c r="L240" s="116">
        <f>'Liquids Type Curve'!B217</f>
        <v>195.06268958544032</v>
      </c>
      <c r="M240" s="65">
        <f>'Liquids Type Curve'!C217</f>
        <v>4.9973103836605013</v>
      </c>
      <c r="N240" s="65">
        <f>'Liquids Type Curve'!D217</f>
        <v>152.00152416967359</v>
      </c>
      <c r="O240" s="65">
        <f>'Liquids Type Curve'!E217</f>
        <v>115407.65188869115</v>
      </c>
      <c r="S240" s="112">
        <f>'Gas Type Curve'!A224</f>
        <v>16.250000000000039</v>
      </c>
      <c r="T240" s="128">
        <f>'Gas Type Curve'!B224</f>
        <v>195.00000000000045</v>
      </c>
      <c r="U240" s="94">
        <f>'Gas Type Curve'!C224</f>
        <v>134.11803259392295</v>
      </c>
      <c r="V240" s="94">
        <f>'Gas Type Curve'!D224</f>
        <v>4079.4234913984897</v>
      </c>
      <c r="W240" s="94">
        <f>'Gas Type Curve'!E224</f>
        <v>2160013.0383356772</v>
      </c>
      <c r="AK240" s="146">
        <f t="shared" si="53"/>
        <v>195</v>
      </c>
      <c r="AL240" s="145"/>
      <c r="AM240" s="146">
        <f t="shared" si="54"/>
        <v>1657.53584307865</v>
      </c>
      <c r="AN240" s="133">
        <f>'Price Deck'!E199*F240+N240*'Price Deck'!T199+(V240*'Price Deck'!K199/$AB$3)</f>
        <v>63378.566682434976</v>
      </c>
      <c r="AO240" s="133">
        <f t="shared" si="55"/>
        <v>38.23661910364352</v>
      </c>
      <c r="AP240" s="133">
        <f>'Production Costs '!$N$22*(1+'Production Costs '!$P$2)^(AL240)</f>
        <v>-6.5424999999999995</v>
      </c>
      <c r="AQ240" s="133">
        <f>'Production Costs '!$N$23*(1+'Production Costs '!$P$2)^AL240</f>
        <v>-1.1487500000000002</v>
      </c>
      <c r="AR240" s="162">
        <f>-'Oil Royalties'!W205</f>
        <v>-12.43014989224517</v>
      </c>
      <c r="AS240" s="162">
        <f>-'Butane Royalties'!AD205</f>
        <v>-6.7703335641294986</v>
      </c>
      <c r="AT240" s="162">
        <f>-'Propane Royalties'!AD205</f>
        <v>-5.8321491956422467</v>
      </c>
      <c r="AU240" s="162">
        <f>-'Ethane Royalties'!AH205</f>
        <v>-0.45647763180665152</v>
      </c>
      <c r="AV240" s="162">
        <f>-'Natural Gas Royalties'!AB205</f>
        <v>-0.18448344049158877</v>
      </c>
      <c r="AW240" s="133">
        <f>AN240+AM240*(AP240+AQ240)+(AR240*F240)+(AV240*(V240/$AB$3))+(AS240*'Butane Royalties'!K210)+(AT240*'Propane Royalties'!K210)+(AU240*'Ethane Royalties'!K210)</f>
        <v>39682.137140551255</v>
      </c>
      <c r="AX240" s="133">
        <f t="shared" si="56"/>
        <v>23.940439844031982</v>
      </c>
      <c r="AY240" s="133">
        <f t="shared" si="65"/>
        <v>683.4888167154553</v>
      </c>
      <c r="AZ240" s="133">
        <f t="shared" si="66"/>
        <v>26590.741510434738</v>
      </c>
      <c r="BA240" s="133">
        <f t="shared" si="67"/>
        <v>38998.648323835798</v>
      </c>
      <c r="BB240" s="133">
        <f t="shared" si="68"/>
        <v>39682.137140551255</v>
      </c>
      <c r="BC240" s="133">
        <f t="shared" si="69"/>
        <v>11727.615266118852</v>
      </c>
      <c r="BD240" s="133">
        <f t="shared" si="70"/>
        <v>27954.521874432401</v>
      </c>
      <c r="BE240" s="133">
        <f t="shared" si="71"/>
        <v>27954.521874432401</v>
      </c>
    </row>
    <row r="241" spans="2:57">
      <c r="B241" s="111" t="e">
        <f>'[1]Oil Production'!#REF!</f>
        <v>#REF!</v>
      </c>
      <c r="C241" s="66"/>
      <c r="D241" s="127">
        <f>'[1]Oil Production'!A202</f>
        <v>196</v>
      </c>
      <c r="E241" s="66">
        <f>'[1]Oil Production'!B202</f>
        <v>27.086274522190212</v>
      </c>
      <c r="F241" s="66">
        <f>'[1]Oil Production'!C202</f>
        <v>823.87418338328564</v>
      </c>
      <c r="G241" s="66">
        <f>'[1]Oil Production'!D202</f>
        <v>268307.16925705899</v>
      </c>
      <c r="H241" s="95"/>
      <c r="K241" s="109">
        <f>'Liquids Type Curve'!A218</f>
        <v>16.338557465453359</v>
      </c>
      <c r="L241" s="116">
        <f>'Liquids Type Curve'!B218</f>
        <v>196.0626895854403</v>
      </c>
      <c r="M241" s="65">
        <f>'Liquids Type Curve'!C218</f>
        <v>4.9735490796141626</v>
      </c>
      <c r="N241" s="65">
        <f>'Liquids Type Curve'!D218</f>
        <v>151.2787845049308</v>
      </c>
      <c r="O241" s="65">
        <f>'Liquids Type Curve'!E218</f>
        <v>115558.93067319608</v>
      </c>
      <c r="S241" s="112">
        <f>'Gas Type Curve'!A225</f>
        <v>16.333333333333371</v>
      </c>
      <c r="T241" s="128">
        <f>'Gas Type Curve'!B225</f>
        <v>196.00000000000045</v>
      </c>
      <c r="U241" s="94">
        <f>'Gas Type Curve'!C225</f>
        <v>133.63440218542976</v>
      </c>
      <c r="V241" s="94">
        <f>'Gas Type Curve'!D225</f>
        <v>4064.7130664734887</v>
      </c>
      <c r="W241" s="94">
        <f>'Gas Type Curve'!E225</f>
        <v>2164077.7514021508</v>
      </c>
      <c r="AK241" s="146">
        <f t="shared" si="53"/>
        <v>196</v>
      </c>
      <c r="AL241" s="145"/>
      <c r="AM241" s="146">
        <f t="shared" si="54"/>
        <v>1652.6051456337977</v>
      </c>
      <c r="AN241" s="133">
        <f>'Price Deck'!E200*F241+N241*'Price Deck'!T200+(V241*'Price Deck'!K200/$AB$3)</f>
        <v>63224.563709375136</v>
      </c>
      <c r="AO241" s="133">
        <f t="shared" si="55"/>
        <v>38.257513524277215</v>
      </c>
      <c r="AP241" s="133">
        <f>'Production Costs '!$N$22*(1+'Production Costs '!$P$2)^(AL241)</f>
        <v>-6.5424999999999995</v>
      </c>
      <c r="AQ241" s="133">
        <f>'Production Costs '!$N$23*(1+'Production Costs '!$P$2)^AL241</f>
        <v>-1.1487500000000002</v>
      </c>
      <c r="AR241" s="162">
        <f>-'Oil Royalties'!W206</f>
        <v>-12.40070348317764</v>
      </c>
      <c r="AS241" s="162">
        <f>-'Butane Royalties'!AD206</f>
        <v>-6.7672378224604817</v>
      </c>
      <c r="AT241" s="162">
        <f>-'Propane Royalties'!AD206</f>
        <v>-5.8294767007881925</v>
      </c>
      <c r="AU241" s="162">
        <f>-'Ethane Royalties'!AH206</f>
        <v>-0.456423629216685</v>
      </c>
      <c r="AV241" s="162">
        <f>-'Natural Gas Royalties'!AB206</f>
        <v>-0.18448344049158877</v>
      </c>
      <c r="AW241" s="133">
        <f>AN241+AM241*(AP241+AQ241)+(AR241*F241)+(AV241*(V241/$AB$3))+(AS241*'Butane Royalties'!K211)+(AT241*'Propane Royalties'!K211)+(AU241*'Ethane Royalties'!K211)</f>
        <v>39615.506228525126</v>
      </c>
      <c r="AX241" s="133">
        <f t="shared" si="56"/>
        <v>23.971549606504471</v>
      </c>
      <c r="AY241" s="133">
        <f t="shared" si="65"/>
        <v>666.3606720539334</v>
      </c>
      <c r="AZ241" s="133">
        <f t="shared" si="66"/>
        <v>25924.380838380806</v>
      </c>
      <c r="BA241" s="133">
        <f t="shared" si="67"/>
        <v>38949.145556471194</v>
      </c>
      <c r="BB241" s="133">
        <f t="shared" si="68"/>
        <v>39615.506228525126</v>
      </c>
      <c r="BC241" s="133">
        <f t="shared" si="69"/>
        <v>11712.72886786629</v>
      </c>
      <c r="BD241" s="133">
        <f t="shared" si="70"/>
        <v>27902.777360658838</v>
      </c>
      <c r="BE241" s="133">
        <f t="shared" si="71"/>
        <v>27902.777360658838</v>
      </c>
    </row>
    <row r="242" spans="2:57">
      <c r="B242" s="111" t="e">
        <f>'[1]Oil Production'!#REF!</f>
        <v>#REF!</v>
      </c>
      <c r="C242" s="66"/>
      <c r="D242" s="127">
        <f>'[1]Oil Production'!A203</f>
        <v>197</v>
      </c>
      <c r="E242" s="66">
        <f>'[1]Oil Production'!B203</f>
        <v>27.028951492100052</v>
      </c>
      <c r="F242" s="66">
        <f>'[1]Oil Production'!C203</f>
        <v>822.13060788471</v>
      </c>
      <c r="G242" s="66">
        <f>'[1]Oil Production'!D203</f>
        <v>269129.29986494372</v>
      </c>
      <c r="H242" s="95"/>
      <c r="K242" s="109">
        <f>'Liquids Type Curve'!A219</f>
        <v>16.421890798786691</v>
      </c>
      <c r="L242" s="116">
        <f>'Liquids Type Curve'!B219</f>
        <v>197.0626895854403</v>
      </c>
      <c r="M242" s="65">
        <f>'Liquids Type Curve'!C219</f>
        <v>4.950020781071248</v>
      </c>
      <c r="N242" s="65">
        <f>'Liquids Type Curve'!D219</f>
        <v>150.56313209091712</v>
      </c>
      <c r="O242" s="65">
        <f>'Liquids Type Curve'!E219</f>
        <v>115709.493805287</v>
      </c>
      <c r="S242" s="112">
        <f>'Gas Type Curve'!A226</f>
        <v>16.416666666666703</v>
      </c>
      <c r="T242" s="128">
        <f>'Gas Type Curve'!B226</f>
        <v>197.00000000000045</v>
      </c>
      <c r="U242" s="94">
        <f>'Gas Type Curve'!C226</f>
        <v>133.15496370545964</v>
      </c>
      <c r="V242" s="94">
        <f>'Gas Type Curve'!D226</f>
        <v>4050.1301460410641</v>
      </c>
      <c r="W242" s="94">
        <f>'Gas Type Curve'!E226</f>
        <v>2168127.8815481919</v>
      </c>
      <c r="AK242" s="146">
        <f t="shared" si="53"/>
        <v>197</v>
      </c>
      <c r="AL242" s="145"/>
      <c r="AM242" s="146">
        <f t="shared" si="54"/>
        <v>1647.7154309824709</v>
      </c>
      <c r="AN242" s="133">
        <f>'Price Deck'!E201*F242+N242*'Price Deck'!T201+(V242*'Price Deck'!K201/$AB$3)</f>
        <v>63071.755828408946</v>
      </c>
      <c r="AO242" s="133">
        <f t="shared" si="55"/>
        <v>38.278306218690702</v>
      </c>
      <c r="AP242" s="133">
        <f>'Production Costs '!$N$22*(1+'Production Costs '!$P$2)^(AL242)</f>
        <v>-6.5424999999999995</v>
      </c>
      <c r="AQ242" s="133">
        <f>'Production Costs '!$N$23*(1+'Production Costs '!$P$2)^AL242</f>
        <v>-1.1487500000000002</v>
      </c>
      <c r="AR242" s="162">
        <f>-'Oil Royalties'!W207</f>
        <v>-12.371469088388304</v>
      </c>
      <c r="AS242" s="162">
        <f>-'Butane Royalties'!AD207</f>
        <v>-6.7641732283476816</v>
      </c>
      <c r="AT242" s="162">
        <f>-'Propane Royalties'!AD207</f>
        <v>-5.8268310950265114</v>
      </c>
      <c r="AU242" s="162">
        <f>-'Ethane Royalties'!AH207</f>
        <v>-0.45637016996944113</v>
      </c>
      <c r="AV242" s="162">
        <f>-'Natural Gas Royalties'!AB207</f>
        <v>-0.18448344049158877</v>
      </c>
      <c r="AW242" s="133">
        <f>AN242+AM242*(AP242+AQ242)+(AR242*F242)+(AV242*(V242/$AB$3))+(AS242*'Butane Royalties'!K212)+(AT242*'Propane Royalties'!K212)+(AU242*'Ethane Royalties'!K212)</f>
        <v>39549.286249261706</v>
      </c>
      <c r="AX242" s="133">
        <f t="shared" si="56"/>
        <v>24.002497946917902</v>
      </c>
      <c r="AY242" s="133">
        <f t="shared" si="65"/>
        <v>649.66175656540065</v>
      </c>
      <c r="AZ242" s="133">
        <f t="shared" si="66"/>
        <v>25274.719081815405</v>
      </c>
      <c r="BA242" s="133">
        <f t="shared" si="67"/>
        <v>38899.624492696305</v>
      </c>
      <c r="BB242" s="133">
        <f t="shared" si="68"/>
        <v>39549.286249261706</v>
      </c>
      <c r="BC242" s="133">
        <f t="shared" si="69"/>
        <v>11697.836967544557</v>
      </c>
      <c r="BD242" s="133">
        <f t="shared" si="70"/>
        <v>27851.449281717149</v>
      </c>
      <c r="BE242" s="133">
        <f t="shared" si="71"/>
        <v>27851.449281717149</v>
      </c>
    </row>
    <row r="243" spans="2:57">
      <c r="B243" s="111" t="e">
        <f>'[1]Oil Production'!#REF!</f>
        <v>#REF!</v>
      </c>
      <c r="C243" s="66"/>
      <c r="D243" s="127">
        <f>'[1]Oil Production'!A204</f>
        <v>198</v>
      </c>
      <c r="E243" s="66">
        <f>'[1]Oil Production'!B204</f>
        <v>26.972039100520465</v>
      </c>
      <c r="F243" s="66">
        <f>'[1]Oil Production'!C204</f>
        <v>820.39952264083081</v>
      </c>
      <c r="G243" s="66">
        <f>'[1]Oil Production'!D204</f>
        <v>269949.69938758458</v>
      </c>
      <c r="H243" s="95"/>
      <c r="K243" s="109">
        <f>'Liquids Type Curve'!A220</f>
        <v>16.505224132120023</v>
      </c>
      <c r="L243" s="116">
        <f>'Liquids Type Curve'!B220</f>
        <v>198.0626895854403</v>
      </c>
      <c r="M243" s="65">
        <f>'Liquids Type Curve'!C220</f>
        <v>4.9267220380709889</v>
      </c>
      <c r="N243" s="65">
        <f>'Liquids Type Curve'!D220</f>
        <v>149.85446199132591</v>
      </c>
      <c r="O243" s="65">
        <f>'Liquids Type Curve'!E220</f>
        <v>115859.34826727833</v>
      </c>
      <c r="S243" s="112">
        <f>'Gas Type Curve'!A227</f>
        <v>16.500000000000036</v>
      </c>
      <c r="T243" s="128">
        <f>'Gas Type Curve'!B227</f>
        <v>198.00000000000043</v>
      </c>
      <c r="U243" s="94">
        <f>'Gas Type Curve'!C227</f>
        <v>132.67965981643229</v>
      </c>
      <c r="V243" s="94">
        <f>'Gas Type Curve'!D227</f>
        <v>4035.6729860831492</v>
      </c>
      <c r="W243" s="94">
        <f>'Gas Type Curve'!E227</f>
        <v>2172163.5545342751</v>
      </c>
      <c r="AK243" s="146">
        <f t="shared" si="53"/>
        <v>198</v>
      </c>
      <c r="AL243" s="145"/>
      <c r="AM243" s="146">
        <f t="shared" si="54"/>
        <v>1642.8661489793483</v>
      </c>
      <c r="AN243" s="133">
        <f>'Price Deck'!E202*F243+N243*'Price Deck'!T202+(V243*'Price Deck'!K202/$AB$3)</f>
        <v>62920.12760949388</v>
      </c>
      <c r="AO243" s="133">
        <f t="shared" si="55"/>
        <v>38.298998155500264</v>
      </c>
      <c r="AP243" s="133">
        <f>'Production Costs '!$N$22*(1+'Production Costs '!$P$2)^(AL243)</f>
        <v>-6.5424999999999995</v>
      </c>
      <c r="AQ243" s="133">
        <f>'Production Costs '!$N$23*(1+'Production Costs '!$P$2)^AL243</f>
        <v>-1.1487500000000002</v>
      </c>
      <c r="AR243" s="162">
        <f>-'Oil Royalties'!W208</f>
        <v>-12.342444116728114</v>
      </c>
      <c r="AS243" s="162">
        <f>-'Butane Royalties'!AD208</f>
        <v>-6.7611393086635792</v>
      </c>
      <c r="AT243" s="162">
        <f>-'Propane Royalties'!AD208</f>
        <v>-5.8242119699152219</v>
      </c>
      <c r="AU243" s="162">
        <f>-'Ethane Royalties'!AH208</f>
        <v>-0.45631724581161126</v>
      </c>
      <c r="AV243" s="162">
        <f>-'Natural Gas Royalties'!AB208</f>
        <v>-0.18448344049158877</v>
      </c>
      <c r="AW243" s="133">
        <f>AN243+AM243*(AP243+AQ243)+(AR243*F243)+(AV243*(V243/$AB$3))+(AS243*'Butane Royalties'!K213)+(AT243*'Propane Royalties'!K213)+(AU243*'Ethane Royalties'!K213)</f>
        <v>39483.472800777345</v>
      </c>
      <c r="AX243" s="133">
        <f t="shared" si="56"/>
        <v>24.033286476385772</v>
      </c>
      <c r="AY243" s="133">
        <f t="shared" si="65"/>
        <v>633.38131382021527</v>
      </c>
      <c r="AZ243" s="133">
        <f t="shared" si="66"/>
        <v>24641.337767995188</v>
      </c>
      <c r="BA243" s="133">
        <f t="shared" si="67"/>
        <v>38850.091486957128</v>
      </c>
      <c r="BB243" s="133">
        <f t="shared" si="68"/>
        <v>39483.472800777345</v>
      </c>
      <c r="BC243" s="133">
        <f t="shared" si="69"/>
        <v>11682.941476053165</v>
      </c>
      <c r="BD243" s="133">
        <f t="shared" si="70"/>
        <v>27800.531324724179</v>
      </c>
      <c r="BE243" s="133">
        <f t="shared" si="71"/>
        <v>27800.531324724179</v>
      </c>
    </row>
    <row r="244" spans="2:57">
      <c r="B244" s="111" t="e">
        <f>'[1]Oil Production'!#REF!</f>
        <v>#REF!</v>
      </c>
      <c r="C244" s="66"/>
      <c r="D244" s="127">
        <f>'[1]Oil Production'!A205</f>
        <v>199</v>
      </c>
      <c r="E244" s="66">
        <f>'[1]Oil Production'!B205</f>
        <v>26.915532354057405</v>
      </c>
      <c r="F244" s="66">
        <f>'[1]Oil Production'!C205</f>
        <v>818.68077576924611</v>
      </c>
      <c r="G244" s="66">
        <f>'[1]Oil Production'!D205</f>
        <v>270768.38016335381</v>
      </c>
      <c r="H244" s="95"/>
      <c r="K244" s="109">
        <f>'Liquids Type Curve'!A221</f>
        <v>16.588557465453356</v>
      </c>
      <c r="L244" s="116">
        <f>'Liquids Type Curve'!B221</f>
        <v>199.06268958544027</v>
      </c>
      <c r="M244" s="65">
        <f>'Liquids Type Curve'!C221</f>
        <v>4.9036494688113113</v>
      </c>
      <c r="N244" s="65">
        <f>'Liquids Type Curve'!D221</f>
        <v>149.15267134301072</v>
      </c>
      <c r="O244" s="65">
        <f>'Liquids Type Curve'!E221</f>
        <v>116008.50093862134</v>
      </c>
      <c r="S244" s="112">
        <f>'Gas Type Curve'!A228</f>
        <v>16.583333333333368</v>
      </c>
      <c r="T244" s="128">
        <f>'Gas Type Curve'!B228</f>
        <v>199.0000000000004</v>
      </c>
      <c r="U244" s="94">
        <f>'Gas Type Curve'!C228</f>
        <v>132.2084342494347</v>
      </c>
      <c r="V244" s="94">
        <f>'Gas Type Curve'!D228</f>
        <v>4021.3398750869724</v>
      </c>
      <c r="W244" s="94">
        <f>'Gas Type Curve'!E228</f>
        <v>2176184.8944093622</v>
      </c>
      <c r="AK244" s="146">
        <f t="shared" si="53"/>
        <v>199</v>
      </c>
      <c r="AL244" s="145"/>
      <c r="AM244" s="146">
        <f t="shared" si="54"/>
        <v>1638.0567596267524</v>
      </c>
      <c r="AN244" s="133">
        <f>'Price Deck'!E203*F244+N244*'Price Deck'!T203+(V244*'Price Deck'!K203/$AB$3)</f>
        <v>62769.663899846462</v>
      </c>
      <c r="AO244" s="133">
        <f t="shared" si="55"/>
        <v>38.319590289502031</v>
      </c>
      <c r="AP244" s="133">
        <f>'Production Costs '!$N$22*(1+'Production Costs '!$P$2)^(AL244)</f>
        <v>-6.5424999999999995</v>
      </c>
      <c r="AQ244" s="133">
        <f>'Production Costs '!$N$23*(1+'Production Costs '!$P$2)^AL244</f>
        <v>-1.1487500000000002</v>
      </c>
      <c r="AR244" s="162">
        <f>-'Oil Royalties'!W209</f>
        <v>-12.313626021596653</v>
      </c>
      <c r="AS244" s="162">
        <f>-'Butane Royalties'!AD209</f>
        <v>-6.7581355998687922</v>
      </c>
      <c r="AT244" s="162">
        <f>-'Propane Royalties'!AD209</f>
        <v>-5.8216189252896005</v>
      </c>
      <c r="AU244" s="162">
        <f>-'Ethane Royalties'!AH209</f>
        <v>-0.45626484865714317</v>
      </c>
      <c r="AV244" s="162">
        <f>-'Natural Gas Royalties'!AB209</f>
        <v>-0.18448344049158877</v>
      </c>
      <c r="AW244" s="133">
        <f>AN244+AM244*(AP244+AQ244)+(AR244*F244)+(AV244*(V244/$AB$3))+(AS244*'Butane Royalties'!K214)+(AT244*'Propane Royalties'!K214)+(AU244*'Ethane Royalties'!K214)</f>
        <v>39418.061547990052</v>
      </c>
      <c r="AX244" s="133">
        <f t="shared" si="56"/>
        <v>24.063916782085041</v>
      </c>
      <c r="AY244" s="133">
        <f t="shared" si="65"/>
        <v>617.50885694352303</v>
      </c>
      <c r="AZ244" s="133">
        <f t="shared" si="66"/>
        <v>24023.828911051663</v>
      </c>
      <c r="BA244" s="133">
        <f t="shared" si="67"/>
        <v>38800.552691046527</v>
      </c>
      <c r="BB244" s="133">
        <f t="shared" si="68"/>
        <v>39418.061547990052</v>
      </c>
      <c r="BC244" s="133">
        <f t="shared" si="69"/>
        <v>11668.04424335007</v>
      </c>
      <c r="BD244" s="133">
        <f t="shared" si="70"/>
        <v>27750.01730463998</v>
      </c>
      <c r="BE244" s="133">
        <f t="shared" si="71"/>
        <v>27750.01730463998</v>
      </c>
    </row>
    <row r="245" spans="2:57">
      <c r="B245" s="111" t="e">
        <f>'[1]Oil Production'!#REF!</f>
        <v>#REF!</v>
      </c>
      <c r="C245" s="66"/>
      <c r="D245" s="127">
        <f>'[1]Oil Production'!A206</f>
        <v>200</v>
      </c>
      <c r="E245" s="66">
        <f>'[1]Oil Production'!B206</f>
        <v>26.859426344736523</v>
      </c>
      <c r="F245" s="66">
        <f>'[1]Oil Production'!C206</f>
        <v>816.97421798573589</v>
      </c>
      <c r="G245" s="66">
        <f>'[1]Oil Production'!D206</f>
        <v>271585.35438133957</v>
      </c>
      <c r="H245" s="95"/>
      <c r="K245" s="109">
        <f>'Liquids Type Curve'!A222</f>
        <v>16.671890798786688</v>
      </c>
      <c r="L245" s="116">
        <f>'Liquids Type Curve'!B222</f>
        <v>200.06268958544024</v>
      </c>
      <c r="M245" s="65">
        <f>'Liquids Type Curve'!C222</f>
        <v>4.8807997579682105</v>
      </c>
      <c r="N245" s="65">
        <f>'Liquids Type Curve'!D222</f>
        <v>148.45765930486641</v>
      </c>
      <c r="O245" s="65">
        <f>'Liquids Type Curve'!E222</f>
        <v>116156.9585979262</v>
      </c>
      <c r="S245" s="112">
        <f>'Gas Type Curve'!A229</f>
        <v>16.6666666666667</v>
      </c>
      <c r="T245" s="128">
        <f>'Gas Type Curve'!B229</f>
        <v>200.0000000000004</v>
      </c>
      <c r="U245" s="94">
        <f>'Gas Type Curve'!C229</f>
        <v>131.74123177905554</v>
      </c>
      <c r="V245" s="94">
        <f>'Gas Type Curve'!D229</f>
        <v>4007.1291332796063</v>
      </c>
      <c r="W245" s="94">
        <f>'Gas Type Curve'!E229</f>
        <v>2180192.0235426417</v>
      </c>
      <c r="AK245" s="146">
        <f t="shared" si="53"/>
        <v>200</v>
      </c>
      <c r="AL245" s="145"/>
      <c r="AM245" s="146">
        <f t="shared" si="54"/>
        <v>1633.2867328372033</v>
      </c>
      <c r="AN245" s="133">
        <f>'Price Deck'!E204*F245+N245*'Price Deck'!T204+(V245*'Price Deck'!K204/$AB$3)</f>
        <v>62620.349817578135</v>
      </c>
      <c r="AO245" s="133">
        <f t="shared" si="55"/>
        <v>38.340083561934975</v>
      </c>
      <c r="AP245" s="133">
        <f>'Production Costs '!$N$22*(1+'Production Costs '!$P$2)^(AL245)</f>
        <v>-6.5424999999999995</v>
      </c>
      <c r="AQ245" s="133">
        <f>'Production Costs '!$N$23*(1+'Production Costs '!$P$2)^AL245</f>
        <v>-1.1487500000000002</v>
      </c>
      <c r="AR245" s="162">
        <f>-'Oil Royalties'!W210</f>
        <v>-12.285012299957005</v>
      </c>
      <c r="AS245" s="162">
        <f>-'Butane Royalties'!AD210</f>
        <v>-6.7551616477696275</v>
      </c>
      <c r="AT245" s="162">
        <f>-'Propane Royalties'!AD210</f>
        <v>-5.8190515690528812</v>
      </c>
      <c r="AU245" s="162">
        <f>-'Ethane Royalties'!AH210</f>
        <v>-0.45621297058301391</v>
      </c>
      <c r="AV245" s="162">
        <f>-'Natural Gas Royalties'!AB210</f>
        <v>-0.18448344049158877</v>
      </c>
      <c r="AW245" s="133">
        <f>AN245+AM245*(AP245+AQ245)+(AR245*F245)+(AV245*(V245/$AB$3))+(AS245*'Butane Royalties'!K215)+(AT245*'Propane Royalties'!K215)+(AU245*'Ethane Royalties'!K215)</f>
        <v>39353.048221409379</v>
      </c>
      <c r="AX245" s="133">
        <f t="shared" si="56"/>
        <v>24.094390427728936</v>
      </c>
      <c r="AY245" s="133">
        <f t="shared" si="65"/>
        <v>602.03416186024867</v>
      </c>
      <c r="AZ245" s="133">
        <f t="shared" si="66"/>
        <v>23421.794749191416</v>
      </c>
      <c r="BA245" s="133">
        <f t="shared" si="67"/>
        <v>38751.014059549132</v>
      </c>
      <c r="BB245" s="133">
        <f t="shared" si="68"/>
        <v>39353.048221409379</v>
      </c>
      <c r="BC245" s="133">
        <f t="shared" si="69"/>
        <v>11653.14706008907</v>
      </c>
      <c r="BD245" s="133">
        <f t="shared" si="70"/>
        <v>27699.901161320311</v>
      </c>
      <c r="BE245" s="133">
        <f t="shared" si="71"/>
        <v>27699.901161320311</v>
      </c>
    </row>
    <row r="246" spans="2:57">
      <c r="B246" s="111" t="e">
        <f>'[1]Oil Production'!#REF!</f>
        <v>#REF!</v>
      </c>
      <c r="C246" s="66"/>
      <c r="D246" s="127">
        <f>'[1]Oil Production'!A207</f>
        <v>201</v>
      </c>
      <c r="E246" s="66">
        <f>'[1]Oil Production'!B207</f>
        <v>26.803716248123528</v>
      </c>
      <c r="F246" s="66">
        <f>'[1]Oil Production'!C207</f>
        <v>815.27970254709066</v>
      </c>
      <c r="G246" s="66">
        <f>'[1]Oil Production'!D207</f>
        <v>272400.63408388663</v>
      </c>
      <c r="H246" s="95"/>
      <c r="K246" s="109">
        <f>'Liquids Type Curve'!A223</f>
        <v>16.75522413212002</v>
      </c>
      <c r="L246" s="116">
        <f>'Liquids Type Curve'!B223</f>
        <v>201.06268958544024</v>
      </c>
      <c r="M246" s="65">
        <f>'Liquids Type Curve'!C223</f>
        <v>4.858169655064815</v>
      </c>
      <c r="N246" s="65">
        <f>'Liquids Type Curve'!D223</f>
        <v>147.76932700822147</v>
      </c>
      <c r="O246" s="65">
        <f>'Liquids Type Curve'!E223</f>
        <v>116304.72792493443</v>
      </c>
      <c r="S246" s="112">
        <f>'Gas Type Curve'!A230</f>
        <v>16.750000000000032</v>
      </c>
      <c r="T246" s="128">
        <f>'Gas Type Curve'!B230</f>
        <v>201.0000000000004</v>
      </c>
      <c r="U246" s="94">
        <f>'Gas Type Curve'!C230</f>
        <v>131.27799819893494</v>
      </c>
      <c r="V246" s="94">
        <f>'Gas Type Curve'!D230</f>
        <v>3993.0391118842713</v>
      </c>
      <c r="W246" s="94">
        <f>'Gas Type Curve'!E230</f>
        <v>2184185.062654526</v>
      </c>
      <c r="AK246" s="146">
        <f t="shared" si="53"/>
        <v>201</v>
      </c>
      <c r="AL246" s="145"/>
      <c r="AM246" s="146">
        <f t="shared" si="54"/>
        <v>1628.5555482026907</v>
      </c>
      <c r="AN246" s="133">
        <f>'Price Deck'!E205*F246+N246*'Price Deck'!T205+(V246*'Price Deck'!K205/$AB$3)</f>
        <v>62472.17074550828</v>
      </c>
      <c r="AO246" s="133">
        <f t="shared" si="55"/>
        <v>38.360478900737483</v>
      </c>
      <c r="AP246" s="133">
        <f>'Production Costs '!$N$22*(1+'Production Costs '!$P$2)^(AL246)</f>
        <v>-6.5424999999999995</v>
      </c>
      <c r="AQ246" s="133">
        <f>'Production Costs '!$N$23*(1+'Production Costs '!$P$2)^AL246</f>
        <v>-1.1487500000000002</v>
      </c>
      <c r="AR246" s="162">
        <f>-'Oil Royalties'!W211</f>
        <v>-12.256600491377196</v>
      </c>
      <c r="AS246" s="162">
        <f>-'Butane Royalties'!AD211</f>
        <v>-6.7522170072829315</v>
      </c>
      <c r="AT246" s="162">
        <f>-'Propane Royalties'!AD211</f>
        <v>-5.8165095169732401</v>
      </c>
      <c r="AU246" s="162">
        <f>-'Ethane Royalties'!AH211</f>
        <v>-0.45616160382512372</v>
      </c>
      <c r="AV246" s="162">
        <f>-'Natural Gas Royalties'!AB211</f>
        <v>-0.18448344049158877</v>
      </c>
      <c r="AW246" s="133">
        <f>AN246+AM246*(AP246+AQ246)+(AR246*F246)+(AV246*(V246/$AB$3))+(AS246*'Butane Royalties'!K216)+(AT246*'Propane Royalties'!K216)+(AU246*'Ethane Royalties'!K216)</f>
        <v>39288.428615857149</v>
      </c>
      <c r="AX246" s="133">
        <f t="shared" si="56"/>
        <v>24.124708954027827</v>
      </c>
      <c r="AY246" s="133">
        <f t="shared" si="65"/>
        <v>586.94726070936531</v>
      </c>
      <c r="AZ246" s="133">
        <f t="shared" si="66"/>
        <v>22834.84748848205</v>
      </c>
      <c r="BA246" s="133">
        <f t="shared" si="67"/>
        <v>38701.481355147786</v>
      </c>
      <c r="BB246" s="133">
        <f t="shared" si="68"/>
        <v>39288.428615857149</v>
      </c>
      <c r="BC246" s="133">
        <f t="shared" si="69"/>
        <v>11638.251659215541</v>
      </c>
      <c r="BD246" s="133">
        <f t="shared" si="70"/>
        <v>27650.176956641608</v>
      </c>
      <c r="BE246" s="133">
        <f t="shared" si="71"/>
        <v>27650.176956641608</v>
      </c>
    </row>
    <row r="247" spans="2:57">
      <c r="B247" s="111" t="e">
        <f>'[1]Oil Production'!#REF!</f>
        <v>#REF!</v>
      </c>
      <c r="C247" s="66"/>
      <c r="D247" s="127">
        <f>'[1]Oil Production'!A208</f>
        <v>202</v>
      </c>
      <c r="E247" s="66">
        <f>'[1]Oil Production'!B208</f>
        <v>26.748397321495187</v>
      </c>
      <c r="F247" s="66">
        <f>'[1]Oil Production'!C208</f>
        <v>813.5970851954786</v>
      </c>
      <c r="G247" s="66">
        <f>'[1]Oil Production'!D208</f>
        <v>273214.23116908211</v>
      </c>
      <c r="H247" s="95"/>
      <c r="K247" s="109">
        <f>'Liquids Type Curve'!A224</f>
        <v>16.838557465453352</v>
      </c>
      <c r="L247" s="116">
        <f>'Liquids Type Curve'!B224</f>
        <v>202.06268958544024</v>
      </c>
      <c r="M247" s="65">
        <f>'Liquids Type Curve'!C224</f>
        <v>4.8357559728882196</v>
      </c>
      <c r="N247" s="65">
        <f>'Liquids Type Curve'!D224</f>
        <v>147.08757750868335</v>
      </c>
      <c r="O247" s="65">
        <f>'Liquids Type Curve'!E224</f>
        <v>116451.81550244312</v>
      </c>
      <c r="S247" s="112">
        <f>'Gas Type Curve'!A231</f>
        <v>16.833333333333364</v>
      </c>
      <c r="T247" s="128">
        <f>'Gas Type Curve'!B231</f>
        <v>202.00000000000037</v>
      </c>
      <c r="U247" s="94">
        <f>'Gas Type Curve'!C231</f>
        <v>130.81868029800395</v>
      </c>
      <c r="V247" s="94">
        <f>'Gas Type Curve'!D231</f>
        <v>3979.0681923976204</v>
      </c>
      <c r="W247" s="94">
        <f>'Gas Type Curve'!E231</f>
        <v>2188164.1308469237</v>
      </c>
      <c r="AK247" s="146">
        <f t="shared" si="53"/>
        <v>202</v>
      </c>
      <c r="AL247" s="145"/>
      <c r="AM247" s="146">
        <f t="shared" si="54"/>
        <v>1623.862694770432</v>
      </c>
      <c r="AN247" s="133">
        <f>'Price Deck'!E206*F247+N247*'Price Deck'!T206+(V247*'Price Deck'!K206/$AB$3)</f>
        <v>63137.782252689336</v>
      </c>
      <c r="AO247" s="133">
        <f t="shared" si="55"/>
        <v>38.881232049988824</v>
      </c>
      <c r="AP247" s="133">
        <f>'Production Costs '!$N$22*(1+'Production Costs '!$P$2)^(AL247)</f>
        <v>-6.5424999999999995</v>
      </c>
      <c r="AQ247" s="133">
        <f>'Production Costs '!$N$23*(1+'Production Costs '!$P$2)^AL247</f>
        <v>-1.1487500000000002</v>
      </c>
      <c r="AR247" s="162">
        <f>-'Oil Royalties'!W212</f>
        <v>-12.639729824243036</v>
      </c>
      <c r="AS247" s="162">
        <f>-'Butane Royalties'!AD212</f>
        <v>-6.7493012422080172</v>
      </c>
      <c r="AT247" s="162">
        <f>-'Propane Royalties'!AD212</f>
        <v>-5.8139923924869414</v>
      </c>
      <c r="AU247" s="162">
        <f>-'Ethane Royalties'!AH212</f>
        <v>-0.4561107407743224</v>
      </c>
      <c r="AV247" s="162">
        <f>-'Natural Gas Royalties'!AB212</f>
        <v>-0.18448344049158877</v>
      </c>
      <c r="AW247" s="133">
        <f>AN247+AM247*(AP247+AQ247)+(AR247*F247)+(AV247*(V247/$AB$3))+(AS247*'Butane Royalties'!K217)+(AT247*'Propane Royalties'!K217)+(AU247*'Ethane Royalties'!K217)</f>
        <v>39702.202151622092</v>
      </c>
      <c r="AX247" s="133">
        <f t="shared" si="56"/>
        <v>24.449235935698894</v>
      </c>
      <c r="AY247" s="133">
        <f t="shared" si="65"/>
        <v>572.2384354232023</v>
      </c>
      <c r="AZ247" s="133">
        <f t="shared" si="66"/>
        <v>22262.609053058848</v>
      </c>
      <c r="BA247" s="133">
        <f t="shared" si="67"/>
        <v>39129.963716198887</v>
      </c>
      <c r="BB247" s="133">
        <f t="shared" si="68"/>
        <v>39702.202151622092</v>
      </c>
      <c r="BC247" s="133">
        <f t="shared" si="69"/>
        <v>11767.104234745811</v>
      </c>
      <c r="BD247" s="133">
        <f t="shared" si="70"/>
        <v>27935.097916876279</v>
      </c>
      <c r="BE247" s="133">
        <f t="shared" si="71"/>
        <v>27935.097916876279</v>
      </c>
    </row>
    <row r="248" spans="2:57">
      <c r="B248" s="111" t="e">
        <f>'[1]Oil Production'!#REF!</f>
        <v>#REF!</v>
      </c>
      <c r="C248" s="66"/>
      <c r="D248" s="127">
        <f>'[1]Oil Production'!A209</f>
        <v>203</v>
      </c>
      <c r="E248" s="66">
        <f>'[1]Oil Production'!B209</f>
        <v>26.693464902059091</v>
      </c>
      <c r="F248" s="66">
        <f>'[1]Oil Production'!C209</f>
        <v>811.92622410429738</v>
      </c>
      <c r="G248" s="66">
        <f>'[1]Oil Production'!D209</f>
        <v>274026.15739318641</v>
      </c>
      <c r="H248" s="95"/>
      <c r="K248" s="109">
        <f>'Liquids Type Curve'!A225</f>
        <v>16.921890798786684</v>
      </c>
      <c r="L248" s="116">
        <f>'Liquids Type Curve'!B225</f>
        <v>203.06268958544021</v>
      </c>
      <c r="M248" s="65">
        <f>'Liquids Type Curve'!C225</f>
        <v>4.8135555859527122</v>
      </c>
      <c r="N248" s="65">
        <f>'Liquids Type Curve'!D225</f>
        <v>146.41231573939501</v>
      </c>
      <c r="O248" s="65">
        <f>'Liquids Type Curve'!E225</f>
        <v>116598.22781818251</v>
      </c>
      <c r="S248" s="112">
        <f>'Gas Type Curve'!A232</f>
        <v>16.916666666666696</v>
      </c>
      <c r="T248" s="128">
        <f>'Gas Type Curve'!B232</f>
        <v>203.00000000000034</v>
      </c>
      <c r="U248" s="94">
        <f>'Gas Type Curve'!C232</f>
        <v>130.36322583739494</v>
      </c>
      <c r="V248" s="94">
        <f>'Gas Type Curve'!D232</f>
        <v>3965.2147858874296</v>
      </c>
      <c r="W248" s="94">
        <f>'Gas Type Curve'!E232</f>
        <v>2192129.3456328111</v>
      </c>
      <c r="AK248" s="146">
        <f t="shared" si="53"/>
        <v>203</v>
      </c>
      <c r="AL248" s="145"/>
      <c r="AM248" s="146">
        <f t="shared" si="54"/>
        <v>1619.2076708249306</v>
      </c>
      <c r="AN248" s="133">
        <f>'Price Deck'!E207*F248+N248*'Price Deck'!T207+(V248*'Price Deck'!K207/$AB$3)</f>
        <v>63123.863100084222</v>
      </c>
      <c r="AO248" s="133">
        <f t="shared" si="55"/>
        <v>38.984414561181509</v>
      </c>
      <c r="AP248" s="133">
        <f>'Production Costs '!$N$22*(1+'Production Costs '!$P$2)^(AL248)</f>
        <v>-6.5424999999999995</v>
      </c>
      <c r="AQ248" s="133">
        <f>'Production Costs '!$N$23*(1+'Production Costs '!$P$2)^AL248</f>
        <v>-1.1487500000000002</v>
      </c>
      <c r="AR248" s="162">
        <f>-'Oil Royalties'!W213</f>
        <v>-12.611294398297961</v>
      </c>
      <c r="AS248" s="162">
        <f>-'Butane Royalties'!AD213</f>
        <v>-7.0498222028914963</v>
      </c>
      <c r="AT248" s="162">
        <f>-'Propane Royalties'!AD213</f>
        <v>-6.0379974717235028</v>
      </c>
      <c r="AU248" s="162">
        <f>-'Ethane Royalties'!AH213</f>
        <v>-0.50065935381554583</v>
      </c>
      <c r="AV248" s="162">
        <f>-'Natural Gas Royalties'!AB213</f>
        <v>-0.18815974064594623</v>
      </c>
      <c r="AW248" s="133">
        <f>AN248+AM248*(AP248+AQ248)+(AR248*F248)+(AV248*(V248/$AB$3))+(AS248*'Butane Royalties'!K218)+(AT248*'Propane Royalties'!K218)+(AU248*'Ethane Royalties'!K218)</f>
        <v>39744.955453586284</v>
      </c>
      <c r="AX248" s="133">
        <f t="shared" si="56"/>
        <v>24.545928338727297</v>
      </c>
      <c r="AY248" s="133">
        <f t="shared" si="65"/>
        <v>557.89821146765519</v>
      </c>
      <c r="AZ248" s="133">
        <f t="shared" si="66"/>
        <v>21704.710841591193</v>
      </c>
      <c r="BA248" s="133">
        <f t="shared" si="67"/>
        <v>39187.05724211863</v>
      </c>
      <c r="BB248" s="133">
        <f t="shared" si="68"/>
        <v>39744.955453586284</v>
      </c>
      <c r="BC248" s="133">
        <f t="shared" si="69"/>
        <v>11784.273314571681</v>
      </c>
      <c r="BD248" s="133">
        <f t="shared" si="70"/>
        <v>27960.682139014603</v>
      </c>
      <c r="BE248" s="133">
        <f t="shared" si="71"/>
        <v>27960.682139014603</v>
      </c>
    </row>
    <row r="249" spans="2:57">
      <c r="B249" s="111" t="e">
        <f>'[1]Oil Production'!#REF!</f>
        <v>#REF!</v>
      </c>
      <c r="C249" s="66"/>
      <c r="D249" s="127">
        <f>'[1]Oil Production'!A210</f>
        <v>204</v>
      </c>
      <c r="E249" s="66">
        <f>'[1]Oil Production'!B210</f>
        <v>26.638914405220739</v>
      </c>
      <c r="F249" s="66">
        <f>'[1]Oil Production'!C210</f>
        <v>810.2669798254642</v>
      </c>
      <c r="G249" s="66">
        <f>'[1]Oil Production'!D210</f>
        <v>274836.42437301186</v>
      </c>
      <c r="H249" s="95"/>
      <c r="K249" s="109">
        <f>'Liquids Type Curve'!A226</f>
        <v>17.005224132120016</v>
      </c>
      <c r="L249" s="116">
        <f>'Liquids Type Curve'!B226</f>
        <v>204.06268958544018</v>
      </c>
      <c r="M249" s="65">
        <f>'Liquids Type Curve'!C226</f>
        <v>4.7915654290075684</v>
      </c>
      <c r="N249" s="65">
        <f>'Liquids Type Curve'!D226</f>
        <v>145.74344846564688</v>
      </c>
      <c r="O249" s="65">
        <f>'Liquids Type Curve'!E226</f>
        <v>116743.97126664815</v>
      </c>
      <c r="S249" s="112">
        <f>'Gas Type Curve'!A233</f>
        <v>17.000000000000028</v>
      </c>
      <c r="T249" s="128">
        <f>'Gas Type Curve'!B233</f>
        <v>204.00000000000034</v>
      </c>
      <c r="U249" s="94">
        <f>'Gas Type Curve'!C233</f>
        <v>129.9115835279953</v>
      </c>
      <c r="V249" s="94">
        <f>'Gas Type Curve'!D233</f>
        <v>3951.4773323098575</v>
      </c>
      <c r="W249" s="94">
        <f>'Gas Type Curve'!E233</f>
        <v>2196080.8229651209</v>
      </c>
      <c r="AK249" s="146">
        <f t="shared" si="53"/>
        <v>204</v>
      </c>
      <c r="AL249" s="145" t="e">
        <f t="shared" si="64"/>
        <v>#REF!</v>
      </c>
      <c r="AM249" s="146">
        <f t="shared" si="54"/>
        <v>1614.5899836760873</v>
      </c>
      <c r="AN249" s="133">
        <f>'Price Deck'!E208*F249+N249*'Price Deck'!T208+(V249*'Price Deck'!K208/$AB$3)</f>
        <v>62976.789398860012</v>
      </c>
      <c r="AO249" s="133">
        <f t="shared" si="55"/>
        <v>39.00481858278031</v>
      </c>
      <c r="AP249" s="133" t="e">
        <f>'Production Costs '!$N$22*(1+'Production Costs '!$P$2)^(AL249)</f>
        <v>#REF!</v>
      </c>
      <c r="AQ249" s="133" t="e">
        <f>'Production Costs '!$N$23*(1+'Production Costs '!$P$2)^AL249</f>
        <v>#REF!</v>
      </c>
      <c r="AR249" s="162">
        <f>-'Oil Royalties'!W214</f>
        <v>-12.583056672214937</v>
      </c>
      <c r="AS249" s="162">
        <f>-'Butane Royalties'!AD214</f>
        <v>-7.0469200251421862</v>
      </c>
      <c r="AT249" s="162">
        <f>-'Propane Royalties'!AD214</f>
        <v>-6.0354920769167579</v>
      </c>
      <c r="AU249" s="162">
        <f>-'Ethane Royalties'!AH214</f>
        <v>-0.5006087277841248</v>
      </c>
      <c r="AV249" s="162">
        <f>-'Natural Gas Royalties'!AB214</f>
        <v>-0.18815974064594623</v>
      </c>
      <c r="AW249" s="133" t="e">
        <f>AN249+AM249*(AP249+AQ249)+(AR249*F249)+(AV249*(V249/$AB$3))+(AS249*'Butane Royalties'!K219)+(AT249*'Propane Royalties'!K219)+(AU249*'Ethane Royalties'!K219)</f>
        <v>#REF!</v>
      </c>
      <c r="AX249" s="133" t="e">
        <f t="shared" si="56"/>
        <v>#REF!</v>
      </c>
      <c r="AY249" s="133">
        <f t="shared" si="65"/>
        <v>543.91735173926486</v>
      </c>
      <c r="AZ249" s="133">
        <f t="shared" si="66"/>
        <v>21160.793489851927</v>
      </c>
      <c r="BA249" s="133" t="e">
        <f t="shared" si="67"/>
        <v>#REF!</v>
      </c>
      <c r="BB249" s="133" t="e">
        <f t="shared" si="68"/>
        <v>#REF!</v>
      </c>
      <c r="BC249" s="133" t="e">
        <f t="shared" si="69"/>
        <v>#REF!</v>
      </c>
      <c r="BD249" s="133" t="e">
        <f t="shared" si="70"/>
        <v>#REF!</v>
      </c>
      <c r="BE249" s="133" t="e">
        <f t="shared" si="71"/>
        <v>#REF!</v>
      </c>
    </row>
    <row r="250" spans="2:57">
      <c r="B250" s="111" t="e">
        <f>'[1]Oil Production'!#REF!</f>
        <v>#REF!</v>
      </c>
      <c r="C250" s="66" t="e">
        <f>B249</f>
        <v>#REF!</v>
      </c>
      <c r="D250" s="127">
        <f>'[1]Oil Production'!A211</f>
        <v>205</v>
      </c>
      <c r="E250" s="66">
        <f>'[1]Oil Production'!B211</f>
        <v>26.584741322896594</v>
      </c>
      <c r="F250" s="66">
        <f>'[1]Oil Production'!C211</f>
        <v>808.61921523810474</v>
      </c>
      <c r="G250" s="66">
        <f>'[1]Oil Production'!D211</f>
        <v>275645.04358824994</v>
      </c>
      <c r="H250" s="95" t="e">
        <f>IF(C250&gt;0,((E250-E238)/(E238)),0)</f>
        <v>#REF!</v>
      </c>
      <c r="K250" s="109">
        <f>'Liquids Type Curve'!A227</f>
        <v>17.088557465453349</v>
      </c>
      <c r="L250" s="116">
        <f>'Liquids Type Curve'!B227</f>
        <v>205.06268958544018</v>
      </c>
      <c r="M250" s="65">
        <f>'Liquids Type Curve'!C227</f>
        <v>4.7697824955880703</v>
      </c>
      <c r="N250" s="65">
        <f>'Liquids Type Curve'!D227</f>
        <v>145.08088424080381</v>
      </c>
      <c r="O250" s="65">
        <f>'Liquids Type Curve'!E227</f>
        <v>116889.05215088895</v>
      </c>
      <c r="S250" s="112">
        <f>'Gas Type Curve'!A234</f>
        <v>17.083333333333361</v>
      </c>
      <c r="T250" s="128">
        <f>'Gas Type Curve'!B234</f>
        <v>205.00000000000034</v>
      </c>
      <c r="U250" s="94">
        <f>'Gas Type Curve'!C234</f>
        <v>129.46370300862898</v>
      </c>
      <c r="V250" s="94">
        <f>'Gas Type Curve'!D234</f>
        <v>3937.8542998457983</v>
      </c>
      <c r="W250" s="94">
        <f>'Gas Type Curve'!E234</f>
        <v>2200018.6772649665</v>
      </c>
      <c r="AK250" s="146">
        <f t="shared" ref="AK250:AK285" si="72">D250</f>
        <v>205</v>
      </c>
      <c r="AL250" s="145"/>
      <c r="AM250" s="146">
        <f t="shared" ref="AM250:AM285" si="73">F250+N250+(V250/$AB$3)</f>
        <v>1610.0091494532082</v>
      </c>
      <c r="AN250" s="133">
        <f>'Price Deck'!E209*F250+N250*'Price Deck'!T209+(V250*'Price Deck'!K209/$AB$3)</f>
        <v>62830.811301120142</v>
      </c>
      <c r="AO250" s="133">
        <f t="shared" ref="AO250:AO285" si="74">AN250/(F250+N250+(V250/$AB$3))</f>
        <v>39.025126858725464</v>
      </c>
      <c r="AP250" s="133">
        <f>'Production Costs '!$N$22*(1+'Production Costs '!$P$2)^(AL250)</f>
        <v>-6.5424999999999995</v>
      </c>
      <c r="AQ250" s="133">
        <f>'Production Costs '!$N$23*(1+'Production Costs '!$P$2)^AL250</f>
        <v>-1.1487500000000002</v>
      </c>
      <c r="AR250" s="162">
        <f>-'Oil Royalties'!W215</f>
        <v>-12.555014312412514</v>
      </c>
      <c r="AS250" s="162">
        <f>-'Butane Royalties'!AD215</f>
        <v>-7.0440458795868901</v>
      </c>
      <c r="AT250" s="162">
        <f>-'Propane Royalties'!AD215</f>
        <v>-6.0330108817694938</v>
      </c>
      <c r="AU250" s="162">
        <f>-'Ethane Royalties'!AH215</f>
        <v>-0.5005585907505733</v>
      </c>
      <c r="AV250" s="162">
        <f>-'Natural Gas Royalties'!AB215</f>
        <v>-0.18815974064594623</v>
      </c>
      <c r="AW250" s="133">
        <f>AN250+AM250*(AP250+AQ250)+(AR250*F250)+(AV250*(V250/$AB$3))+(AS250*'Butane Royalties'!K220)+(AT250*'Propane Royalties'!K220)+(AU250*'Ethane Royalties'!K220)</f>
        <v>39616.267640929378</v>
      </c>
      <c r="AX250" s="133">
        <f t="shared" ref="AX250:AX285" si="75">AW250/AM250</f>
        <v>24.606237582180118</v>
      </c>
      <c r="AY250" s="133">
        <f t="shared" si="65"/>
        <v>530.28685061523481</v>
      </c>
      <c r="AZ250" s="133">
        <f t="shared" si="66"/>
        <v>20630.506639236693</v>
      </c>
      <c r="BA250" s="133">
        <f t="shared" si="67"/>
        <v>39085.980790314141</v>
      </c>
      <c r="BB250" s="133">
        <f t="shared" si="68"/>
        <v>39616.267640929378</v>
      </c>
      <c r="BC250" s="133">
        <f t="shared" si="69"/>
        <v>11753.8777549773</v>
      </c>
      <c r="BD250" s="133">
        <f t="shared" si="70"/>
        <v>27862.389885952078</v>
      </c>
      <c r="BE250" s="133">
        <f t="shared" si="71"/>
        <v>27862.389885952078</v>
      </c>
    </row>
    <row r="251" spans="2:57">
      <c r="B251" s="111" t="e">
        <f>'[1]Oil Production'!#REF!</f>
        <v>#REF!</v>
      </c>
      <c r="C251" s="66"/>
      <c r="D251" s="127">
        <f>'[1]Oil Production'!A212</f>
        <v>206</v>
      </c>
      <c r="E251" s="66">
        <f>'[1]Oil Production'!B212</f>
        <v>26.530941221871419</v>
      </c>
      <c r="F251" s="66">
        <f>'[1]Oil Production'!C212</f>
        <v>806.98279549858898</v>
      </c>
      <c r="G251" s="66">
        <f>'[1]Oil Production'!D212</f>
        <v>276452.02638374851</v>
      </c>
      <c r="H251" s="95"/>
      <c r="K251" s="109">
        <f>'Liquids Type Curve'!A228</f>
        <v>17.171890798786681</v>
      </c>
      <c r="L251" s="116">
        <f>'Liquids Type Curve'!B228</f>
        <v>206.06268958544018</v>
      </c>
      <c r="M251" s="65">
        <f>'Liquids Type Curve'!C228</f>
        <v>4.7482038366082584</v>
      </c>
      <c r="N251" s="65">
        <f>'Liquids Type Curve'!D228</f>
        <v>144.42453336350121</v>
      </c>
      <c r="O251" s="65">
        <f>'Liquids Type Curve'!E228</f>
        <v>117033.47668425246</v>
      </c>
      <c r="S251" s="112">
        <f>'Gas Type Curve'!A235</f>
        <v>17.166666666666693</v>
      </c>
      <c r="T251" s="128">
        <f>'Gas Type Curve'!B235</f>
        <v>206.00000000000031</v>
      </c>
      <c r="U251" s="94">
        <f>'Gas Type Curve'!C235</f>
        <v>129.01953482484149</v>
      </c>
      <c r="V251" s="94">
        <f>'Gas Type Curve'!D235</f>
        <v>3924.3441842555953</v>
      </c>
      <c r="W251" s="94">
        <f>'Gas Type Curve'!E235</f>
        <v>2203943.0214492222</v>
      </c>
      <c r="AK251" s="146">
        <f t="shared" si="72"/>
        <v>206</v>
      </c>
      <c r="AL251" s="145"/>
      <c r="AM251" s="146">
        <f t="shared" si="73"/>
        <v>1605.4646929046894</v>
      </c>
      <c r="AN251" s="133">
        <f>'Price Deck'!E210*F251+N251*'Price Deck'!T210+(V251*'Price Deck'!K210/$AB$3)</f>
        <v>62685.915220968534</v>
      </c>
      <c r="AO251" s="133">
        <f t="shared" si="74"/>
        <v>39.045340266906742</v>
      </c>
      <c r="AP251" s="133">
        <f>'Production Costs '!$N$22*(1+'Production Costs '!$P$2)^(AL251)</f>
        <v>-6.5424999999999995</v>
      </c>
      <c r="AQ251" s="133">
        <f>'Production Costs '!$N$23*(1+'Production Costs '!$P$2)^AL251</f>
        <v>-1.1487500000000002</v>
      </c>
      <c r="AR251" s="162">
        <f>-'Oil Royalties'!W216</f>
        <v>-12.527165024064331</v>
      </c>
      <c r="AS251" s="162">
        <f>-'Butane Royalties'!AD216</f>
        <v>-7.0411993573651248</v>
      </c>
      <c r="AT251" s="162">
        <f>-'Propane Royalties'!AD216</f>
        <v>-6.0305535333202522</v>
      </c>
      <c r="AU251" s="162">
        <f>-'Ethane Royalties'!AH216</f>
        <v>-0.50050893558266607</v>
      </c>
      <c r="AV251" s="162">
        <f>-'Natural Gas Royalties'!AB216</f>
        <v>-0.18815974064594626</v>
      </c>
      <c r="AW251" s="133">
        <f>AN251+AM251*(AP251+AQ251)+(AR251*F251)+(AV251*(V251/$AB$3))+(AS251*'Butane Royalties'!K221)+(AT251*'Propane Royalties'!K221)+(AU251*'Ethane Royalties'!K221)</f>
        <v>39552.496443685195</v>
      </c>
      <c r="AX251" s="133">
        <f t="shared" si="75"/>
        <v>24.636167097592647</v>
      </c>
      <c r="AY251" s="133">
        <f t="shared" si="65"/>
        <v>516.99792815255489</v>
      </c>
      <c r="AZ251" s="133">
        <f t="shared" si="66"/>
        <v>20113.508711084138</v>
      </c>
      <c r="BA251" s="133">
        <f t="shared" si="67"/>
        <v>39035.498515532643</v>
      </c>
      <c r="BB251" s="133">
        <f t="shared" si="68"/>
        <v>39552.496443685195</v>
      </c>
      <c r="BC251" s="133">
        <f t="shared" si="69"/>
        <v>11738.696800717558</v>
      </c>
      <c r="BD251" s="133">
        <f t="shared" si="70"/>
        <v>27813.799642967635</v>
      </c>
      <c r="BE251" s="133">
        <f t="shared" si="71"/>
        <v>27813.799642967635</v>
      </c>
    </row>
    <row r="252" spans="2:57">
      <c r="B252" s="111" t="e">
        <f>'[1]Oil Production'!#REF!</f>
        <v>#REF!</v>
      </c>
      <c r="C252" s="66"/>
      <c r="D252" s="127">
        <f>'[1]Oil Production'!A213</f>
        <v>207</v>
      </c>
      <c r="E252" s="66">
        <f>'[1]Oil Production'!B213</f>
        <v>26.477509742198738</v>
      </c>
      <c r="F252" s="66">
        <f>'[1]Oil Production'!C213</f>
        <v>805.35758799187829</v>
      </c>
      <c r="G252" s="66">
        <f>'[1]Oil Production'!D213</f>
        <v>277257.38397174038</v>
      </c>
      <c r="H252" s="95"/>
      <c r="K252" s="109">
        <f>'Liquids Type Curve'!A229</f>
        <v>17.255224132120013</v>
      </c>
      <c r="L252" s="116">
        <f>'Liquids Type Curve'!B229</f>
        <v>207.06268958544015</v>
      </c>
      <c r="M252" s="65">
        <f>'Liquids Type Curve'!C229</f>
        <v>4.7268265589939675</v>
      </c>
      <c r="N252" s="65">
        <f>'Liquids Type Curve'!D229</f>
        <v>143.77430783606653</v>
      </c>
      <c r="O252" s="65">
        <f>'Liquids Type Curve'!E229</f>
        <v>117177.25099208852</v>
      </c>
      <c r="S252" s="112">
        <f>'Gas Type Curve'!A236</f>
        <v>17.250000000000025</v>
      </c>
      <c r="T252" s="128">
        <f>'Gas Type Curve'!B236</f>
        <v>207.00000000000028</v>
      </c>
      <c r="U252" s="94">
        <f>'Gas Type Curve'!C236</f>
        <v>128.57903040827026</v>
      </c>
      <c r="V252" s="94">
        <f>'Gas Type Curve'!D236</f>
        <v>3910.9455082515537</v>
      </c>
      <c r="W252" s="94">
        <f>'Gas Type Curve'!E236</f>
        <v>2207853.9669574737</v>
      </c>
      <c r="AK252" s="146">
        <f t="shared" si="72"/>
        <v>207</v>
      </c>
      <c r="AL252" s="145"/>
      <c r="AM252" s="146">
        <f t="shared" si="73"/>
        <v>1600.9561472032037</v>
      </c>
      <c r="AN252" s="133">
        <f>'Price Deck'!E211*F252+N252*'Price Deck'!T211+(V252*'Price Deck'!K211/$AB$3)</f>
        <v>62542.087807057869</v>
      </c>
      <c r="AO252" s="133">
        <f t="shared" si="74"/>
        <v>39.065459673155942</v>
      </c>
      <c r="AP252" s="133">
        <f>'Production Costs '!$N$22*(1+'Production Costs '!$P$2)^(AL252)</f>
        <v>-6.5424999999999995</v>
      </c>
      <c r="AQ252" s="133">
        <f>'Production Costs '!$N$23*(1+'Production Costs '!$P$2)^AL252</f>
        <v>-1.1487500000000002</v>
      </c>
      <c r="AR252" s="162">
        <f>-'Oil Royalties'!W217</f>
        <v>-12.499506550271164</v>
      </c>
      <c r="AS252" s="162">
        <f>-'Butane Royalties'!AD217</f>
        <v>-7.0383800575740665</v>
      </c>
      <c r="AT252" s="162">
        <f>-'Propane Royalties'!AD217</f>
        <v>-6.0281196854772405</v>
      </c>
      <c r="AU252" s="162">
        <f>-'Ethane Royalties'!AH217</f>
        <v>-0.50045975528699305</v>
      </c>
      <c r="AV252" s="162">
        <f>-'Natural Gas Royalties'!AB217</f>
        <v>-0.18815974064594626</v>
      </c>
      <c r="AW252" s="133">
        <f>AN252+AM252*(AP252+AQ252)+(AR252*F252)+(AV252*(V252/$AB$3))+(AS252*'Butane Royalties'!K222)+(AT252*'Propane Royalties'!K222)+(AU252*'Ethane Royalties'!K222)</f>
        <v>39489.101805712889</v>
      </c>
      <c r="AX252" s="133">
        <f t="shared" si="75"/>
        <v>24.665948455052014</v>
      </c>
      <c r="AY252" s="133">
        <f t="shared" si="65"/>
        <v>504.04202443249369</v>
      </c>
      <c r="AZ252" s="133">
        <f t="shared" si="66"/>
        <v>19609.466686651645</v>
      </c>
      <c r="BA252" s="133">
        <f t="shared" si="67"/>
        <v>38985.059781280397</v>
      </c>
      <c r="BB252" s="133">
        <f t="shared" si="68"/>
        <v>39489.101805712889</v>
      </c>
      <c r="BC252" s="133">
        <f t="shared" si="69"/>
        <v>11723.528939900731</v>
      </c>
      <c r="BD252" s="133">
        <f t="shared" si="70"/>
        <v>27765.572865812159</v>
      </c>
      <c r="BE252" s="133">
        <f t="shared" si="71"/>
        <v>27765.572865812159</v>
      </c>
    </row>
    <row r="253" spans="2:57">
      <c r="B253" s="111" t="e">
        <f>'[1]Oil Production'!#REF!</f>
        <v>#REF!</v>
      </c>
      <c r="C253" s="66"/>
      <c r="D253" s="127">
        <f>'[1]Oil Production'!A214</f>
        <v>208</v>
      </c>
      <c r="E253" s="66">
        <f>'[1]Oil Production'!B214</f>
        <v>26.424442595642951</v>
      </c>
      <c r="F253" s="66">
        <f>'[1]Oil Production'!C214</f>
        <v>803.74346228413981</v>
      </c>
      <c r="G253" s="66">
        <f>'[1]Oil Production'!D214</f>
        <v>278061.12743402453</v>
      </c>
      <c r="H253" s="95"/>
      <c r="K253" s="109">
        <f>'Liquids Type Curve'!A230</f>
        <v>17.338557465453345</v>
      </c>
      <c r="L253" s="116">
        <f>'Liquids Type Curve'!B230</f>
        <v>208.06268958544013</v>
      </c>
      <c r="M253" s="65">
        <f>'Liquids Type Curve'!C230</f>
        <v>4.7056478243548634</v>
      </c>
      <c r="N253" s="65">
        <f>'Liquids Type Curve'!D230</f>
        <v>143.13012132412709</v>
      </c>
      <c r="O253" s="65">
        <f>'Liquids Type Curve'!E230</f>
        <v>117320.38111341264</v>
      </c>
      <c r="S253" s="112">
        <f>'Gas Type Curve'!A237</f>
        <v>17.333333333333357</v>
      </c>
      <c r="T253" s="128">
        <f>'Gas Type Curve'!B237</f>
        <v>208.00000000000028</v>
      </c>
      <c r="U253" s="94">
        <f>'Gas Type Curve'!C237</f>
        <v>128.14214205658166</v>
      </c>
      <c r="V253" s="94">
        <f>'Gas Type Curve'!D237</f>
        <v>3897.6568208876924</v>
      </c>
      <c r="W253" s="94">
        <f>'Gas Type Curve'!E237</f>
        <v>2211751.6237783614</v>
      </c>
      <c r="AK253" s="146">
        <f t="shared" si="72"/>
        <v>208</v>
      </c>
      <c r="AL253" s="145"/>
      <c r="AM253" s="146">
        <f t="shared" si="73"/>
        <v>1596.4830537562157</v>
      </c>
      <c r="AN253" s="133">
        <f>'Price Deck'!E212*F253+N253*'Price Deck'!T212+(V253*'Price Deck'!K212/$AB$3)</f>
        <v>62399.315937415173</v>
      </c>
      <c r="AO253" s="133">
        <f t="shared" si="74"/>
        <v>39.085485931467709</v>
      </c>
      <c r="AP253" s="133">
        <f>'Production Costs '!$N$22*(1+'Production Costs '!$P$2)^(AL253)</f>
        <v>-6.5424999999999995</v>
      </c>
      <c r="AQ253" s="133">
        <f>'Production Costs '!$N$23*(1+'Production Costs '!$P$2)^AL253</f>
        <v>-1.1487500000000002</v>
      </c>
      <c r="AR253" s="162">
        <f>-'Oil Royalties'!W218</f>
        <v>-12.472036671254475</v>
      </c>
      <c r="AS253" s="162">
        <f>-'Butane Royalties'!AD218</f>
        <v>-7.0355875870752209</v>
      </c>
      <c r="AT253" s="162">
        <f>-'Propane Royalties'!AD218</f>
        <v>-6.0257089988514894</v>
      </c>
      <c r="AU253" s="162">
        <f>-'Ethane Royalties'!AH218</f>
        <v>-0.50041104300558636</v>
      </c>
      <c r="AV253" s="162">
        <f>-'Natural Gas Royalties'!AB218</f>
        <v>-0.18815974064594623</v>
      </c>
      <c r="AW253" s="133">
        <f>AN253+AM253*(AP253+AQ253)+(AR253*F253)+(AV253*(V253/$AB$3))+(AS253*'Butane Royalties'!K223)+(AT253*'Propane Royalties'!K223)+(AU253*'Ethane Royalties'!K223)</f>
        <v>39426.079863893254</v>
      </c>
      <c r="AX253" s="133">
        <f t="shared" si="75"/>
        <v>24.695583063742092</v>
      </c>
      <c r="AY253" s="133">
        <f t="shared" si="65"/>
        <v>491.41079404681767</v>
      </c>
      <c r="AZ253" s="133">
        <f t="shared" si="66"/>
        <v>19118.055892604829</v>
      </c>
      <c r="BA253" s="133">
        <f t="shared" si="67"/>
        <v>38934.669069846437</v>
      </c>
      <c r="BB253" s="133">
        <f t="shared" si="68"/>
        <v>39426.079863893254</v>
      </c>
      <c r="BC253" s="133">
        <f t="shared" si="69"/>
        <v>11708.37552043408</v>
      </c>
      <c r="BD253" s="133">
        <f t="shared" si="70"/>
        <v>27717.704343459176</v>
      </c>
      <c r="BE253" s="133">
        <f t="shared" si="71"/>
        <v>27717.704343459176</v>
      </c>
    </row>
    <row r="254" spans="2:57">
      <c r="B254" s="111" t="e">
        <f>'[1]Oil Production'!#REF!</f>
        <v>#REF!</v>
      </c>
      <c r="C254" s="66"/>
      <c r="D254" s="127">
        <f>'[1]Oil Production'!A215</f>
        <v>209</v>
      </c>
      <c r="E254" s="66">
        <f>'[1]Oil Production'!B215</f>
        <v>26.371735564161998</v>
      </c>
      <c r="F254" s="66">
        <f>'[1]Oil Production'!C215</f>
        <v>802.14029007659417</v>
      </c>
      <c r="G254" s="66">
        <f>'[1]Oil Production'!D215</f>
        <v>278863.26772410114</v>
      </c>
      <c r="H254" s="95"/>
      <c r="K254" s="109">
        <f>'Liquids Type Curve'!A231</f>
        <v>17.421890798786677</v>
      </c>
      <c r="L254" s="116">
        <f>'Liquids Type Curve'!B231</f>
        <v>209.06268958544013</v>
      </c>
      <c r="M254" s="65">
        <f>'Liquids Type Curve'!C231</f>
        <v>4.6846648476941732</v>
      </c>
      <c r="N254" s="65">
        <f>'Liquids Type Curve'!D231</f>
        <v>142.49188911736445</v>
      </c>
      <c r="O254" s="65">
        <f>'Liquids Type Curve'!E231</f>
        <v>117462.87300253</v>
      </c>
      <c r="S254" s="112">
        <f>'Gas Type Curve'!A238</f>
        <v>17.416666666666689</v>
      </c>
      <c r="T254" s="128">
        <f>'Gas Type Curve'!B238</f>
        <v>209.00000000000028</v>
      </c>
      <c r="U254" s="94">
        <f>'Gas Type Curve'!C238</f>
        <v>127.70882291395617</v>
      </c>
      <c r="V254" s="94">
        <f>'Gas Type Curve'!D238</f>
        <v>3884.4766969661669</v>
      </c>
      <c r="W254" s="94">
        <f>'Gas Type Curve'!E238</f>
        <v>2215636.1004753276</v>
      </c>
      <c r="AK254" s="146">
        <f t="shared" si="72"/>
        <v>209</v>
      </c>
      <c r="AL254" s="145"/>
      <c r="AM254" s="146">
        <f t="shared" si="73"/>
        <v>1592.0449620216532</v>
      </c>
      <c r="AN254" s="133">
        <f>'Price Deck'!E213*F254+N254*'Price Deck'!T213+(V254*'Price Deck'!K213/$AB$3)</f>
        <v>62257.586714406498</v>
      </c>
      <c r="AO254" s="133">
        <f t="shared" si="74"/>
        <v>39.105419884215394</v>
      </c>
      <c r="AP254" s="133">
        <f>'Production Costs '!$N$22*(1+'Production Costs '!$P$2)^(AL254)</f>
        <v>-6.5424999999999995</v>
      </c>
      <c r="AQ254" s="133">
        <f>'Production Costs '!$N$23*(1+'Production Costs '!$P$2)^AL254</f>
        <v>-1.1487500000000002</v>
      </c>
      <c r="AR254" s="162">
        <f>-'Oil Royalties'!W219</f>
        <v>-12.444753203570972</v>
      </c>
      <c r="AS254" s="162">
        <f>-'Butane Royalties'!AD219</f>
        <v>-7.032821560306731</v>
      </c>
      <c r="AT254" s="162">
        <f>-'Propane Royalties'!AD219</f>
        <v>-6.0233211405947964</v>
      </c>
      <c r="AU254" s="162">
        <f>-'Ethane Royalties'!AH219</f>
        <v>-0.50036279201264666</v>
      </c>
      <c r="AV254" s="162">
        <f>-'Natural Gas Royalties'!AB219</f>
        <v>-0.18815974064594623</v>
      </c>
      <c r="AW254" s="133">
        <f>AN254+AM254*(AP254+AQ254)+(AR254*F254)+(AV254*(V254/$AB$3))+(AS254*'Butane Royalties'!K224)+(AT254*'Propane Royalties'!K224)+(AU254*'Ethane Royalties'!K224)</f>
        <v>39363.426811378413</v>
      </c>
      <c r="AX254" s="133">
        <f t="shared" si="75"/>
        <v>24.72507231290308</v>
      </c>
      <c r="AY254" s="133">
        <f t="shared" si="65"/>
        <v>479.09610072218453</v>
      </c>
      <c r="AZ254" s="133">
        <f t="shared" si="66"/>
        <v>18638.959791882644</v>
      </c>
      <c r="BA254" s="133">
        <f t="shared" si="67"/>
        <v>38884.330710656228</v>
      </c>
      <c r="BB254" s="133">
        <f t="shared" si="68"/>
        <v>39363.426811378413</v>
      </c>
      <c r="BC254" s="133">
        <f t="shared" si="69"/>
        <v>11693.237844255962</v>
      </c>
      <c r="BD254" s="133">
        <f t="shared" si="70"/>
        <v>27670.188967122449</v>
      </c>
      <c r="BE254" s="133">
        <f t="shared" si="71"/>
        <v>27670.188967122449</v>
      </c>
    </row>
    <row r="255" spans="2:57">
      <c r="B255" s="111" t="e">
        <f>'[1]Oil Production'!#REF!</f>
        <v>#REF!</v>
      </c>
      <c r="C255" s="66"/>
      <c r="D255" s="127">
        <f>'[1]Oil Production'!A216</f>
        <v>210</v>
      </c>
      <c r="E255" s="66">
        <f>'[1]Oil Production'!B216</f>
        <v>26.319384498429024</v>
      </c>
      <c r="F255" s="66">
        <f>'[1]Oil Production'!C216</f>
        <v>800.54794516054949</v>
      </c>
      <c r="G255" s="66">
        <f>'[1]Oil Production'!D216</f>
        <v>279663.81566926168</v>
      </c>
      <c r="H255" s="95"/>
      <c r="K255" s="109">
        <f>'Liquids Type Curve'!A232</f>
        <v>17.505224132120009</v>
      </c>
      <c r="L255" s="116">
        <f>'Liquids Type Curve'!B232</f>
        <v>210.06268958544013</v>
      </c>
      <c r="M255" s="65">
        <f>'Liquids Type Curve'!C232</f>
        <v>4.6638748961548409</v>
      </c>
      <c r="N255" s="65">
        <f>'Liquids Type Curve'!D232</f>
        <v>141.8595280913764</v>
      </c>
      <c r="O255" s="65">
        <f>'Liquids Type Curve'!E232</f>
        <v>117604.73253062138</v>
      </c>
      <c r="S255" s="112">
        <f>'Gas Type Curve'!A239</f>
        <v>17.500000000000021</v>
      </c>
      <c r="T255" s="128">
        <f>'Gas Type Curve'!B239</f>
        <v>210.00000000000026</v>
      </c>
      <c r="U255" s="94">
        <f>'Gas Type Curve'!C239</f>
        <v>127.27902695210385</v>
      </c>
      <c r="V255" s="94">
        <f>'Gas Type Curve'!D239</f>
        <v>3871.4037364598257</v>
      </c>
      <c r="W255" s="94">
        <f>'Gas Type Curve'!E239</f>
        <v>2219507.5042117876</v>
      </c>
      <c r="AK255" s="146">
        <f t="shared" si="72"/>
        <v>210</v>
      </c>
      <c r="AL255" s="145"/>
      <c r="AM255" s="146">
        <f t="shared" si="73"/>
        <v>1587.6414293285634</v>
      </c>
      <c r="AN255" s="133">
        <f>'Price Deck'!E214*F255+N255*'Price Deck'!T214+(V255*'Price Deck'!K214/$AB$3)</f>
        <v>62116.887459835205</v>
      </c>
      <c r="AO255" s="133">
        <f t="shared" si="74"/>
        <v>39.125262362361845</v>
      </c>
      <c r="AP255" s="133">
        <f>'Production Costs '!$N$22*(1+'Production Costs '!$P$2)^(AL255)</f>
        <v>-6.5424999999999995</v>
      </c>
      <c r="AQ255" s="133">
        <f>'Production Costs '!$N$23*(1+'Production Costs '!$P$2)^AL255</f>
        <v>-1.1487500000000002</v>
      </c>
      <c r="AR255" s="162">
        <f>-'Oil Royalties'!W220</f>
        <v>-12.41765399934736</v>
      </c>
      <c r="AS255" s="162">
        <f>-'Butane Royalties'!AD220</f>
        <v>-7.0300815991011474</v>
      </c>
      <c r="AT255" s="162">
        <f>-'Propane Royalties'!AD220</f>
        <v>-6.0209557842423793</v>
      </c>
      <c r="AU255" s="162">
        <f>-'Ethane Royalties'!AH220</f>
        <v>-0.50031499571136273</v>
      </c>
      <c r="AV255" s="162">
        <f>-'Natural Gas Royalties'!AB220</f>
        <v>-0.18815974064594623</v>
      </c>
      <c r="AW255" s="133">
        <f>AN255+AM255*(AP255+AQ255)+(AR255*F255)+(AV255*(V255/$AB$3))+(AS255*'Butane Royalties'!K225)+(AT255*'Propane Royalties'!K225)+(AU255*'Ethane Royalties'!K225)</f>
        <v>39301.138896534241</v>
      </c>
      <c r="AX255" s="133">
        <f t="shared" si="75"/>
        <v>24.754417572206631</v>
      </c>
      <c r="AY255" s="133">
        <f t="shared" si="65"/>
        <v>467.09001207924945</v>
      </c>
      <c r="AZ255" s="133">
        <f t="shared" si="66"/>
        <v>18171.869779803394</v>
      </c>
      <c r="BA255" s="133">
        <f t="shared" si="67"/>
        <v>38834.048884454991</v>
      </c>
      <c r="BB255" s="133">
        <f t="shared" si="68"/>
        <v>39301.138896534241</v>
      </c>
      <c r="BC255" s="133">
        <f t="shared" si="69"/>
        <v>11678.117168593839</v>
      </c>
      <c r="BD255" s="133">
        <f t="shared" si="70"/>
        <v>27623.021727940402</v>
      </c>
      <c r="BE255" s="133">
        <f t="shared" si="71"/>
        <v>27623.021727940402</v>
      </c>
    </row>
    <row r="256" spans="2:57">
      <c r="B256" s="111" t="e">
        <f>'[1]Oil Production'!#REF!</f>
        <v>#REF!</v>
      </c>
      <c r="C256" s="66"/>
      <c r="D256" s="127">
        <f>'[1]Oil Production'!A217</f>
        <v>211</v>
      </c>
      <c r="E256" s="66">
        <f>'[1]Oil Production'!B217</f>
        <v>26.267385316392193</v>
      </c>
      <c r="F256" s="66">
        <f>'[1]Oil Production'!C217</f>
        <v>798.96630337359591</v>
      </c>
      <c r="G256" s="66">
        <f>'[1]Oil Production'!D217</f>
        <v>280462.78197263525</v>
      </c>
      <c r="H256" s="95"/>
      <c r="K256" s="109">
        <f>'Liquids Type Curve'!A233</f>
        <v>17.588557465453341</v>
      </c>
      <c r="L256" s="116">
        <f>'Liquids Type Curve'!B233</f>
        <v>211.0626895854401</v>
      </c>
      <c r="M256" s="65">
        <f>'Liquids Type Curve'!C233</f>
        <v>4.6432752878009476</v>
      </c>
      <c r="N256" s="65">
        <f>'Liquids Type Curve'!D233</f>
        <v>141.23295667061217</v>
      </c>
      <c r="O256" s="65">
        <f>'Liquids Type Curve'!E233</f>
        <v>117745.96548729199</v>
      </c>
      <c r="S256" s="112">
        <f>'Gas Type Curve'!A240</f>
        <v>17.583333333333353</v>
      </c>
      <c r="T256" s="128">
        <f>'Gas Type Curve'!B240</f>
        <v>211.00000000000023</v>
      </c>
      <c r="U256" s="94">
        <f>'Gas Type Curve'!C240</f>
        <v>126.85270895179383</v>
      </c>
      <c r="V256" s="94">
        <f>'Gas Type Curve'!D240</f>
        <v>3858.4365639503958</v>
      </c>
      <c r="W256" s="94">
        <f>'Gas Type Curve'!E240</f>
        <v>2223365.9407757381</v>
      </c>
      <c r="AK256" s="146">
        <f t="shared" si="72"/>
        <v>211</v>
      </c>
      <c r="AL256" s="145"/>
      <c r="AM256" s="146">
        <f t="shared" si="73"/>
        <v>1583.2720207026073</v>
      </c>
      <c r="AN256" s="133">
        <f>'Price Deck'!E215*F256+N256*'Price Deck'!T215+(V256*'Price Deck'!K215/$AB$3)</f>
        <v>61977.205710170987</v>
      </c>
      <c r="AO256" s="133">
        <f t="shared" si="74"/>
        <v>39.145014185665588</v>
      </c>
      <c r="AP256" s="133">
        <f>'Production Costs '!$N$22*(1+'Production Costs '!$P$2)^(AL256)</f>
        <v>-6.5424999999999995</v>
      </c>
      <c r="AQ256" s="133">
        <f>'Production Costs '!$N$23*(1+'Production Costs '!$P$2)^AL256</f>
        <v>-1.1487500000000002</v>
      </c>
      <c r="AR256" s="162">
        <f>-'Oil Royalties'!W221</f>
        <v>-12.390736945534847</v>
      </c>
      <c r="AS256" s="162">
        <f>-'Butane Royalties'!AD221</f>
        <v>-7.0273673325083648</v>
      </c>
      <c r="AT256" s="162">
        <f>-'Propane Royalties'!AD221</f>
        <v>-6.0186126095600914</v>
      </c>
      <c r="AU256" s="162">
        <f>-'Ethane Royalties'!AH221</f>
        <v>-0.50026764763082487</v>
      </c>
      <c r="AV256" s="162">
        <f>-'Natural Gas Royalties'!AB221</f>
        <v>-0.18815974064594623</v>
      </c>
      <c r="AW256" s="133">
        <f>AN256+AM256*(AP256+AQ256)+(AR256*F256)+(AV256*(V256/$AB$3))+(AS256*'Butane Royalties'!K226)+(AT256*'Propane Royalties'!K226)+(AU256*'Ethane Royalties'!K226)</f>
        <v>39239.212421907192</v>
      </c>
      <c r="AX256" s="133">
        <f t="shared" si="75"/>
        <v>24.783620192122161</v>
      </c>
      <c r="AY256" s="133">
        <f t="shared" si="65"/>
        <v>455.38479452310617</v>
      </c>
      <c r="AZ256" s="133">
        <f t="shared" si="66"/>
        <v>17716.484985280287</v>
      </c>
      <c r="BA256" s="133">
        <f t="shared" si="67"/>
        <v>38783.827627384089</v>
      </c>
      <c r="BB256" s="133">
        <f t="shared" si="68"/>
        <v>39239.212421907192</v>
      </c>
      <c r="BC256" s="133">
        <f t="shared" si="69"/>
        <v>11663.014707190108</v>
      </c>
      <c r="BD256" s="133">
        <f t="shared" si="70"/>
        <v>27576.197714717084</v>
      </c>
      <c r="BE256" s="133">
        <f t="shared" si="71"/>
        <v>27576.197714717084</v>
      </c>
    </row>
    <row r="257" spans="2:57">
      <c r="B257" s="111" t="e">
        <f>'[1]Oil Production'!#REF!</f>
        <v>#REF!</v>
      </c>
      <c r="C257" s="66"/>
      <c r="D257" s="127">
        <f>'[1]Oil Production'!A218</f>
        <v>212</v>
      </c>
      <c r="E257" s="66">
        <f>'[1]Oil Production'!B218</f>
        <v>26.215734001871343</v>
      </c>
      <c r="F257" s="66">
        <f>'[1]Oil Production'!C218</f>
        <v>797.39524255692004</v>
      </c>
      <c r="G257" s="66">
        <f>'[1]Oil Production'!D218</f>
        <v>281260.17721519218</v>
      </c>
      <c r="H257" s="95"/>
      <c r="K257" s="109">
        <f>'Liquids Type Curve'!A234</f>
        <v>17.671890798786674</v>
      </c>
      <c r="L257" s="116">
        <f>'Liquids Type Curve'!B234</f>
        <v>212.06268958544007</v>
      </c>
      <c r="M257" s="65">
        <f>'Liquids Type Curve'!C234</f>
        <v>4.6228633904331966</v>
      </c>
      <c r="N257" s="65">
        <f>'Liquids Type Curve'!D234</f>
        <v>140.61209479234307</v>
      </c>
      <c r="O257" s="65">
        <f>'Liquids Type Curve'!E234</f>
        <v>117886.57758208434</v>
      </c>
      <c r="S257" s="112">
        <f>'Gas Type Curve'!A241</f>
        <v>17.666666666666686</v>
      </c>
      <c r="T257" s="128">
        <f>'Gas Type Curve'!B241</f>
        <v>212.00000000000023</v>
      </c>
      <c r="U257" s="94">
        <f>'Gas Type Curve'!C241</f>
        <v>126.42982448488142</v>
      </c>
      <c r="V257" s="94">
        <f>'Gas Type Curve'!D241</f>
        <v>3845.57382808181</v>
      </c>
      <c r="W257" s="94">
        <f>'Gas Type Curve'!E241</f>
        <v>2227211.5146038197</v>
      </c>
      <c r="AK257" s="146">
        <f t="shared" si="72"/>
        <v>212</v>
      </c>
      <c r="AL257" s="145"/>
      <c r="AM257" s="146">
        <f t="shared" si="73"/>
        <v>1578.9363086962314</v>
      </c>
      <c r="AN257" s="133">
        <f>'Price Deck'!E216*F257+N257*'Price Deck'!T216+(V257*'Price Deck'!K216/$AB$3)</f>
        <v>61838.52921190457</v>
      </c>
      <c r="AO257" s="133">
        <f t="shared" si="74"/>
        <v>39.164676162882238</v>
      </c>
      <c r="AP257" s="133">
        <f>'Production Costs '!$N$22*(1+'Production Costs '!$P$2)^(AL257)</f>
        <v>-6.5424999999999995</v>
      </c>
      <c r="AQ257" s="133">
        <f>'Production Costs '!$N$23*(1+'Production Costs '!$P$2)^AL257</f>
        <v>-1.1487500000000002</v>
      </c>
      <c r="AR257" s="162">
        <f>-'Oil Royalties'!W222</f>
        <v>-12.363999963182703</v>
      </c>
      <c r="AS257" s="162">
        <f>-'Butane Royalties'!AD222</f>
        <v>-7.0246783966237345</v>
      </c>
      <c r="AT257" s="162">
        <f>-'Propane Royalties'!AD222</f>
        <v>-6.0162913023959659</v>
      </c>
      <c r="AU257" s="162">
        <f>-'Ethane Royalties'!AH222</f>
        <v>-0.50022074142302397</v>
      </c>
      <c r="AV257" s="162">
        <f>-'Natural Gas Royalties'!AB222</f>
        <v>-0.18815974064594623</v>
      </c>
      <c r="AW257" s="133">
        <f>AN257+AM257*(AP257+AQ257)+(AR257*F257)+(AV257*(V257/$AB$3))+(AS257*'Butane Royalties'!K227)+(AT257*'Propane Royalties'!K227)+(AU257*'Ethane Royalties'!K227)</f>
        <v>39177.643743214627</v>
      </c>
      <c r="AX257" s="133">
        <f t="shared" si="75"/>
        <v>24.812681504274622</v>
      </c>
      <c r="AY257" s="133">
        <f t="shared" si="65"/>
        <v>443.97290826177419</v>
      </c>
      <c r="AZ257" s="133">
        <f t="shared" si="66"/>
        <v>17272.512077018513</v>
      </c>
      <c r="BA257" s="133">
        <f t="shared" si="67"/>
        <v>38733.670834952849</v>
      </c>
      <c r="BB257" s="133">
        <f t="shared" si="68"/>
        <v>39177.643743214627</v>
      </c>
      <c r="BC257" s="133">
        <f t="shared" si="69"/>
        <v>11647.931631496516</v>
      </c>
      <c r="BD257" s="133">
        <f t="shared" si="70"/>
        <v>27529.712111718109</v>
      </c>
      <c r="BE257" s="133">
        <f t="shared" si="71"/>
        <v>27529.712111718109</v>
      </c>
    </row>
    <row r="258" spans="2:57">
      <c r="B258" s="111" t="e">
        <f>'[1]Oil Production'!#REF!</f>
        <v>#REF!</v>
      </c>
      <c r="C258" s="66"/>
      <c r="D258" s="127">
        <f>'[1]Oil Production'!A219</f>
        <v>213</v>
      </c>
      <c r="E258" s="66">
        <f>'[1]Oil Production'!B219</f>
        <v>26.16442660319025</v>
      </c>
      <c r="F258" s="66">
        <f>'[1]Oil Production'!C219</f>
        <v>795.83464251370344</v>
      </c>
      <c r="G258" s="66">
        <f>'[1]Oil Production'!D219</f>
        <v>282056.01185770589</v>
      </c>
      <c r="H258" s="95"/>
      <c r="K258" s="109">
        <f>'Liquids Type Curve'!A235</f>
        <v>17.755224132120006</v>
      </c>
      <c r="L258" s="116">
        <f>'Liquids Type Curve'!B235</f>
        <v>213.06268958544007</v>
      </c>
      <c r="M258" s="65">
        <f>'Liquids Type Curve'!C235</f>
        <v>4.6026366204374183</v>
      </c>
      <c r="N258" s="65">
        <f>'Liquids Type Curve'!D235</f>
        <v>139.99686387163814</v>
      </c>
      <c r="O258" s="65">
        <f>'Liquids Type Curve'!E235</f>
        <v>118026.57444595598</v>
      </c>
      <c r="S258" s="112">
        <f>'Gas Type Curve'!A242</f>
        <v>17.750000000000018</v>
      </c>
      <c r="T258" s="128">
        <f>'Gas Type Curve'!B242</f>
        <v>213.00000000000023</v>
      </c>
      <c r="U258" s="94">
        <f>'Gas Type Curve'!C242</f>
        <v>126.0103298968168</v>
      </c>
      <c r="V258" s="94">
        <f>'Gas Type Curve'!D242</f>
        <v>3832.8142010281776</v>
      </c>
      <c r="W258" s="94">
        <f>'Gas Type Curve'!E242</f>
        <v>2231044.3288048478</v>
      </c>
      <c r="AK258" s="146">
        <f t="shared" si="72"/>
        <v>213</v>
      </c>
      <c r="AL258" s="145"/>
      <c r="AM258" s="146">
        <f t="shared" si="73"/>
        <v>1574.6338732233712</v>
      </c>
      <c r="AN258" s="133">
        <f>'Price Deck'!E217*F258+N258*'Price Deck'!T217+(V258*'Price Deck'!K217/$AB$3)</f>
        <v>61700.845917024613</v>
      </c>
      <c r="AO258" s="133">
        <f t="shared" si="74"/>
        <v>39.184249091961441</v>
      </c>
      <c r="AP258" s="133">
        <f>'Production Costs '!$N$22*(1+'Production Costs '!$P$2)^(AL258)</f>
        <v>-6.5424999999999995</v>
      </c>
      <c r="AQ258" s="133">
        <f>'Production Costs '!$N$23*(1+'Production Costs '!$P$2)^AL258</f>
        <v>-1.1487500000000002</v>
      </c>
      <c r="AR258" s="162">
        <f>-'Oil Royalties'!W223</f>
        <v>-12.337441006730256</v>
      </c>
      <c r="AS258" s="162">
        <f>-'Butane Royalties'!AD223</f>
        <v>-7.0220144344209805</v>
      </c>
      <c r="AT258" s="162">
        <f>-'Propane Royalties'!AD223</f>
        <v>-6.0139915545360259</v>
      </c>
      <c r="AU258" s="162">
        <f>-'Ethane Royalties'!AH223</f>
        <v>-0.50017427085994026</v>
      </c>
      <c r="AV258" s="162">
        <f>-'Natural Gas Royalties'!AB223</f>
        <v>-0.18815974064594626</v>
      </c>
      <c r="AW258" s="133">
        <f>AN258+AM258*(AP258+AQ258)+(AR258*F258)+(AV258*(V258/$AB$3))+(AS258*'Butane Royalties'!K228)+(AT258*'Propane Royalties'!K228)+(AU258*'Ethane Royalties'!K228)</f>
        <v>39116.429268358057</v>
      </c>
      <c r="AX258" s="133">
        <f t="shared" si="75"/>
        <v>24.841602821793963</v>
      </c>
      <c r="AY258" s="133">
        <f t="shared" si="65"/>
        <v>432.84700244952143</v>
      </c>
      <c r="AZ258" s="133">
        <f t="shared" si="66"/>
        <v>16839.665074568991</v>
      </c>
      <c r="BA258" s="133">
        <f t="shared" si="67"/>
        <v>38683.582265908539</v>
      </c>
      <c r="BB258" s="133">
        <f t="shared" si="68"/>
        <v>39116.429268358057</v>
      </c>
      <c r="BC258" s="133">
        <f t="shared" si="69"/>
        <v>11632.869071837928</v>
      </c>
      <c r="BD258" s="133">
        <f t="shared" si="70"/>
        <v>27483.560196520128</v>
      </c>
      <c r="BE258" s="133">
        <f t="shared" si="71"/>
        <v>27483.560196520128</v>
      </c>
    </row>
    <row r="259" spans="2:57">
      <c r="B259" s="111" t="e">
        <f>'[1]Oil Production'!#REF!</f>
        <v>#REF!</v>
      </c>
      <c r="C259" s="66"/>
      <c r="D259" s="127">
        <f>'[1]Oil Production'!A220</f>
        <v>214</v>
      </c>
      <c r="E259" s="66">
        <f>'[1]Oil Production'!B220</f>
        <v>26.113459231843724</v>
      </c>
      <c r="F259" s="66">
        <f>'[1]Oil Production'!C220</f>
        <v>794.28438496857996</v>
      </c>
      <c r="G259" s="66">
        <f>'[1]Oil Production'!D220</f>
        <v>282850.29624267446</v>
      </c>
      <c r="H259" s="95"/>
      <c r="K259" s="109">
        <f>'Liquids Type Curve'!A236</f>
        <v>17.838557465453338</v>
      </c>
      <c r="L259" s="116">
        <f>'Liquids Type Curve'!B236</f>
        <v>214.06268958544007</v>
      </c>
      <c r="M259" s="65">
        <f>'Liquids Type Curve'!C236</f>
        <v>4.5825924416649766</v>
      </c>
      <c r="N259" s="65">
        <f>'Liquids Type Curve'!D236</f>
        <v>139.38718676730971</v>
      </c>
      <c r="O259" s="65">
        <f>'Liquids Type Curve'!E236</f>
        <v>118165.96163272329</v>
      </c>
      <c r="S259" s="112">
        <f>'Gas Type Curve'!A243</f>
        <v>17.83333333333335</v>
      </c>
      <c r="T259" s="128">
        <f>'Gas Type Curve'!B243</f>
        <v>214.0000000000002</v>
      </c>
      <c r="U259" s="94">
        <f>'Gas Type Curve'!C243</f>
        <v>125.59418228962068</v>
      </c>
      <c r="V259" s="94">
        <f>'Gas Type Curve'!D243</f>
        <v>3820.1563779759622</v>
      </c>
      <c r="W259" s="94">
        <f>'Gas Type Curve'!E243</f>
        <v>2234864.4851828236</v>
      </c>
      <c r="AK259" s="146">
        <f t="shared" si="72"/>
        <v>214</v>
      </c>
      <c r="AL259" s="145"/>
      <c r="AM259" s="146">
        <f t="shared" si="73"/>
        <v>1570.36430139855</v>
      </c>
      <c r="AN259" s="133">
        <f>'Price Deck'!E218*F259+N259*'Price Deck'!T218+(V259*'Price Deck'!K218/$AB$3)</f>
        <v>62499.181830307723</v>
      </c>
      <c r="AO259" s="133">
        <f t="shared" si="74"/>
        <v>39.799161108442547</v>
      </c>
      <c r="AP259" s="133">
        <f>'Production Costs '!$N$22*(1+'Production Costs '!$P$2)^(AL259)</f>
        <v>-6.5424999999999995</v>
      </c>
      <c r="AQ259" s="133">
        <f>'Production Costs '!$N$23*(1+'Production Costs '!$P$2)^AL259</f>
        <v>-1.1487500000000002</v>
      </c>
      <c r="AR259" s="162">
        <f>-'Oil Royalties'!W224</f>
        <v>-12.730528514551073</v>
      </c>
      <c r="AS259" s="162">
        <f>-'Butane Royalties'!AD224</f>
        <v>-7.3329896508205872</v>
      </c>
      <c r="AT259" s="162">
        <f>-'Propane Royalties'!AD224</f>
        <v>-6.245425009928991</v>
      </c>
      <c r="AU259" s="162">
        <f>-'Ethane Royalties'!AH224</f>
        <v>-0.54652946530528501</v>
      </c>
      <c r="AV259" s="162">
        <f>-'Natural Gas Royalties'!AB224</f>
        <v>-0.19189118530261912</v>
      </c>
      <c r="AW259" s="133">
        <f>AN259+AM259*(AP259+AQ259)+(AR259*F259)+(AV259*(V259/$AB$3))+(AS259*'Butane Royalties'!K229)+(AT259*'Propane Royalties'!K229)+(AU259*'Ethane Royalties'!K229)</f>
        <v>39631.398476150462</v>
      </c>
      <c r="AX259" s="133">
        <f t="shared" si="75"/>
        <v>25.237072977814865</v>
      </c>
      <c r="AY259" s="133">
        <f t="shared" si="65"/>
        <v>421.99991045189489</v>
      </c>
      <c r="AZ259" s="133">
        <f t="shared" si="66"/>
        <v>16417.665164117097</v>
      </c>
      <c r="BA259" s="133">
        <f t="shared" si="67"/>
        <v>39209.398565698568</v>
      </c>
      <c r="BB259" s="133">
        <f t="shared" si="68"/>
        <v>39631.398476150462</v>
      </c>
      <c r="BC259" s="133">
        <f t="shared" si="69"/>
        <v>11790.991764024227</v>
      </c>
      <c r="BD259" s="133">
        <f t="shared" si="70"/>
        <v>27840.406712126234</v>
      </c>
      <c r="BE259" s="133">
        <f t="shared" si="71"/>
        <v>27840.406712126234</v>
      </c>
    </row>
    <row r="260" spans="2:57">
      <c r="B260" s="111" t="e">
        <f>'[1]Oil Production'!#REF!</f>
        <v>#REF!</v>
      </c>
      <c r="C260" s="66"/>
      <c r="D260" s="127">
        <f>'[1]Oil Production'!A221</f>
        <v>215</v>
      </c>
      <c r="E260" s="66">
        <f>'[1]Oil Production'!B221</f>
        <v>26.062828061198172</v>
      </c>
      <c r="F260" s="66">
        <f>'[1]Oil Production'!C221</f>
        <v>792.74435352811111</v>
      </c>
      <c r="G260" s="66">
        <f>'[1]Oil Production'!D221</f>
        <v>283643.0405962026</v>
      </c>
      <c r="H260" s="95"/>
      <c r="K260" s="109">
        <f>'Liquids Type Curve'!A237</f>
        <v>17.92189079878667</v>
      </c>
      <c r="L260" s="116">
        <f>'Liquids Type Curve'!B237</f>
        <v>215.06268958544004</v>
      </c>
      <c r="M260" s="65">
        <f>'Liquids Type Curve'!C237</f>
        <v>4.5627283643440322</v>
      </c>
      <c r="N260" s="65">
        <f>'Liquids Type Curve'!D237</f>
        <v>138.78298774879764</v>
      </c>
      <c r="O260" s="65">
        <f>'Liquids Type Curve'!E237</f>
        <v>118304.74462047209</v>
      </c>
      <c r="S260" s="112">
        <f>'Gas Type Curve'!A244</f>
        <v>17.916666666666682</v>
      </c>
      <c r="T260" s="128">
        <f>'Gas Type Curve'!B244</f>
        <v>215.00000000000017</v>
      </c>
      <c r="U260" s="94">
        <f>'Gas Type Curve'!C244</f>
        <v>125.18133950531164</v>
      </c>
      <c r="V260" s="94">
        <f>'Gas Type Curve'!D244</f>
        <v>3807.5990766198961</v>
      </c>
      <c r="W260" s="94">
        <f>'Gas Type Curve'!E244</f>
        <v>2238672.0842594435</v>
      </c>
      <c r="AK260" s="146">
        <f t="shared" si="72"/>
        <v>215</v>
      </c>
      <c r="AL260" s="145"/>
      <c r="AM260" s="146">
        <f t="shared" si="73"/>
        <v>1566.1271873802248</v>
      </c>
      <c r="AN260" s="133">
        <f>'Price Deck'!E219*F260+N260*'Price Deck'!T219+(V260*'Price Deck'!K219/$AB$3)</f>
        <v>62361.375564113499</v>
      </c>
      <c r="AO260" s="133">
        <f t="shared" si="74"/>
        <v>39.818844897539847</v>
      </c>
      <c r="AP260" s="133">
        <f>'Production Costs '!$N$22*(1+'Production Costs '!$P$2)^(AL260)</f>
        <v>-6.5424999999999995</v>
      </c>
      <c r="AQ260" s="133">
        <f>'Production Costs '!$N$23*(1+'Production Costs '!$P$2)^AL260</f>
        <v>-1.1487500000000002</v>
      </c>
      <c r="AR260" s="162">
        <f>-'Oil Royalties'!W225</f>
        <v>-12.70392646967564</v>
      </c>
      <c r="AS260" s="162">
        <f>-'Butane Royalties'!AD225</f>
        <v>-7.3303353657213037</v>
      </c>
      <c r="AT260" s="162">
        <f>-'Propane Royalties'!AD225</f>
        <v>-6.2431336161282642</v>
      </c>
      <c r="AU260" s="162">
        <f>-'Ethane Royalties'!AH225</f>
        <v>-0.54648316355107007</v>
      </c>
      <c r="AV260" s="162">
        <f>-'Natural Gas Royalties'!AB225</f>
        <v>-0.19189118530261909</v>
      </c>
      <c r="AW260" s="133">
        <f>AN260+AM260*(AP260+AQ260)+(AR260*F260)+(AV260*(V260/$AB$3))+(AS260*'Butane Royalties'!K230)+(AT260*'Propane Royalties'!K230)+(AU260*'Ethane Royalties'!K230)</f>
        <v>39569.878625035584</v>
      </c>
      <c r="AX260" s="133">
        <f t="shared" si="75"/>
        <v>25.266069667832667</v>
      </c>
      <c r="AY260" s="133">
        <f t="shared" si="65"/>
        <v>411.42464522940855</v>
      </c>
      <c r="AZ260" s="133">
        <f t="shared" si="66"/>
        <v>16006.240518887689</v>
      </c>
      <c r="BA260" s="133">
        <f t="shared" si="67"/>
        <v>39158.453979806174</v>
      </c>
      <c r="BB260" s="133">
        <f t="shared" si="68"/>
        <v>39569.878625035584</v>
      </c>
      <c r="BC260" s="133">
        <f t="shared" si="69"/>
        <v>11775.671784257838</v>
      </c>
      <c r="BD260" s="133">
        <f t="shared" si="70"/>
        <v>27794.206840777748</v>
      </c>
      <c r="BE260" s="133">
        <f t="shared" si="71"/>
        <v>27794.206840777748</v>
      </c>
    </row>
    <row r="261" spans="2:57">
      <c r="B261" s="111" t="e">
        <f>'[1]Oil Production'!#REF!</f>
        <v>#REF!</v>
      </c>
      <c r="C261" s="66"/>
      <c r="D261" s="127">
        <f>'[1]Oil Production'!A222</f>
        <v>216</v>
      </c>
      <c r="E261" s="66">
        <f>'[1]Oil Production'!B222</f>
        <v>26.012529325224914</v>
      </c>
      <c r="F261" s="66">
        <f>'[1]Oil Production'!C222</f>
        <v>791.21443364225786</v>
      </c>
      <c r="G261" s="66">
        <f>'[1]Oil Production'!D222</f>
        <v>284434.25502984488</v>
      </c>
      <c r="H261" s="95"/>
      <c r="K261" s="109">
        <f>'Liquids Type Curve'!A238</f>
        <v>18.005224132120002</v>
      </c>
      <c r="L261" s="116">
        <f>'Liquids Type Curve'!B238</f>
        <v>216.06268958544001</v>
      </c>
      <c r="M261" s="65">
        <f>'Liquids Type Curve'!C238</f>
        <v>4.5430419440207581</v>
      </c>
      <c r="N261" s="65">
        <f>'Liquids Type Curve'!D238</f>
        <v>138.18419246396473</v>
      </c>
      <c r="O261" s="65">
        <f>'Liquids Type Curve'!E238</f>
        <v>118442.92881293605</v>
      </c>
      <c r="S261" s="112">
        <f>'Gas Type Curve'!A245</f>
        <v>18.000000000000014</v>
      </c>
      <c r="T261" s="128">
        <f>'Gas Type Curve'!B245</f>
        <v>216.00000000000017</v>
      </c>
      <c r="U261" s="94">
        <f>'Gas Type Curve'!C245</f>
        <v>124.771760109772</v>
      </c>
      <c r="V261" s="94">
        <f>'Gas Type Curve'!D245</f>
        <v>3795.1410366722321</v>
      </c>
      <c r="W261" s="94">
        <f>'Gas Type Curve'!E245</f>
        <v>2242467.2252961155</v>
      </c>
      <c r="AK261" s="146">
        <f t="shared" si="72"/>
        <v>216</v>
      </c>
      <c r="AL261" s="145" t="e">
        <f t="shared" ref="AL261:AL285" si="76">B261</f>
        <v>#REF!</v>
      </c>
      <c r="AM261" s="146">
        <f t="shared" si="73"/>
        <v>1561.9221322182611</v>
      </c>
      <c r="AN261" s="133">
        <f>'Price Deck'!E220*F261+N261*'Price Deck'!T220+(V261*'Price Deck'!K220/$AB$3)</f>
        <v>62224.542221293152</v>
      </c>
      <c r="AO261" s="133">
        <f t="shared" si="74"/>
        <v>39.838440686489974</v>
      </c>
      <c r="AP261" s="133" t="e">
        <f>'Production Costs '!$N$22*(1+'Production Costs '!$P$2)^(AL261)</f>
        <v>#REF!</v>
      </c>
      <c r="AQ261" s="133" t="e">
        <f>'Production Costs '!$N$23*(1+'Production Costs '!$P$2)^AL261</f>
        <v>#REF!</v>
      </c>
      <c r="AR261" s="162">
        <f>-'Oil Royalties'!W226</f>
        <v>-12.677499088786002</v>
      </c>
      <c r="AS261" s="162">
        <f>-'Butane Royalties'!AD226</f>
        <v>-7.3277053820293565</v>
      </c>
      <c r="AT261" s="162">
        <f>-'Propane Royalties'!AD226</f>
        <v>-6.2408632012699039</v>
      </c>
      <c r="AU261" s="162">
        <f>-'Ethane Royalties'!AH226</f>
        <v>-0.54643728571431283</v>
      </c>
      <c r="AV261" s="162">
        <f>-'Natural Gas Royalties'!AB226</f>
        <v>-0.19189118530261909</v>
      </c>
      <c r="AW261" s="133" t="e">
        <f>AN261+AM261*(AP261+AQ261)+(AR261*F261)+(AV261*(V261/$AB$3))+(AS261*'Butane Royalties'!K231)+(AT261*'Propane Royalties'!K231)+(AU261*'Ethane Royalties'!K231)</f>
        <v>#REF!</v>
      </c>
      <c r="AX261" s="133" t="e">
        <f t="shared" si="75"/>
        <v>#REF!</v>
      </c>
      <c r="AY261" s="133">
        <f t="shared" si="65"/>
        <v>401.11439483691629</v>
      </c>
      <c r="AZ261" s="133">
        <f t="shared" si="66"/>
        <v>15605.126124050774</v>
      </c>
      <c r="BA261" s="133" t="e">
        <f t="shared" si="67"/>
        <v>#REF!</v>
      </c>
      <c r="BB261" s="133" t="e">
        <f t="shared" si="68"/>
        <v>#REF!</v>
      </c>
      <c r="BC261" s="133" t="e">
        <f t="shared" si="69"/>
        <v>#REF!</v>
      </c>
      <c r="BD261" s="133" t="e">
        <f t="shared" si="70"/>
        <v>#REF!</v>
      </c>
      <c r="BE261" s="133" t="e">
        <f t="shared" si="71"/>
        <v>#REF!</v>
      </c>
    </row>
    <row r="262" spans="2:57">
      <c r="B262" s="111" t="e">
        <f>'[1]Oil Production'!#REF!</f>
        <v>#REF!</v>
      </c>
      <c r="C262" s="66" t="e">
        <f>B261</f>
        <v>#REF!</v>
      </c>
      <c r="D262" s="127">
        <f>'[1]Oil Production'!A223</f>
        <v>217</v>
      </c>
      <c r="E262" s="66">
        <f>'[1]Oil Production'!B223</f>
        <v>25.962559317265129</v>
      </c>
      <c r="F262" s="66">
        <f>'[1]Oil Production'!C223</f>
        <v>789.69451256681441</v>
      </c>
      <c r="G262" s="66">
        <f>'[1]Oil Production'!D223</f>
        <v>285223.94954241172</v>
      </c>
      <c r="H262" s="95" t="e">
        <f>IF(C262&gt;0,((E262-E250)/(E250)),0)</f>
        <v>#REF!</v>
      </c>
      <c r="K262" s="109">
        <f>'Liquids Type Curve'!A239</f>
        <v>18.088557465453334</v>
      </c>
      <c r="L262" s="116">
        <f>'Liquids Type Curve'!B239</f>
        <v>217.06268958544001</v>
      </c>
      <c r="M262" s="65">
        <f>'Liquids Type Curve'!C239</f>
        <v>4.5235307805294429</v>
      </c>
      <c r="N262" s="65">
        <f>'Liquids Type Curve'!D239</f>
        <v>137.59072790777057</v>
      </c>
      <c r="O262" s="65">
        <f>'Liquids Type Curve'!E239</f>
        <v>118580.51954084382</v>
      </c>
      <c r="S262" s="112">
        <f>'Gas Type Curve'!A246</f>
        <v>18.083333333333346</v>
      </c>
      <c r="T262" s="128">
        <f>'Gas Type Curve'!B246</f>
        <v>217.00000000000017</v>
      </c>
      <c r="U262" s="94">
        <f>'Gas Type Curve'!C246</f>
        <v>124.3654033770388</v>
      </c>
      <c r="V262" s="94">
        <f>'Gas Type Curve'!D246</f>
        <v>3782.7810193849305</v>
      </c>
      <c r="W262" s="94">
        <f>'Gas Type Curve'!E246</f>
        <v>2246250.0063155005</v>
      </c>
      <c r="AK262" s="146">
        <f t="shared" si="72"/>
        <v>217</v>
      </c>
      <c r="AL262" s="145"/>
      <c r="AM262" s="146">
        <f t="shared" si="73"/>
        <v>1557.7487437054067</v>
      </c>
      <c r="AN262" s="133">
        <f>'Price Deck'!E221*F262+N262*'Price Deck'!T221+(V262*'Price Deck'!K221/$AB$3)</f>
        <v>62088.670360121869</v>
      </c>
      <c r="AO262" s="133">
        <f t="shared" si="74"/>
        <v>39.857949243105764</v>
      </c>
      <c r="AP262" s="133">
        <f>'Production Costs '!$N$22*(1+'Production Costs '!$P$2)^(AL262)</f>
        <v>-6.5424999999999995</v>
      </c>
      <c r="AQ262" s="133">
        <f>'Production Costs '!$N$23*(1+'Production Costs '!$P$2)^AL262</f>
        <v>-1.1487500000000002</v>
      </c>
      <c r="AR262" s="162">
        <f>-'Oil Royalties'!W227</f>
        <v>-12.651244424372297</v>
      </c>
      <c r="AS262" s="162">
        <f>-'Butane Royalties'!AD227</f>
        <v>-7.3250993636878086</v>
      </c>
      <c r="AT262" s="162">
        <f>-'Propane Royalties'!AD227</f>
        <v>-6.2386134752423521</v>
      </c>
      <c r="AU262" s="162">
        <f>-'Ethane Royalties'!AH227</f>
        <v>-0.54639182593278357</v>
      </c>
      <c r="AV262" s="162">
        <f>-'Natural Gas Royalties'!AB227</f>
        <v>-0.19189118530261912</v>
      </c>
      <c r="AW262" s="133">
        <f>AN262+AM262*(AP262+AQ262)+(AR262*F262)+(AV262*(V262/$AB$3))+(AS262*'Butane Royalties'!K232)+(AT262*'Propane Royalties'!K232)+(AU262*'Ethane Royalties'!K232)</f>
        <v>39447.88513439439</v>
      </c>
      <c r="AX262" s="133">
        <f t="shared" si="75"/>
        <v>25.323650745215794</v>
      </c>
      <c r="AY262" s="133">
        <f t="shared" si="65"/>
        <v>391.06251803576941</v>
      </c>
      <c r="AZ262" s="133">
        <f t="shared" si="66"/>
        <v>15214.063606015005</v>
      </c>
      <c r="BA262" s="133">
        <f t="shared" si="67"/>
        <v>39056.822616358622</v>
      </c>
      <c r="BB262" s="133">
        <f t="shared" si="68"/>
        <v>39447.88513439439</v>
      </c>
      <c r="BC262" s="133">
        <f t="shared" si="69"/>
        <v>11745.109352463105</v>
      </c>
      <c r="BD262" s="133">
        <f t="shared" si="70"/>
        <v>27702.775781931283</v>
      </c>
      <c r="BE262" s="133">
        <f t="shared" si="71"/>
        <v>27702.775781931283</v>
      </c>
    </row>
    <row r="263" spans="2:57">
      <c r="B263" s="111" t="e">
        <f>'[1]Oil Production'!#REF!</f>
        <v>#REF!</v>
      </c>
      <c r="C263" s="66"/>
      <c r="D263" s="127">
        <f>'[1]Oil Production'!A224</f>
        <v>218</v>
      </c>
      <c r="E263" s="66">
        <f>'[1]Oil Production'!B224</f>
        <v>25.912914388825456</v>
      </c>
      <c r="F263" s="66">
        <f>'[1]Oil Production'!C224</f>
        <v>788.18447932677429</v>
      </c>
      <c r="G263" s="66">
        <f>'[1]Oil Production'!D224</f>
        <v>286012.13402173849</v>
      </c>
      <c r="H263" s="95"/>
      <c r="K263" s="109">
        <f>'Liquids Type Curve'!A240</f>
        <v>18.171890798786666</v>
      </c>
      <c r="L263" s="116">
        <f>'Liquids Type Curve'!B240</f>
        <v>218.06268958544001</v>
      </c>
      <c r="M263" s="65">
        <f>'Liquids Type Curve'!C240</f>
        <v>4.5041925169906545</v>
      </c>
      <c r="N263" s="65">
        <f>'Liquids Type Curve'!D240</f>
        <v>137.00252239179909</v>
      </c>
      <c r="O263" s="65">
        <f>'Liquids Type Curve'!E240</f>
        <v>118717.52206323562</v>
      </c>
      <c r="S263" s="112">
        <f>'Gas Type Curve'!A247</f>
        <v>18.166666666666679</v>
      </c>
      <c r="T263" s="128">
        <f>'Gas Type Curve'!B247</f>
        <v>218.00000000000014</v>
      </c>
      <c r="U263" s="94">
        <f>'Gas Type Curve'!C247</f>
        <v>123.96222927400437</v>
      </c>
      <c r="V263" s="94">
        <f>'Gas Type Curve'!D247</f>
        <v>3770.5178070842999</v>
      </c>
      <c r="W263" s="94">
        <f>'Gas Type Curve'!E247</f>
        <v>2250020.5241225846</v>
      </c>
      <c r="AK263" s="146">
        <f t="shared" si="72"/>
        <v>218</v>
      </c>
      <c r="AL263" s="145"/>
      <c r="AM263" s="146">
        <f t="shared" si="73"/>
        <v>1553.6066362326233</v>
      </c>
      <c r="AN263" s="133">
        <f>'Price Deck'!E222*F263+N263*'Price Deck'!T222+(V263*'Price Deck'!K222/$AB$3)</f>
        <v>61953.748726294274</v>
      </c>
      <c r="AO263" s="133">
        <f t="shared" si="74"/>
        <v>39.877371325168482</v>
      </c>
      <c r="AP263" s="133">
        <f>'Production Costs '!$N$22*(1+'Production Costs '!$P$2)^(AL263)</f>
        <v>-6.5424999999999995</v>
      </c>
      <c r="AQ263" s="133">
        <f>'Production Costs '!$N$23*(1+'Production Costs '!$P$2)^AL263</f>
        <v>-1.1487500000000002</v>
      </c>
      <c r="AR263" s="162">
        <f>-'Oil Royalties'!W228</f>
        <v>-12.625160559485282</v>
      </c>
      <c r="AS263" s="162">
        <f>-'Butane Royalties'!AD228</f>
        <v>-7.3225169808426713</v>
      </c>
      <c r="AT263" s="162">
        <f>-'Propane Royalties'!AD228</f>
        <v>-6.2363841532889372</v>
      </c>
      <c r="AU263" s="162">
        <f>-'Ethane Royalties'!AH228</f>
        <v>-0.5463467784524596</v>
      </c>
      <c r="AV263" s="162">
        <f>-'Natural Gas Royalties'!AB228</f>
        <v>-0.19189118530261909</v>
      </c>
      <c r="AW263" s="133">
        <f>AN263+AM263*(AP263+AQ263)+(AR263*F263)+(AV263*(V263/$AB$3))+(AS263*'Butane Royalties'!K233)+(AT263*'Propane Royalties'!K233)+(AU263*'Ethane Royalties'!K233)</f>
        <v>39387.40462777653</v>
      </c>
      <c r="AX263" s="133">
        <f t="shared" si="75"/>
        <v>25.352237631584764</v>
      </c>
      <c r="AY263" s="133">
        <f t="shared" si="65"/>
        <v>381.2625400159327</v>
      </c>
      <c r="AZ263" s="133">
        <f t="shared" si="66"/>
        <v>14832.801065999072</v>
      </c>
      <c r="BA263" s="133">
        <f t="shared" si="67"/>
        <v>39006.1420877606</v>
      </c>
      <c r="BB263" s="133">
        <f t="shared" si="68"/>
        <v>39387.40462777653</v>
      </c>
      <c r="BC263" s="133">
        <f t="shared" si="69"/>
        <v>11729.868779611819</v>
      </c>
      <c r="BD263" s="133">
        <f t="shared" si="70"/>
        <v>27657.535848164713</v>
      </c>
      <c r="BE263" s="133">
        <f t="shared" si="71"/>
        <v>27657.535848164713</v>
      </c>
    </row>
    <row r="264" spans="2:57">
      <c r="B264" s="111" t="e">
        <f>'[1]Oil Production'!#REF!</f>
        <v>#REF!</v>
      </c>
      <c r="C264" s="66"/>
      <c r="D264" s="127">
        <f>'[1]Oil Production'!A225</f>
        <v>219</v>
      </c>
      <c r="E264" s="66">
        <f>'[1]Oil Production'!B225</f>
        <v>25.863590948403452</v>
      </c>
      <c r="F264" s="66">
        <f>'[1]Oil Production'!C225</f>
        <v>786.68422468060498</v>
      </c>
      <c r="G264" s="66">
        <f>'[1]Oil Production'!D225</f>
        <v>286798.81824641908</v>
      </c>
      <c r="H264" s="95"/>
      <c r="K264" s="109">
        <f>'Liquids Type Curve'!A241</f>
        <v>18.255224132119999</v>
      </c>
      <c r="L264" s="116">
        <f>'Liquids Type Curve'!B241</f>
        <v>219.06268958543998</v>
      </c>
      <c r="M264" s="65">
        <f>'Liquids Type Curve'!C241</f>
        <v>4.4850248388365159</v>
      </c>
      <c r="N264" s="65">
        <f>'Liquids Type Curve'!D241</f>
        <v>136.41950551461071</v>
      </c>
      <c r="O264" s="65">
        <f>'Liquids Type Curve'!E241</f>
        <v>118853.94156875023</v>
      </c>
      <c r="S264" s="112">
        <f>'Gas Type Curve'!A248</f>
        <v>18.250000000000011</v>
      </c>
      <c r="T264" s="128">
        <f>'Gas Type Curve'!B248</f>
        <v>219.00000000000011</v>
      </c>
      <c r="U264" s="94">
        <f>'Gas Type Curve'!C248</f>
        <v>123.56219844551826</v>
      </c>
      <c r="V264" s="94">
        <f>'Gas Type Curve'!D248</f>
        <v>3758.3502027178474</v>
      </c>
      <c r="W264" s="94">
        <f>'Gas Type Curve'!E248</f>
        <v>2253778.8743253024</v>
      </c>
      <c r="AK264" s="146">
        <f t="shared" si="72"/>
        <v>219</v>
      </c>
      <c r="AL264" s="145"/>
      <c r="AM264" s="146">
        <f t="shared" si="73"/>
        <v>1549.4954306481902</v>
      </c>
      <c r="AN264" s="133">
        <f>'Price Deck'!E223*F264+N264*'Price Deck'!T223+(V264*'Price Deck'!K223/$AB$3)</f>
        <v>61819.766249000109</v>
      </c>
      <c r="AO264" s="133">
        <f t="shared" si="74"/>
        <v>39.896707680602489</v>
      </c>
      <c r="AP264" s="133">
        <f>'Production Costs '!$N$22*(1+'Production Costs '!$P$2)^(AL264)</f>
        <v>-6.5424999999999995</v>
      </c>
      <c r="AQ264" s="133">
        <f>'Production Costs '!$N$23*(1+'Production Costs '!$P$2)^AL264</f>
        <v>-1.1487500000000002</v>
      </c>
      <c r="AR264" s="162">
        <f>-'Oil Royalties'!W229</f>
        <v>-12.599245607119228</v>
      </c>
      <c r="AS264" s="162">
        <f>-'Butane Royalties'!AD229</f>
        <v>-7.3199579096999363</v>
      </c>
      <c r="AT264" s="162">
        <f>-'Propane Royalties'!AD229</f>
        <v>-6.2341749558844644</v>
      </c>
      <c r="AU264" s="162">
        <f>-'Ethane Royalties'!AH229</f>
        <v>-0.54630213762502911</v>
      </c>
      <c r="AV264" s="162">
        <f>-'Natural Gas Royalties'!AB229</f>
        <v>-0.19189118530261909</v>
      </c>
      <c r="AW264" s="133">
        <f>AN264+AM264*(AP264+AQ264)+(AR264*F264)+(AV264*(V264/$AB$3))+(AS264*'Butane Royalties'!K234)+(AT264*'Propane Royalties'!K234)+(AU264*'Ethane Royalties'!K234)</f>
        <v>39327.263782262984</v>
      </c>
      <c r="AX264" s="133">
        <f t="shared" si="75"/>
        <v>25.380690387587311</v>
      </c>
      <c r="AY264" s="133">
        <f t="shared" si="65"/>
        <v>371.7081482253048</v>
      </c>
      <c r="AZ264" s="133">
        <f t="shared" si="66"/>
        <v>14461.092917773767</v>
      </c>
      <c r="BA264" s="133">
        <f t="shared" si="67"/>
        <v>38955.555634037679</v>
      </c>
      <c r="BB264" s="133">
        <f t="shared" si="68"/>
        <v>39327.263782262984</v>
      </c>
      <c r="BC264" s="133">
        <f t="shared" si="69"/>
        <v>11714.656496816438</v>
      </c>
      <c r="BD264" s="133">
        <f t="shared" si="70"/>
        <v>27612.607285446546</v>
      </c>
      <c r="BE264" s="133">
        <f t="shared" si="71"/>
        <v>27612.607285446546</v>
      </c>
    </row>
    <row r="265" spans="2:57">
      <c r="B265" s="111" t="e">
        <f>'[1]Oil Production'!#REF!</f>
        <v>#REF!</v>
      </c>
      <c r="C265" s="66"/>
      <c r="D265" s="127">
        <f>'[1]Oil Production'!A226</f>
        <v>220</v>
      </c>
      <c r="E265" s="66">
        <f>'[1]Oil Production'!B226</f>
        <v>25.81458546034213</v>
      </c>
      <c r="F265" s="66">
        <f>'[1]Oil Production'!C226</f>
        <v>785.19364108540651</v>
      </c>
      <c r="G265" s="66">
        <f>'[1]Oil Production'!D226</f>
        <v>287584.01188750449</v>
      </c>
      <c r="H265" s="95"/>
      <c r="K265" s="109">
        <f>'Liquids Type Curve'!A242</f>
        <v>18.338557465453331</v>
      </c>
      <c r="L265" s="116">
        <f>'Liquids Type Curve'!B242</f>
        <v>220.06268958543995</v>
      </c>
      <c r="M265" s="65">
        <f>'Liquids Type Curve'!C242</f>
        <v>4.4660254728622615</v>
      </c>
      <c r="N265" s="65">
        <f>'Liquids Type Curve'!D242</f>
        <v>135.84160813289378</v>
      </c>
      <c r="O265" s="65">
        <f>'Liquids Type Curve'!E242</f>
        <v>118989.78317688312</v>
      </c>
      <c r="S265" s="112">
        <f>'Gas Type Curve'!A249</f>
        <v>18.333333333333343</v>
      </c>
      <c r="T265" s="128">
        <f>'Gas Type Curve'!B249</f>
        <v>220.00000000000011</v>
      </c>
      <c r="U265" s="94">
        <f>'Gas Type Curve'!C249</f>
        <v>123.16527219987356</v>
      </c>
      <c r="V265" s="94">
        <f>'Gas Type Curve'!D249</f>
        <v>3746.2770294128209</v>
      </c>
      <c r="W265" s="94">
        <f>'Gas Type Curve'!E249</f>
        <v>2257525.1513547152</v>
      </c>
      <c r="AK265" s="146">
        <f t="shared" si="72"/>
        <v>220</v>
      </c>
      <c r="AL265" s="145"/>
      <c r="AM265" s="146">
        <f t="shared" si="73"/>
        <v>1545.414754120437</v>
      </c>
      <c r="AN265" s="133">
        <f>'Price Deck'!E224*F265+N265*'Price Deck'!T224+(V265*'Price Deck'!K224/$AB$3)</f>
        <v>61686.71203709978</v>
      </c>
      <c r="AO265" s="133">
        <f t="shared" si="74"/>
        <v>39.915959047646325</v>
      </c>
      <c r="AP265" s="133">
        <f>'Production Costs '!$N$22*(1+'Production Costs '!$P$2)^(AL265)</f>
        <v>-6.5424999999999995</v>
      </c>
      <c r="AQ265" s="133">
        <f>'Production Costs '!$N$23*(1+'Production Costs '!$P$2)^AL265</f>
        <v>-1.1487500000000002</v>
      </c>
      <c r="AR265" s="162">
        <f>-'Oil Royalties'!W230</f>
        <v>-12.573497709610082</v>
      </c>
      <c r="AS265" s="162">
        <f>-'Butane Royalties'!AD230</f>
        <v>-7.317421832386616</v>
      </c>
      <c r="AT265" s="162">
        <f>-'Propane Royalties'!AD230</f>
        <v>-6.2319856086152203</v>
      </c>
      <c r="AU265" s="162">
        <f>-'Ethane Royalties'!AH230</f>
        <v>-0.54625789790546675</v>
      </c>
      <c r="AV265" s="162">
        <f>-'Natural Gas Royalties'!AB230</f>
        <v>-0.19189118530261909</v>
      </c>
      <c r="AW265" s="133">
        <f>AN265+AM265*(AP265+AQ265)+(AR265*F265)+(AV265*(V265/$AB$3))+(AS265*'Butane Royalties'!K235)+(AT265*'Propane Royalties'!K235)+(AU265*'Ethane Royalties'!K235)</f>
        <v>39267.459283052667</v>
      </c>
      <c r="AX265" s="133">
        <f t="shared" si="75"/>
        <v>25.40901022094971</v>
      </c>
      <c r="AY265" s="133">
        <f t="shared" si="65"/>
        <v>362.39318830355393</v>
      </c>
      <c r="AZ265" s="133">
        <f t="shared" si="66"/>
        <v>14098.699729470212</v>
      </c>
      <c r="BA265" s="133">
        <f t="shared" si="67"/>
        <v>38905.066094749112</v>
      </c>
      <c r="BB265" s="133">
        <f t="shared" si="68"/>
        <v>39267.459283052667</v>
      </c>
      <c r="BC265" s="133">
        <f t="shared" si="69"/>
        <v>11699.473357984984</v>
      </c>
      <c r="BD265" s="133">
        <f t="shared" si="70"/>
        <v>27567.985925067682</v>
      </c>
      <c r="BE265" s="133">
        <f t="shared" si="71"/>
        <v>27567.985925067682</v>
      </c>
    </row>
    <row r="266" spans="2:57">
      <c r="B266" s="111" t="e">
        <f>'[1]Oil Production'!#REF!</f>
        <v>#REF!</v>
      </c>
      <c r="C266" s="66"/>
      <c r="D266" s="127">
        <f>'[1]Oil Production'!A227</f>
        <v>221</v>
      </c>
      <c r="E266" s="66">
        <f>'[1]Oil Production'!B227</f>
        <v>25.765894443712401</v>
      </c>
      <c r="F266" s="66">
        <f>'[1]Oil Production'!C227</f>
        <v>783.71262266291887</v>
      </c>
      <c r="G266" s="66">
        <f>'[1]Oil Production'!D227</f>
        <v>288367.72451016738</v>
      </c>
      <c r="H266" s="95"/>
      <c r="K266" s="109">
        <f>'Liquids Type Curve'!A243</f>
        <v>18.421890798786663</v>
      </c>
      <c r="L266" s="116">
        <f>'Liquids Type Curve'!B243</f>
        <v>221.06268958543995</v>
      </c>
      <c r="M266" s="65">
        <f>'Liquids Type Curve'!C243</f>
        <v>4.4471921863032486</v>
      </c>
      <c r="N266" s="65">
        <f>'Liquids Type Curve'!D243</f>
        <v>135.2687623333905</v>
      </c>
      <c r="O266" s="65">
        <f>'Liquids Type Curve'!E243</f>
        <v>119125.05193921652</v>
      </c>
      <c r="S266" s="112">
        <f>'Gas Type Curve'!A250</f>
        <v>18.416666666666675</v>
      </c>
      <c r="T266" s="128">
        <f>'Gas Type Curve'!B250</f>
        <v>221.00000000000011</v>
      </c>
      <c r="U266" s="94">
        <f>'Gas Type Curve'!C250</f>
        <v>122.77141249467026</v>
      </c>
      <c r="V266" s="94">
        <f>'Gas Type Curve'!D250</f>
        <v>3734.2971300462204</v>
      </c>
      <c r="W266" s="94">
        <f>'Gas Type Curve'!E250</f>
        <v>2261259.4484847616</v>
      </c>
      <c r="AK266" s="146">
        <f t="shared" si="72"/>
        <v>221</v>
      </c>
      <c r="AL266" s="145"/>
      <c r="AM266" s="146">
        <f t="shared" si="73"/>
        <v>1541.3642400040126</v>
      </c>
      <c r="AN266" s="133">
        <f>'Price Deck'!E225*F266+N266*'Price Deck'!T225+(V266*'Price Deck'!K225/$AB$3)</f>
        <v>61554.575375396445</v>
      </c>
      <c r="AO266" s="133">
        <f t="shared" si="74"/>
        <v>39.935126155019795</v>
      </c>
      <c r="AP266" s="133">
        <f>'Production Costs '!$N$22*(1+'Production Costs '!$P$2)^(AL266)</f>
        <v>-6.5424999999999995</v>
      </c>
      <c r="AQ266" s="133">
        <f>'Production Costs '!$N$23*(1+'Production Costs '!$P$2)^AL266</f>
        <v>-1.1487500000000002</v>
      </c>
      <c r="AR266" s="162">
        <f>-'Oil Royalties'!W231</f>
        <v>-12.547915038048282</v>
      </c>
      <c r="AS266" s="162">
        <f>-'Butane Royalties'!AD231</f>
        <v>-7.3149084368155135</v>
      </c>
      <c r="AT266" s="162">
        <f>-'Propane Royalties'!AD231</f>
        <v>-6.2298158420622824</v>
      </c>
      <c r="AU266" s="162">
        <f>-'Ethane Royalties'!AH231</f>
        <v>-0.54621405384967625</v>
      </c>
      <c r="AV266" s="162">
        <f>-'Natural Gas Royalties'!AB231</f>
        <v>-0.19189118530261909</v>
      </c>
      <c r="AW266" s="133">
        <f>AN266+AM266*(AP266+AQ266)+(AR266*F266)+(AV266*(V266/$AB$3))+(AS266*'Butane Royalties'!K236)+(AT266*'Propane Royalties'!K236)+(AU266*'Ethane Royalties'!K236)</f>
        <v>39207.987861308393</v>
      </c>
      <c r="AX266" s="133">
        <f t="shared" si="75"/>
        <v>25.437198323224578</v>
      </c>
      <c r="AY266" s="133">
        <f t="shared" si="65"/>
        <v>353.31166011785211</v>
      </c>
      <c r="AZ266" s="133">
        <f t="shared" si="66"/>
        <v>13745.388069352361</v>
      </c>
      <c r="BA266" s="133">
        <f t="shared" si="67"/>
        <v>38854.676201190538</v>
      </c>
      <c r="BB266" s="133">
        <f t="shared" si="68"/>
        <v>39207.987861308393</v>
      </c>
      <c r="BC266" s="133">
        <f t="shared" si="69"/>
        <v>11684.320184468597</v>
      </c>
      <c r="BD266" s="133">
        <f t="shared" si="70"/>
        <v>27523.667676839796</v>
      </c>
      <c r="BE266" s="133">
        <f t="shared" si="71"/>
        <v>27523.667676839796</v>
      </c>
    </row>
    <row r="267" spans="2:57">
      <c r="B267" s="111" t="e">
        <f>'[1]Oil Production'!#REF!</f>
        <v>#REF!</v>
      </c>
      <c r="C267" s="66"/>
      <c r="D267" s="127">
        <f>'[1]Oil Production'!A228</f>
        <v>222</v>
      </c>
      <c r="E267" s="66">
        <f>'[1]Oil Production'!B228</f>
        <v>25.71751447122297</v>
      </c>
      <c r="F267" s="66">
        <f>'[1]Oil Production'!C228</f>
        <v>782.24106516636539</v>
      </c>
      <c r="G267" s="66">
        <f>'[1]Oil Production'!D228</f>
        <v>289149.96557533374</v>
      </c>
      <c r="H267" s="95"/>
      <c r="K267" s="109">
        <f>'Liquids Type Curve'!A244</f>
        <v>18.505224132119995</v>
      </c>
      <c r="L267" s="116">
        <f>'Liquids Type Curve'!B244</f>
        <v>222.06268958543995</v>
      </c>
      <c r="M267" s="65">
        <f>'Liquids Type Curve'!C244</f>
        <v>4.4285227859366376</v>
      </c>
      <c r="N267" s="65">
        <f>'Liquids Type Curve'!D244</f>
        <v>134.70090140557272</v>
      </c>
      <c r="O267" s="65">
        <f>'Liquids Type Curve'!E244</f>
        <v>119259.75284062208</v>
      </c>
      <c r="S267" s="112">
        <f>'Gas Type Curve'!A251</f>
        <v>18.500000000000007</v>
      </c>
      <c r="T267" s="128">
        <f>'Gas Type Curve'!B251</f>
        <v>222.00000000000009</v>
      </c>
      <c r="U267" s="94">
        <f>'Gas Type Curve'!C251</f>
        <v>122.38058192304048</v>
      </c>
      <c r="V267" s="94">
        <f>'Gas Type Curve'!D251</f>
        <v>3722.4093668258147</v>
      </c>
      <c r="W267" s="94">
        <f>'Gas Type Curve'!E251</f>
        <v>2264981.8578515872</v>
      </c>
      <c r="AK267" s="146">
        <f t="shared" si="72"/>
        <v>222</v>
      </c>
      <c r="AL267" s="145"/>
      <c r="AM267" s="146">
        <f t="shared" si="73"/>
        <v>1537.3435277095739</v>
      </c>
      <c r="AN267" s="133">
        <f>'Price Deck'!E226*F267+N267*'Price Deck'!T226+(V267*'Price Deck'!K226/$AB$3)</f>
        <v>61423.345721002421</v>
      </c>
      <c r="AO267" s="133">
        <f t="shared" si="74"/>
        <v>39.954209722087676</v>
      </c>
      <c r="AP267" s="133">
        <f>'Production Costs '!$N$22*(1+'Production Costs '!$P$2)^(AL267)</f>
        <v>-6.5424999999999995</v>
      </c>
      <c r="AQ267" s="133">
        <f>'Production Costs '!$N$23*(1+'Production Costs '!$P$2)^AL267</f>
        <v>-1.1487500000000002</v>
      </c>
      <c r="AR267" s="162">
        <f>-'Oil Royalties'!W232</f>
        <v>-12.522495791706024</v>
      </c>
      <c r="AS267" s="162">
        <f>-'Butane Royalties'!AD232</f>
        <v>-7.3124174165537896</v>
      </c>
      <c r="AT267" s="162">
        <f>-'Propane Royalties'!AD232</f>
        <v>-6.2276653916880029</v>
      </c>
      <c r="AU267" s="162">
        <f>-'Ethane Royalties'!AH232</f>
        <v>-0.54617060011219587</v>
      </c>
      <c r="AV267" s="162">
        <f>-'Natural Gas Royalties'!AB232</f>
        <v>-0.19189118530261912</v>
      </c>
      <c r="AW267" s="133">
        <f>AN267+AM267*(AP267+AQ267)+(AR267*F267)+(AV267*(V267/$AB$3))+(AS267*'Butane Royalties'!K237)+(AT267*'Propane Royalties'!K237)+(AU267*'Ethane Royalties'!K237)</f>
        <v>39148.846293333823</v>
      </c>
      <c r="AX267" s="133">
        <f t="shared" si="75"/>
        <v>25.465255870078764</v>
      </c>
      <c r="AY267" s="133">
        <f t="shared" si="65"/>
        <v>344.45771389795323</v>
      </c>
      <c r="AZ267" s="133">
        <f t="shared" si="66"/>
        <v>13400.930355454408</v>
      </c>
      <c r="BA267" s="133">
        <f t="shared" si="67"/>
        <v>38804.388579435872</v>
      </c>
      <c r="BB267" s="133">
        <f t="shared" si="68"/>
        <v>39148.846293333823</v>
      </c>
      <c r="BC267" s="133">
        <f t="shared" si="69"/>
        <v>11669.197765976303</v>
      </c>
      <c r="BD267" s="133">
        <f t="shared" si="70"/>
        <v>27479.64852735752</v>
      </c>
      <c r="BE267" s="133">
        <f t="shared" si="71"/>
        <v>27479.64852735752</v>
      </c>
    </row>
    <row r="268" spans="2:57">
      <c r="B268" s="111" t="e">
        <f>'[1]Oil Production'!#REF!</f>
        <v>#REF!</v>
      </c>
      <c r="C268" s="66"/>
      <c r="D268" s="127">
        <f>'[1]Oil Production'!A229</f>
        <v>223</v>
      </c>
      <c r="E268" s="66">
        <f>'[1]Oil Production'!B229</f>
        <v>25.669442168156689</v>
      </c>
      <c r="F268" s="66">
        <f>'[1]Oil Production'!C229</f>
        <v>780.77886594809934</v>
      </c>
      <c r="G268" s="66">
        <f>'[1]Oil Production'!D229</f>
        <v>289930.74444128183</v>
      </c>
      <c r="H268" s="95"/>
      <c r="K268" s="109">
        <f>'Liquids Type Curve'!A245</f>
        <v>18.588557465453327</v>
      </c>
      <c r="L268" s="116">
        <f>'Liquids Type Curve'!B245</f>
        <v>223.06268958543993</v>
      </c>
      <c r="M268" s="65">
        <f>'Liquids Type Curve'!C245</f>
        <v>4.4100151172069522</v>
      </c>
      <c r="N268" s="65">
        <f>'Liquids Type Curve'!D245</f>
        <v>134.13795981504481</v>
      </c>
      <c r="O268" s="65">
        <f>'Liquids Type Curve'!E245</f>
        <v>119393.89080043712</v>
      </c>
      <c r="S268" s="112">
        <f>'Gas Type Curve'!A252</f>
        <v>18.583333333333339</v>
      </c>
      <c r="T268" s="128">
        <f>'Gas Type Curve'!B252</f>
        <v>223.00000000000006</v>
      </c>
      <c r="U268" s="94">
        <f>'Gas Type Curve'!C252</f>
        <v>121.99274370022775</v>
      </c>
      <c r="V268" s="94">
        <f>'Gas Type Curve'!D252</f>
        <v>3710.6126208819273</v>
      </c>
      <c r="W268" s="94">
        <f>'Gas Type Curve'!E252</f>
        <v>2268692.470472469</v>
      </c>
      <c r="AK268" s="146">
        <f t="shared" si="72"/>
        <v>223</v>
      </c>
      <c r="AL268" s="145"/>
      <c r="AM268" s="146">
        <f t="shared" si="73"/>
        <v>1533.3522625767987</v>
      </c>
      <c r="AN268" s="133">
        <f>'Price Deck'!E227*F268+N268*'Price Deck'!T227+(V268*'Price Deck'!K227/$AB$3)</f>
        <v>61293.012699796709</v>
      </c>
      <c r="AO268" s="133">
        <f t="shared" si="74"/>
        <v>39.973210459019896</v>
      </c>
      <c r="AP268" s="133">
        <f>'Production Costs '!$N$22*(1+'Production Costs '!$P$2)^(AL268)</f>
        <v>-6.5424999999999995</v>
      </c>
      <c r="AQ268" s="133">
        <f>'Production Costs '!$N$23*(1+'Production Costs '!$P$2)^AL268</f>
        <v>-1.1487500000000002</v>
      </c>
      <c r="AR268" s="162">
        <f>-'Oil Royalties'!W233</f>
        <v>-12.497238197478406</v>
      </c>
      <c r="AS268" s="162">
        <f>-'Butane Royalties'!AD233</f>
        <v>-7.3099484706950246</v>
      </c>
      <c r="AT268" s="162">
        <f>-'Propane Royalties'!AD233</f>
        <v>-6.2255339977255986</v>
      </c>
      <c r="AU268" s="162">
        <f>-'Ethane Royalties'!AH233</f>
        <v>-0.54612753144396864</v>
      </c>
      <c r="AV268" s="162">
        <f>-'Natural Gas Royalties'!AB233</f>
        <v>-0.19189118530261909</v>
      </c>
      <c r="AW268" s="133">
        <f>AN268+AM268*(AP268+AQ268)+(AR268*F268)+(AV268*(V268/$AB$3))+(AS268*'Butane Royalties'!K238)+(AT268*'Propane Royalties'!K238)+(AU268*'Ethane Royalties'!K238)</f>
        <v>39090.031399768326</v>
      </c>
      <c r="AX268" s="133">
        <f t="shared" si="75"/>
        <v>25.493184021574745</v>
      </c>
      <c r="AY268" s="133">
        <f t="shared" si="65"/>
        <v>335.82564646812511</v>
      </c>
      <c r="AZ268" s="133">
        <f t="shared" si="66"/>
        <v>13065.104708986282</v>
      </c>
      <c r="BA268" s="133">
        <f t="shared" si="67"/>
        <v>38754.205753300201</v>
      </c>
      <c r="BB268" s="133">
        <f t="shared" si="68"/>
        <v>39090.031399768326</v>
      </c>
      <c r="BC268" s="133">
        <f t="shared" si="69"/>
        <v>11654.106861466005</v>
      </c>
      <c r="BD268" s="133">
        <f t="shared" si="70"/>
        <v>27435.924538302323</v>
      </c>
      <c r="BE268" s="133">
        <f t="shared" si="71"/>
        <v>27435.924538302323</v>
      </c>
    </row>
    <row r="269" spans="2:57">
      <c r="B269" s="111" t="e">
        <f>'[1]Oil Production'!#REF!</f>
        <v>#REF!</v>
      </c>
      <c r="C269" s="66"/>
      <c r="D269" s="127">
        <f>'[1]Oil Production'!A230</f>
        <v>224</v>
      </c>
      <c r="E269" s="66">
        <f>'[1]Oil Production'!B230</f>
        <v>25.621674211332671</v>
      </c>
      <c r="F269" s="66">
        <f>'[1]Oil Production'!C230</f>
        <v>779.32592392803542</v>
      </c>
      <c r="G269" s="66">
        <f>'[1]Oil Production'!D230</f>
        <v>290710.07036520989</v>
      </c>
      <c r="H269" s="95"/>
      <c r="K269" s="109">
        <f>'Liquids Type Curve'!A246</f>
        <v>18.671890798786659</v>
      </c>
      <c r="L269" s="116">
        <f>'Liquids Type Curve'!B246</f>
        <v>224.0626895854399</v>
      </c>
      <c r="M269" s="65">
        <f>'Liquids Type Curve'!C246</f>
        <v>4.3916670633748236</v>
      </c>
      <c r="N269" s="65">
        <f>'Liquids Type Curve'!D246</f>
        <v>133.57987317765088</v>
      </c>
      <c r="O269" s="65">
        <f>'Liquids Type Curve'!E246</f>
        <v>119527.47067361476</v>
      </c>
      <c r="S269" s="112">
        <f>'Gas Type Curve'!A253</f>
        <v>18.666666666666671</v>
      </c>
      <c r="T269" s="128">
        <f>'Gas Type Curve'!B253</f>
        <v>224.00000000000006</v>
      </c>
      <c r="U269" s="94">
        <f>'Gas Type Curve'!C253</f>
        <v>121.60786165050706</v>
      </c>
      <c r="V269" s="94">
        <f>'Gas Type Curve'!D253</f>
        <v>3698.9057918695898</v>
      </c>
      <c r="W269" s="94">
        <f>'Gas Type Curve'!E253</f>
        <v>2272391.3762643384</v>
      </c>
      <c r="AK269" s="146">
        <f t="shared" si="72"/>
        <v>224</v>
      </c>
      <c r="AL269" s="145"/>
      <c r="AM269" s="146">
        <f t="shared" si="73"/>
        <v>1529.390095750618</v>
      </c>
      <c r="AN269" s="133">
        <f>'Price Deck'!E228*F269+N269*'Price Deck'!T228+(V269*'Price Deck'!K228/$AB$3)</f>
        <v>61163.566102970952</v>
      </c>
      <c r="AO269" s="133">
        <f t="shared" si="74"/>
        <v>39.992129066948181</v>
      </c>
      <c r="AP269" s="133">
        <f>'Production Costs '!$N$22*(1+'Production Costs '!$P$2)^(AL269)</f>
        <v>-6.5424999999999995</v>
      </c>
      <c r="AQ269" s="133">
        <f>'Production Costs '!$N$23*(1+'Production Costs '!$P$2)^AL269</f>
        <v>-1.1487500000000002</v>
      </c>
      <c r="AR269" s="162">
        <f>-'Oil Royalties'!W234</f>
        <v>-12.472140509338107</v>
      </c>
      <c r="AS269" s="162">
        <f>-'Butane Royalties'!AD234</f>
        <v>-7.3075013037347665</v>
      </c>
      <c r="AT269" s="162">
        <f>-'Propane Royalties'!AD234</f>
        <v>-6.2234214050717096</v>
      </c>
      <c r="AU269" s="162">
        <f>-'Ethane Royalties'!AH234</f>
        <v>-0.54608484269016944</v>
      </c>
      <c r="AV269" s="162">
        <f>-'Natural Gas Royalties'!AB234</f>
        <v>-0.19189118530261909</v>
      </c>
      <c r="AW269" s="133">
        <f>AN269+AM269*(AP269+AQ269)+(AR269*F269)+(AV269*(V269/$AB$3))+(AS269*'Butane Royalties'!K239)+(AT269*'Propane Royalties'!K239)+(AU269*'Ethane Royalties'!K239)</f>
        <v>39031.540044799425</v>
      </c>
      <c r="AX269" s="133">
        <f t="shared" si="75"/>
        <v>25.52098392244584</v>
      </c>
      <c r="AY269" s="133">
        <f t="shared" si="65"/>
        <v>327.40989757350968</v>
      </c>
      <c r="AZ269" s="133">
        <f t="shared" si="66"/>
        <v>12737.694811412772</v>
      </c>
      <c r="BA269" s="133">
        <f t="shared" si="67"/>
        <v>38704.130147225915</v>
      </c>
      <c r="BB269" s="133">
        <f t="shared" si="68"/>
        <v>39031.540044799425</v>
      </c>
      <c r="BC269" s="133">
        <f t="shared" si="69"/>
        <v>11639.048200012398</v>
      </c>
      <c r="BD269" s="133">
        <f t="shared" si="70"/>
        <v>27392.49184478703</v>
      </c>
      <c r="BE269" s="133">
        <f t="shared" si="71"/>
        <v>27392.49184478703</v>
      </c>
    </row>
    <row r="270" spans="2:57">
      <c r="B270" s="111" t="e">
        <f>'[1]Oil Production'!#REF!</f>
        <v>#REF!</v>
      </c>
      <c r="C270" s="66"/>
      <c r="D270" s="127">
        <f>'[1]Oil Production'!A231</f>
        <v>225</v>
      </c>
      <c r="E270" s="66">
        <f>'[1]Oil Production'!B231</f>
        <v>25.574207328093379</v>
      </c>
      <c r="F270" s="66">
        <f>'[1]Oil Production'!C231</f>
        <v>777.88213956284028</v>
      </c>
      <c r="G270" s="66">
        <f>'[1]Oil Production'!D231</f>
        <v>291487.95250477275</v>
      </c>
      <c r="H270" s="95"/>
      <c r="K270" s="109">
        <f>'Liquids Type Curve'!A247</f>
        <v>18.755224132119992</v>
      </c>
      <c r="L270" s="116">
        <f>'Liquids Type Curve'!B247</f>
        <v>225.0626895854399</v>
      </c>
      <c r="M270" s="65">
        <f>'Liquids Type Curve'!C247</f>
        <v>4.3734765446881179</v>
      </c>
      <c r="N270" s="65">
        <f>'Liquids Type Curve'!D247</f>
        <v>133.02657823426358</v>
      </c>
      <c r="O270" s="65">
        <f>'Liquids Type Curve'!E247</f>
        <v>119660.49725184902</v>
      </c>
      <c r="S270" s="112">
        <f>'Gas Type Curve'!A254</f>
        <v>18.750000000000004</v>
      </c>
      <c r="T270" s="128">
        <f>'Gas Type Curve'!B254</f>
        <v>225.00000000000006</v>
      </c>
      <c r="U270" s="94">
        <f>'Gas Type Curve'!C254</f>
        <v>121.22590019443861</v>
      </c>
      <c r="V270" s="94">
        <f>'Gas Type Curve'!D254</f>
        <v>3687.287797580841</v>
      </c>
      <c r="W270" s="94">
        <f>'Gas Type Curve'!E254</f>
        <v>2276078.6640619193</v>
      </c>
      <c r="AK270" s="146">
        <f t="shared" si="72"/>
        <v>225</v>
      </c>
      <c r="AL270" s="145"/>
      <c r="AM270" s="146">
        <f t="shared" si="73"/>
        <v>1525.4566840605776</v>
      </c>
      <c r="AN270" s="133">
        <f>'Price Deck'!E229*F270+N270*'Price Deck'!T229+(V270*'Price Deck'!K229/$AB$3)</f>
        <v>61961.693900631843</v>
      </c>
      <c r="AO270" s="133">
        <f t="shared" si="74"/>
        <v>40.618455147279207</v>
      </c>
      <c r="AP270" s="133">
        <f>'Production Costs '!$N$22*(1+'Production Costs '!$P$2)^(AL270)</f>
        <v>-6.5424999999999995</v>
      </c>
      <c r="AQ270" s="133">
        <f>'Production Costs '!$N$23*(1+'Production Costs '!$P$2)^AL270</f>
        <v>-1.1487500000000002</v>
      </c>
      <c r="AR270" s="162">
        <f>-'Oil Royalties'!W235</f>
        <v>-12.875810571643742</v>
      </c>
      <c r="AS270" s="162">
        <f>-'Butane Royalties'!AD235</f>
        <v>-7.6292722793758836</v>
      </c>
      <c r="AT270" s="162">
        <f>-'Propane Royalties'!AD235</f>
        <v>-6.4625219072096485</v>
      </c>
      <c r="AU270" s="162">
        <f>-'Ethane Royalties'!AH235</f>
        <v>-0.59430821045305116</v>
      </c>
      <c r="AV270" s="162">
        <f>-'Natural Gas Royalties'!AB235</f>
        <v>-0.195678601629142</v>
      </c>
      <c r="AW270" s="133">
        <f>AN270+AM270*(AP270+AQ270)+(AR270*F270)+(AV270*(V270/$AB$3))+(AS270*'Butane Royalties'!K240)+(AT270*'Propane Royalties'!K240)+(AU270*'Ethane Royalties'!K240)</f>
        <v>39540.999505207728</v>
      </c>
      <c r="AX270" s="133">
        <f t="shared" si="75"/>
        <v>25.920761905840855</v>
      </c>
      <c r="AY270" s="133">
        <f t="shared" si="65"/>
        <v>319.20504629854321</v>
      </c>
      <c r="AZ270" s="133">
        <f t="shared" si="66"/>
        <v>12418.489765114229</v>
      </c>
      <c r="BA270" s="133">
        <f t="shared" si="67"/>
        <v>39221.794458909186</v>
      </c>
      <c r="BB270" s="133">
        <f t="shared" si="68"/>
        <v>39540.999505207728</v>
      </c>
      <c r="BC270" s="133">
        <f t="shared" si="69"/>
        <v>11794.719438513017</v>
      </c>
      <c r="BD270" s="133">
        <f t="shared" si="70"/>
        <v>27746.280066694711</v>
      </c>
      <c r="BE270" s="133">
        <f t="shared" si="71"/>
        <v>27746.280066694711</v>
      </c>
    </row>
    <row r="271" spans="2:57">
      <c r="B271" s="111" t="e">
        <f>'[1]Oil Production'!#REF!</f>
        <v>#REF!</v>
      </c>
      <c r="C271" s="66"/>
      <c r="D271" s="127">
        <f>'[1]Oil Production'!A232</f>
        <v>226</v>
      </c>
      <c r="E271" s="66">
        <f>'[1]Oil Production'!B232</f>
        <v>25.527038295316128</v>
      </c>
      <c r="F271" s="66">
        <f>'[1]Oil Production'!C232</f>
        <v>776.44741481586561</v>
      </c>
      <c r="G271" s="66">
        <f>'[1]Oil Production'!D232</f>
        <v>292264.39991958864</v>
      </c>
      <c r="H271" s="95"/>
      <c r="K271" s="109">
        <f>'Liquids Type Curve'!A248</f>
        <v>18.838557465453324</v>
      </c>
      <c r="L271" s="116">
        <f>'Liquids Type Curve'!B248</f>
        <v>226.0626895854399</v>
      </c>
      <c r="M271" s="65">
        <f>'Liquids Type Curve'!C248</f>
        <v>4.3554415175748922</v>
      </c>
      <c r="N271" s="65">
        <f>'Liquids Type Curve'!D248</f>
        <v>132.4780128262363</v>
      </c>
      <c r="O271" s="65">
        <f>'Liquids Type Curve'!E248</f>
        <v>119792.97526467526</v>
      </c>
      <c r="S271" s="112">
        <f>'Gas Type Curve'!A255</f>
        <v>18.833333333333336</v>
      </c>
      <c r="T271" s="128">
        <f>'Gas Type Curve'!B255</f>
        <v>226.00000000000003</v>
      </c>
      <c r="U271" s="94">
        <f>'Gas Type Curve'!C255</f>
        <v>120.84682433644164</v>
      </c>
      <c r="V271" s="94">
        <f>'Gas Type Curve'!D255</f>
        <v>3675.757573566767</v>
      </c>
      <c r="W271" s="94">
        <f>'Gas Type Curve'!E255</f>
        <v>2279754.4216354862</v>
      </c>
      <c r="AK271" s="146">
        <f t="shared" si="72"/>
        <v>226</v>
      </c>
      <c r="AL271" s="145"/>
      <c r="AM271" s="146">
        <f t="shared" si="73"/>
        <v>1521.5516899032298</v>
      </c>
      <c r="AN271" s="133">
        <f>'Price Deck'!E230*F271+N271*'Price Deck'!T230+(V271*'Price Deck'!K230/$AB$3)</f>
        <v>61832.039676239729</v>
      </c>
      <c r="AO271" s="133">
        <f t="shared" si="74"/>
        <v>40.637488746880642</v>
      </c>
      <c r="AP271" s="133">
        <f>'Production Costs '!$N$22*(1+'Production Costs '!$P$2)^(AL271)</f>
        <v>-6.5424999999999995</v>
      </c>
      <c r="AQ271" s="133">
        <f>'Production Costs '!$N$23*(1+'Production Costs '!$P$2)^AL271</f>
        <v>-1.1487500000000002</v>
      </c>
      <c r="AR271" s="162">
        <f>-'Oil Royalties'!W236</f>
        <v>-12.850655818132561</v>
      </c>
      <c r="AS271" s="162">
        <f>-'Butane Royalties'!AD236</f>
        <v>-7.6268317375849906</v>
      </c>
      <c r="AT271" s="162">
        <f>-'Propane Royalties'!AD236</f>
        <v>-6.4604150339383564</v>
      </c>
      <c r="AU271" s="162">
        <f>-'Ethane Royalties'!AH236</f>
        <v>-0.59426563726971715</v>
      </c>
      <c r="AV271" s="162">
        <f>-'Natural Gas Royalties'!AB236</f>
        <v>-0.195678601629142</v>
      </c>
      <c r="AW271" s="133">
        <f>AN271+AM271*(AP271+AQ271)+(AR271*F271)+(AV271*(V271/$AB$3))+(AS271*'Butane Royalties'!K241)+(AT271*'Propane Royalties'!K241)+(AU271*'Ethane Royalties'!K241)</f>
        <v>39482.205064733993</v>
      </c>
      <c r="AX271" s="133">
        <f t="shared" si="75"/>
        <v>25.948645272277965</v>
      </c>
      <c r="AY271" s="133">
        <f t="shared" si="65"/>
        <v>311.20580757513136</v>
      </c>
      <c r="AZ271" s="133">
        <f t="shared" si="66"/>
        <v>12107.283957539097</v>
      </c>
      <c r="BA271" s="133">
        <f t="shared" si="67"/>
        <v>39170.999257158859</v>
      </c>
      <c r="BB271" s="133">
        <f t="shared" si="68"/>
        <v>39482.205064733993</v>
      </c>
      <c r="BC271" s="133">
        <f t="shared" si="69"/>
        <v>11779.444381322674</v>
      </c>
      <c r="BD271" s="133">
        <f t="shared" si="70"/>
        <v>27702.760683411318</v>
      </c>
      <c r="BE271" s="133">
        <f t="shared" si="71"/>
        <v>27702.760683411318</v>
      </c>
    </row>
    <row r="272" spans="2:57">
      <c r="B272" s="111" t="e">
        <f>'[1]Oil Production'!#REF!</f>
        <v>#REF!</v>
      </c>
      <c r="C272" s="66"/>
      <c r="D272" s="127">
        <f>'[1]Oil Production'!A233</f>
        <v>227</v>
      </c>
      <c r="E272" s="66">
        <f>'[1]Oil Production'!B233</f>
        <v>25.480163938448101</v>
      </c>
      <c r="F272" s="66">
        <f>'[1]Oil Production'!C233</f>
        <v>775.02165312779641</v>
      </c>
      <c r="G272" s="66">
        <f>'[1]Oil Production'!D233</f>
        <v>293039.42157271644</v>
      </c>
      <c r="H272" s="95"/>
      <c r="K272" s="109">
        <f>'Liquids Type Curve'!A249</f>
        <v>18.921890798786656</v>
      </c>
      <c r="L272" s="116">
        <f>'Liquids Type Curve'!B249</f>
        <v>227.06268958543987</v>
      </c>
      <c r="M272" s="65">
        <f>'Liquids Type Curve'!C249</f>
        <v>4.3375599738573545</v>
      </c>
      <c r="N272" s="65">
        <f>'Liquids Type Curve'!D249</f>
        <v>131.93411587149453</v>
      </c>
      <c r="O272" s="65">
        <f>'Liquids Type Curve'!E249</f>
        <v>119924.90938054676</v>
      </c>
      <c r="S272" s="112">
        <f>'Gas Type Curve'!A256</f>
        <v>18.916666666666668</v>
      </c>
      <c r="T272" s="128">
        <f>'Gas Type Curve'!B256</f>
        <v>227</v>
      </c>
      <c r="U272" s="94">
        <f>'Gas Type Curve'!C256</f>
        <v>120.47059965268248</v>
      </c>
      <c r="V272" s="94">
        <f>'Gas Type Curve'!D256</f>
        <v>3664.314072769092</v>
      </c>
      <c r="W272" s="94">
        <f>'Gas Type Curve'!E256</f>
        <v>2283418.7357082553</v>
      </c>
      <c r="AK272" s="146">
        <f t="shared" si="72"/>
        <v>227</v>
      </c>
      <c r="AL272" s="145"/>
      <c r="AM272" s="146">
        <f t="shared" si="73"/>
        <v>1517.6747811274731</v>
      </c>
      <c r="AN272" s="133">
        <f>'Price Deck'!E231*F272+N272*'Price Deck'!T231+(V272*'Price Deck'!K231/$AB$3)</f>
        <v>61703.255322545832</v>
      </c>
      <c r="AO272" s="133">
        <f t="shared" si="74"/>
        <v>40.656441083317461</v>
      </c>
      <c r="AP272" s="133">
        <f>'Production Costs '!$N$22*(1+'Production Costs '!$P$2)^(AL272)</f>
        <v>-6.5424999999999995</v>
      </c>
      <c r="AQ272" s="133">
        <f>'Production Costs '!$N$23*(1+'Production Costs '!$P$2)^AL272</f>
        <v>-1.1487500000000002</v>
      </c>
      <c r="AR272" s="162">
        <f>-'Oil Royalties'!W237</f>
        <v>-12.8256582122122</v>
      </c>
      <c r="AS272" s="162">
        <f>-'Butane Royalties'!AD237</f>
        <v>-7.6244124332504626</v>
      </c>
      <c r="AT272" s="162">
        <f>-'Propane Royalties'!AD237</f>
        <v>-6.4583264945588805</v>
      </c>
      <c r="AU272" s="162">
        <f>-'Ethane Royalties'!AH237</f>
        <v>-0.59422343455581206</v>
      </c>
      <c r="AV272" s="162">
        <f>-'Natural Gas Royalties'!AB237</f>
        <v>-0.195678601629142</v>
      </c>
      <c r="AW272" s="133">
        <f>AN272+AM272*(AP272+AQ272)+(AR272*F272)+(AV272*(V272/$AB$3))+(AS272*'Butane Royalties'!K242)+(AT272*'Propane Royalties'!K242)+(AU272*'Ethane Royalties'!K242)</f>
        <v>39423.730505921245</v>
      </c>
      <c r="AX272" s="133">
        <f t="shared" si="75"/>
        <v>25.976402188506782</v>
      </c>
      <c r="AY272" s="133">
        <f t="shared" si="65"/>
        <v>303.4070287783282</v>
      </c>
      <c r="AZ272" s="133">
        <f t="shared" si="66"/>
        <v>11803.876928760768</v>
      </c>
      <c r="BA272" s="133">
        <f t="shared" si="67"/>
        <v>39120.32347714292</v>
      </c>
      <c r="BB272" s="133">
        <f t="shared" si="68"/>
        <v>39423.730505921245</v>
      </c>
      <c r="BC272" s="133">
        <f t="shared" si="69"/>
        <v>11764.205236457896</v>
      </c>
      <c r="BD272" s="133">
        <f t="shared" si="70"/>
        <v>27659.525269463349</v>
      </c>
      <c r="BE272" s="133">
        <f t="shared" si="71"/>
        <v>27659.525269463349</v>
      </c>
    </row>
    <row r="273" spans="2:57">
      <c r="B273" s="111" t="e">
        <f>'[1]Oil Production'!#REF!</f>
        <v>#REF!</v>
      </c>
      <c r="C273" s="66"/>
      <c r="D273" s="127">
        <f>'[1]Oil Production'!A234</f>
        <v>228</v>
      </c>
      <c r="E273" s="66">
        <f>'[1]Oil Production'!B234</f>
        <v>25.433581130564338</v>
      </c>
      <c r="F273" s="66">
        <f>'[1]Oil Production'!C234</f>
        <v>773.60475938799868</v>
      </c>
      <c r="G273" s="66">
        <f>'[1]Oil Production'!D234</f>
        <v>293813.02633210446</v>
      </c>
      <c r="H273" s="95"/>
      <c r="K273" s="109">
        <f>'Liquids Type Curve'!A250</f>
        <v>19.005224132119988</v>
      </c>
      <c r="L273" s="116">
        <f>'Liquids Type Curve'!B250</f>
        <v>228.06268958543984</v>
      </c>
      <c r="M273" s="65">
        <f>'Liquids Type Curve'!C250</f>
        <v>4.3198299399863549</v>
      </c>
      <c r="N273" s="65">
        <f>'Liquids Type Curve'!D250</f>
        <v>131.39482734125164</v>
      </c>
      <c r="O273" s="65">
        <f>'Liquids Type Curve'!E250</f>
        <v>120056.30420788801</v>
      </c>
      <c r="S273" s="112">
        <f>'Gas Type Curve'!A257</f>
        <v>19</v>
      </c>
      <c r="T273" s="128">
        <f>'Gas Type Curve'!B257</f>
        <v>228</v>
      </c>
      <c r="U273" s="94">
        <f>'Gas Type Curve'!C257</f>
        <v>120.09719227926477</v>
      </c>
      <c r="V273" s="94">
        <f>'Gas Type Curve'!D257</f>
        <v>3652.9562651609704</v>
      </c>
      <c r="W273" s="94">
        <f>'Gas Type Curve'!E257</f>
        <v>2287071.6919734161</v>
      </c>
      <c r="AK273" s="146">
        <f t="shared" si="72"/>
        <v>228</v>
      </c>
      <c r="AL273" s="145" t="e">
        <f t="shared" si="76"/>
        <v>#REF!</v>
      </c>
      <c r="AM273" s="146">
        <f t="shared" si="73"/>
        <v>1513.8256309227454</v>
      </c>
      <c r="AN273" s="133">
        <f>'Price Deck'!E232*F273+N273*'Price Deck'!T232+(V273*'Price Deck'!K232/$AB$3)</f>
        <v>61575.331112306063</v>
      </c>
      <c r="AO273" s="133">
        <f t="shared" si="74"/>
        <v>40.675312832940413</v>
      </c>
      <c r="AP273" s="133" t="e">
        <f>'Production Costs '!$N$22*(1+'Production Costs '!$P$2)^(AL273)</f>
        <v>#REF!</v>
      </c>
      <c r="AQ273" s="133" t="e">
        <f>'Production Costs '!$N$23*(1+'Production Costs '!$P$2)^AL273</f>
        <v>#REF!</v>
      </c>
      <c r="AR273" s="162">
        <f>-'Oil Royalties'!W238</f>
        <v>-12.80081608632617</v>
      </c>
      <c r="AS273" s="162">
        <f>-'Butane Royalties'!AD238</f>
        <v>-7.6220140871707542</v>
      </c>
      <c r="AT273" s="162">
        <f>-'Propane Royalties'!AD238</f>
        <v>-6.4562560480418423</v>
      </c>
      <c r="AU273" s="162">
        <f>-'Ethane Royalties'!AH238</f>
        <v>-0.59418159744090104</v>
      </c>
      <c r="AV273" s="162">
        <f>-'Natural Gas Royalties'!AB238</f>
        <v>-0.195678601629142</v>
      </c>
      <c r="AW273" s="133" t="e">
        <f>AN273+AM273*(AP273+AQ273)+(AR273*F273)+(AV273*(V273/$AB$3))+(AS273*'Butane Royalties'!K243)+(AT273*'Propane Royalties'!K243)+(AU273*'Ethane Royalties'!K243)</f>
        <v>#REF!</v>
      </c>
      <c r="AX273" s="133" t="e">
        <f t="shared" si="75"/>
        <v>#REF!</v>
      </c>
      <c r="AY273" s="133">
        <f t="shared" si="65"/>
        <v>295.80368640732758</v>
      </c>
      <c r="AZ273" s="133">
        <f t="shared" si="66"/>
        <v>11508.073242353441</v>
      </c>
      <c r="BA273" s="133" t="e">
        <f t="shared" si="67"/>
        <v>#REF!</v>
      </c>
      <c r="BB273" s="133" t="e">
        <f t="shared" si="68"/>
        <v>#REF!</v>
      </c>
      <c r="BC273" s="133" t="e">
        <f t="shared" si="69"/>
        <v>#REF!</v>
      </c>
      <c r="BD273" s="133" t="e">
        <f t="shared" si="70"/>
        <v>#REF!</v>
      </c>
      <c r="BE273" s="133" t="e">
        <f t="shared" si="71"/>
        <v>#REF!</v>
      </c>
    </row>
    <row r="274" spans="2:57">
      <c r="B274" s="111" t="e">
        <f>'[1]Oil Production'!#REF!</f>
        <v>#REF!</v>
      </c>
      <c r="C274" s="66" t="e">
        <f>B273</f>
        <v>#REF!</v>
      </c>
      <c r="D274" s="127">
        <f>'[1]Oil Production'!A235</f>
        <v>229</v>
      </c>
      <c r="E274" s="66">
        <f>'[1]Oil Production'!B235</f>
        <v>25.387286791448069</v>
      </c>
      <c r="F274" s="66">
        <f>'[1]Oil Production'!C235</f>
        <v>772.19663990654544</v>
      </c>
      <c r="G274" s="66">
        <f>'[1]Oil Production'!D235</f>
        <v>294585.22297201102</v>
      </c>
      <c r="H274" s="95" t="e">
        <f>IF(C274&gt;0,((E274-E262)/(E262)),0)</f>
        <v>#REF!</v>
      </c>
      <c r="K274" s="109">
        <f>'Liquids Type Curve'!A251</f>
        <v>19.08855746545332</v>
      </c>
      <c r="L274" s="116">
        <f>'Liquids Type Curve'!B251</f>
        <v>229.06268958543984</v>
      </c>
      <c r="M274" s="65">
        <f>'Liquids Type Curve'!C251</f>
        <v>4.3022494762956418</v>
      </c>
      <c r="N274" s="65">
        <f>'Liquids Type Curve'!D251</f>
        <v>130.86008823732578</v>
      </c>
      <c r="O274" s="65">
        <f>'Liquids Type Curve'!E251</f>
        <v>120187.16429612534</v>
      </c>
      <c r="S274" s="112">
        <f>'Gas Type Curve'!A258</f>
        <v>19.083333333333332</v>
      </c>
      <c r="T274" s="128">
        <f>'Gas Type Curve'!B258</f>
        <v>229</v>
      </c>
      <c r="U274" s="94">
        <f>'Gas Type Curve'!C258</f>
        <v>119.72656890071485</v>
      </c>
      <c r="V274" s="94">
        <f>'Gas Type Curve'!D258</f>
        <v>3641.6831373967434</v>
      </c>
      <c r="W274" s="94">
        <f>'Gas Type Curve'!E258</f>
        <v>2290713.375110813</v>
      </c>
      <c r="AK274" s="146">
        <f t="shared" si="72"/>
        <v>229</v>
      </c>
      <c r="AL274" s="145"/>
      <c r="AM274" s="146">
        <f t="shared" si="73"/>
        <v>1510.0039177099952</v>
      </c>
      <c r="AN274" s="133">
        <f>'Price Deck'!E233*F274+N274*'Price Deck'!T233+(V274*'Price Deck'!K233/$AB$3)</f>
        <v>61448.257469848431</v>
      </c>
      <c r="AO274" s="133">
        <f t="shared" si="74"/>
        <v>40.694104663674068</v>
      </c>
      <c r="AP274" s="133">
        <f>'Production Costs '!$N$22*(1+'Production Costs '!$P$2)^(AL274)</f>
        <v>-6.5424999999999995</v>
      </c>
      <c r="AQ274" s="133">
        <f>'Production Costs '!$N$23*(1+'Production Costs '!$P$2)^AL274</f>
        <v>-1.1487500000000002</v>
      </c>
      <c r="AR274" s="162">
        <f>-'Oil Royalties'!W239</f>
        <v>-12.776127797826975</v>
      </c>
      <c r="AS274" s="162">
        <f>-'Butane Royalties'!AD239</f>
        <v>-7.6196364250447886</v>
      </c>
      <c r="AT274" s="162">
        <f>-'Propane Royalties'!AD239</f>
        <v>-6.4542034575883402</v>
      </c>
      <c r="AU274" s="162">
        <f>-'Ethane Royalties'!AH239</f>
        <v>-0.59414012114003523</v>
      </c>
      <c r="AV274" s="162">
        <f>-'Natural Gas Royalties'!AB239</f>
        <v>-0.195678601629142</v>
      </c>
      <c r="AW274" s="133">
        <f>AN274+AM274*(AP274+AQ274)+(AR274*F274)+(AV274*(V274/$AB$3))+(AS274*'Butane Royalties'!K244)+(AT274*'Propane Royalties'!K244)+(AU274*'Ethane Royalties'!K244)</f>
        <v>39307.728976289174</v>
      </c>
      <c r="AX274" s="133">
        <f t="shared" si="75"/>
        <v>26.031541054477216</v>
      </c>
      <c r="AY274" s="133">
        <f t="shared" si="65"/>
        <v>288.3908828496281</v>
      </c>
      <c r="AZ274" s="133">
        <f t="shared" si="66"/>
        <v>11219.682359503813</v>
      </c>
      <c r="BA274" s="133">
        <f t="shared" si="67"/>
        <v>39019.338093439546</v>
      </c>
      <c r="BB274" s="133">
        <f t="shared" si="68"/>
        <v>39307.728976289174</v>
      </c>
      <c r="BC274" s="133">
        <f t="shared" si="69"/>
        <v>11733.837062726841</v>
      </c>
      <c r="BD274" s="133">
        <f t="shared" si="70"/>
        <v>27573.891913562333</v>
      </c>
      <c r="BE274" s="133">
        <f t="shared" si="71"/>
        <v>27573.891913562333</v>
      </c>
    </row>
    <row r="275" spans="2:57">
      <c r="B275" s="111" t="e">
        <f>'[1]Oil Production'!#REF!</f>
        <v>#REF!</v>
      </c>
      <c r="C275" s="66"/>
      <c r="D275" s="127">
        <f>'[1]Oil Production'!A236</f>
        <v>230</v>
      </c>
      <c r="E275" s="66">
        <f>'[1]Oil Production'!B236</f>
        <v>25.341277886692719</v>
      </c>
      <c r="F275" s="66">
        <f>'[1]Oil Production'!C236</f>
        <v>770.79720238690356</v>
      </c>
      <c r="G275" s="66">
        <f>'[1]Oil Production'!D236</f>
        <v>295356.02017439791</v>
      </c>
      <c r="H275" s="95"/>
      <c r="K275" s="109">
        <f>'Liquids Type Curve'!A252</f>
        <v>19.171890798786652</v>
      </c>
      <c r="L275" s="116">
        <f>'Liquids Type Curve'!B252</f>
        <v>230.06268958543984</v>
      </c>
      <c r="M275" s="65">
        <f>'Liquids Type Curve'!C252</f>
        <v>4.2848166762753888</v>
      </c>
      <c r="N275" s="65">
        <f>'Liquids Type Curve'!D252</f>
        <v>130.32984057004307</v>
      </c>
      <c r="O275" s="65">
        <f>'Liquids Type Curve'!E252</f>
        <v>120317.49413669539</v>
      </c>
      <c r="S275" s="112">
        <f>'Gas Type Curve'!A259</f>
        <v>19.166666666666664</v>
      </c>
      <c r="T275" s="128">
        <f>'Gas Type Curve'!B259</f>
        <v>229.99999999999997</v>
      </c>
      <c r="U275" s="94">
        <f>'Gas Type Curve'!C259</f>
        <v>119.35869673875278</v>
      </c>
      <c r="V275" s="94">
        <f>'Gas Type Curve'!D259</f>
        <v>3630.4936924703975</v>
      </c>
      <c r="W275" s="94">
        <f>'Gas Type Curve'!E259</f>
        <v>2294343.8688032832</v>
      </c>
      <c r="AK275" s="146">
        <f t="shared" si="72"/>
        <v>230</v>
      </c>
      <c r="AL275" s="145"/>
      <c r="AM275" s="146">
        <f t="shared" si="73"/>
        <v>1506.2093250353462</v>
      </c>
      <c r="AN275" s="133">
        <f>'Price Deck'!E234*F275+N275*'Price Deck'!T234+(V275*'Price Deck'!K234/$AB$3)</f>
        <v>61322.024968052952</v>
      </c>
      <c r="AO275" s="133">
        <f t="shared" si="74"/>
        <v>40.712817235156813</v>
      </c>
      <c r="AP275" s="133">
        <f>'Production Costs '!$N$22*(1+'Production Costs '!$P$2)^(AL275)</f>
        <v>-6.5424999999999995</v>
      </c>
      <c r="AQ275" s="133">
        <f>'Production Costs '!$N$23*(1+'Production Costs '!$P$2)^AL275</f>
        <v>-1.1487500000000002</v>
      </c>
      <c r="AR275" s="162">
        <f>-'Oil Royalties'!W240</f>
        <v>-12.751591728497219</v>
      </c>
      <c r="AS275" s="162">
        <f>-'Butane Royalties'!AD240</f>
        <v>-7.6172791773645203</v>
      </c>
      <c r="AT275" s="162">
        <f>-'Propane Royalties'!AD240</f>
        <v>-6.4521684905372174</v>
      </c>
      <c r="AU275" s="162">
        <f>-'Ethane Royalties'!AH240</f>
        <v>-0.59409900095187473</v>
      </c>
      <c r="AV275" s="162">
        <f>-'Natural Gas Royalties'!AB240</f>
        <v>-0.19567860162914202</v>
      </c>
      <c r="AW275" s="133">
        <f>AN275+AM275*(AP275+AQ275)+(AR275*F275)+(AV275*(V275/$AB$3))+(AS275*'Butane Royalties'!K245)+(AT275*'Propane Royalties'!K245)+(AU275*'Ethane Royalties'!K245)</f>
        <v>39250.196077880209</v>
      </c>
      <c r="AX275" s="133">
        <f t="shared" si="75"/>
        <v>26.058925160989244</v>
      </c>
      <c r="AY275" s="133">
        <f t="shared" si="65"/>
        <v>281.16384322628807</v>
      </c>
      <c r="AZ275" s="133">
        <f t="shared" si="66"/>
        <v>10938.518516277525</v>
      </c>
      <c r="BA275" s="133">
        <f t="shared" si="67"/>
        <v>38969.032234653918</v>
      </c>
      <c r="BB275" s="133">
        <f t="shared" si="68"/>
        <v>39250.196077880209</v>
      </c>
      <c r="BC275" s="133">
        <f t="shared" si="69"/>
        <v>11718.709160021841</v>
      </c>
      <c r="BD275" s="133">
        <f t="shared" si="70"/>
        <v>27531.486917858369</v>
      </c>
      <c r="BE275" s="133">
        <f t="shared" si="71"/>
        <v>27531.486917858369</v>
      </c>
    </row>
    <row r="276" spans="2:57">
      <c r="B276" s="111" t="e">
        <f>'[1]Oil Production'!#REF!</f>
        <v>#REF!</v>
      </c>
      <c r="C276" s="66"/>
      <c r="D276" s="127">
        <f>'[1]Oil Production'!A237</f>
        <v>231</v>
      </c>
      <c r="E276" s="66">
        <f>'[1]Oil Production'!B237</f>
        <v>25.295551426824961</v>
      </c>
      <c r="F276" s="66">
        <f>'[1]Oil Production'!C237</f>
        <v>769.40635589925921</v>
      </c>
      <c r="G276" s="66">
        <f>'[1]Oil Production'!D237</f>
        <v>296125.42653029715</v>
      </c>
      <c r="H276" s="95"/>
      <c r="K276" s="109">
        <f>'Liquids Type Curve'!A253</f>
        <v>19.255224132119984</v>
      </c>
      <c r="L276" s="116">
        <f>'Liquids Type Curve'!B253</f>
        <v>231.06268958543981</v>
      </c>
      <c r="M276" s="65">
        <f>'Liquids Type Curve'!C253</f>
        <v>4.2675296658643314</v>
      </c>
      <c r="N276" s="65">
        <f>'Liquids Type Curve'!D253</f>
        <v>129.80402733670675</v>
      </c>
      <c r="O276" s="65">
        <f>'Liquids Type Curve'!E253</f>
        <v>120447.29816403209</v>
      </c>
      <c r="S276" s="112">
        <f>'Gas Type Curve'!A260</f>
        <v>19.249999999999996</v>
      </c>
      <c r="T276" s="128">
        <f>'Gas Type Curve'!B260</f>
        <v>230.99999999999994</v>
      </c>
      <c r="U276" s="94">
        <f>'Gas Type Curve'!C260</f>
        <v>118.99354354134076</v>
      </c>
      <c r="V276" s="94">
        <f>'Gas Type Curve'!D260</f>
        <v>3619.3869493824482</v>
      </c>
      <c r="W276" s="94">
        <f>'Gas Type Curve'!E260</f>
        <v>2297963.2557526655</v>
      </c>
      <c r="AK276" s="146">
        <f t="shared" si="72"/>
        <v>231</v>
      </c>
      <c r="AL276" s="145"/>
      <c r="AM276" s="146">
        <f t="shared" si="73"/>
        <v>1502.441541466374</v>
      </c>
      <c r="AN276" s="133">
        <f>'Price Deck'!E235*F276+N276*'Price Deck'!T235+(V276*'Price Deck'!K235/$AB$3)</f>
        <v>61196.624325404417</v>
      </c>
      <c r="AO276" s="133">
        <f t="shared" si="74"/>
        <v>40.731451198877842</v>
      </c>
      <c r="AP276" s="133">
        <f>'Production Costs '!$N$22*(1+'Production Costs '!$P$2)^(AL276)</f>
        <v>-6.5424999999999995</v>
      </c>
      <c r="AQ276" s="133">
        <f>'Production Costs '!$N$23*(1+'Production Costs '!$P$2)^AL276</f>
        <v>-1.1487500000000002</v>
      </c>
      <c r="AR276" s="162">
        <f>-'Oil Royalties'!W241</f>
        <v>-12.727206284081936</v>
      </c>
      <c r="AS276" s="162">
        <f>-'Butane Royalties'!AD241</f>
        <v>-7.6149420793104019</v>
      </c>
      <c r="AT276" s="162">
        <f>-'Propane Royalties'!AD241</f>
        <v>-6.4501509182747858</v>
      </c>
      <c r="AU276" s="162">
        <f>-'Ethane Royalties'!AH241</f>
        <v>-0.59405823225686638</v>
      </c>
      <c r="AV276" s="162">
        <f>-'Natural Gas Royalties'!AB241</f>
        <v>-0.195678601629142</v>
      </c>
      <c r="AW276" s="133">
        <f>AN276+AM276*(AP276+AQ276)+(AR276*F276)+(AV276*(V276/$AB$3))+(AS276*'Butane Royalties'!K246)+(AT276*'Propane Royalties'!K246)+(AU276*'Ethane Royalties'!K246)</f>
        <v>39192.971204556219</v>
      </c>
      <c r="AX276" s="133">
        <f t="shared" si="75"/>
        <v>26.086187131317011</v>
      </c>
      <c r="AY276" s="133">
        <f t="shared" si="65"/>
        <v>274.11791231623749</v>
      </c>
      <c r="AZ276" s="133">
        <f t="shared" si="66"/>
        <v>10664.400603961287</v>
      </c>
      <c r="BA276" s="133">
        <f t="shared" si="67"/>
        <v>38918.853292239983</v>
      </c>
      <c r="BB276" s="133">
        <f t="shared" si="68"/>
        <v>39192.971204556219</v>
      </c>
      <c r="BC276" s="133">
        <f t="shared" si="69"/>
        <v>11703.619423418542</v>
      </c>
      <c r="BD276" s="133">
        <f t="shared" si="70"/>
        <v>27489.351781137677</v>
      </c>
      <c r="BE276" s="133">
        <f t="shared" si="71"/>
        <v>27489.351781137677</v>
      </c>
    </row>
    <row r="277" spans="2:57">
      <c r="B277" s="111" t="e">
        <f>'[1]Oil Production'!#REF!</f>
        <v>#REF!</v>
      </c>
      <c r="C277" s="66"/>
      <c r="D277" s="127">
        <f>'[1]Oil Production'!A238</f>
        <v>232</v>
      </c>
      <c r="E277" s="66">
        <f>'[1]Oil Production'!B238</f>
        <v>25.250104466448349</v>
      </c>
      <c r="F277" s="66">
        <f>'[1]Oil Production'!C238</f>
        <v>768.02401085447059</v>
      </c>
      <c r="G277" s="66">
        <f>'[1]Oil Production'!D238</f>
        <v>296893.45054115163</v>
      </c>
      <c r="H277" s="95"/>
      <c r="K277" s="109">
        <f>'Liquids Type Curve'!A254</f>
        <v>19.338557465453317</v>
      </c>
      <c r="L277" s="116">
        <f>'Liquids Type Curve'!B254</f>
        <v>232.06268958543978</v>
      </c>
      <c r="M277" s="65">
        <f>'Liquids Type Curve'!C254</f>
        <v>4.250386602760079</v>
      </c>
      <c r="N277" s="65">
        <f>'Liquids Type Curve'!D254</f>
        <v>129.28259250061907</v>
      </c>
      <c r="O277" s="65">
        <f>'Liquids Type Curve'!E254</f>
        <v>120576.58075653271</v>
      </c>
      <c r="S277" s="112">
        <f>'Gas Type Curve'!A261</f>
        <v>19.333333333333329</v>
      </c>
      <c r="T277" s="128">
        <f>'Gas Type Curve'!B261</f>
        <v>231.99999999999994</v>
      </c>
      <c r="U277" s="94">
        <f>'Gas Type Curve'!C261</f>
        <v>118.63107757200123</v>
      </c>
      <c r="V277" s="94">
        <f>'Gas Type Curve'!D261</f>
        <v>3608.3619428150378</v>
      </c>
      <c r="W277" s="94">
        <f>'Gas Type Curve'!E261</f>
        <v>2301571.6176954806</v>
      </c>
      <c r="AK277" s="146">
        <f t="shared" si="72"/>
        <v>232</v>
      </c>
      <c r="AL277" s="145"/>
      <c r="AM277" s="146">
        <f t="shared" si="73"/>
        <v>1498.7002604909294</v>
      </c>
      <c r="AN277" s="133">
        <f>'Price Deck'!E236*F277+N277*'Price Deck'!T236+(V277*'Price Deck'!K236/$AB$3)</f>
        <v>61072.046403116619</v>
      </c>
      <c r="AO277" s="133">
        <f t="shared" si="74"/>
        <v>40.750007198311451</v>
      </c>
      <c r="AP277" s="133">
        <f>'Production Costs '!$N$22*(1+'Production Costs '!$P$2)^(AL277)</f>
        <v>-6.5424999999999995</v>
      </c>
      <c r="AQ277" s="133">
        <f>'Production Costs '!$N$23*(1+'Production Costs '!$P$2)^AL277</f>
        <v>-1.1487500000000002</v>
      </c>
      <c r="AR277" s="162">
        <f>-'Oil Royalties'!W242</f>
        <v>-12.702969893831904</v>
      </c>
      <c r="AS277" s="162">
        <f>-'Butane Royalties'!AD242</f>
        <v>-7.6126248706494701</v>
      </c>
      <c r="AT277" s="162">
        <f>-'Propane Royalties'!AD242</f>
        <v>-6.4481505161468888</v>
      </c>
      <c r="AU277" s="162">
        <f>-'Ethane Royalties'!AH242</f>
        <v>-0.59401781051546754</v>
      </c>
      <c r="AV277" s="162">
        <f>-'Natural Gas Royalties'!AB242</f>
        <v>-0.195678601629142</v>
      </c>
      <c r="AW277" s="133">
        <f>AN277+AM277*(AP277+AQ277)+(AR277*F277)+(AV277*(V277/$AB$3))+(AS277*'Butane Royalties'!K247)+(AT277*'Propane Royalties'!K247)+(AU277*'Ethane Royalties'!K247)</f>
        <v>39136.051490310849</v>
      </c>
      <c r="AX277" s="133">
        <f t="shared" si="75"/>
        <v>26.113328009625519</v>
      </c>
      <c r="AY277" s="133">
        <f t="shared" si="65"/>
        <v>267.2485515576671</v>
      </c>
      <c r="AZ277" s="133">
        <f t="shared" si="66"/>
        <v>10397.15205240362</v>
      </c>
      <c r="BA277" s="133">
        <f t="shared" si="67"/>
        <v>38868.802938753179</v>
      </c>
      <c r="BB277" s="133">
        <f t="shared" si="68"/>
        <v>39136.051490310849</v>
      </c>
      <c r="BC277" s="133">
        <f t="shared" si="69"/>
        <v>11688.568355885318</v>
      </c>
      <c r="BD277" s="133">
        <f t="shared" si="70"/>
        <v>27447.483134425529</v>
      </c>
      <c r="BE277" s="133">
        <f t="shared" si="71"/>
        <v>27447.483134425529</v>
      </c>
    </row>
    <row r="278" spans="2:57">
      <c r="B278" s="111" t="e">
        <f>'[1]Oil Production'!#REF!</f>
        <v>#REF!</v>
      </c>
      <c r="C278" s="66"/>
      <c r="D278" s="127">
        <f>'[1]Oil Production'!A239</f>
        <v>233</v>
      </c>
      <c r="E278" s="66">
        <f>'[1]Oil Production'!B239</f>
        <v>25.204934103406767</v>
      </c>
      <c r="F278" s="66">
        <f>'[1]Oil Production'!C239</f>
        <v>766.65007897862256</v>
      </c>
      <c r="G278" s="66">
        <f>'[1]Oil Production'!D239</f>
        <v>297660.10062013025</v>
      </c>
      <c r="H278" s="95"/>
      <c r="K278" s="109">
        <f>'Liquids Type Curve'!A255</f>
        <v>19.421890798786649</v>
      </c>
      <c r="L278" s="116">
        <f>'Liquids Type Curve'!B255</f>
        <v>233.06268958543978</v>
      </c>
      <c r="M278" s="65">
        <f>'Liquids Type Curve'!C255</f>
        <v>4.2333856757468737</v>
      </c>
      <c r="N278" s="65">
        <f>'Liquids Type Curve'!D255</f>
        <v>128.76548097063409</v>
      </c>
      <c r="O278" s="65">
        <f>'Liquids Type Curve'!E255</f>
        <v>120705.34623750334</v>
      </c>
      <c r="S278" s="112">
        <f>'Gas Type Curve'!A262</f>
        <v>19.416666666666661</v>
      </c>
      <c r="T278" s="128">
        <f>'Gas Type Curve'!B262</f>
        <v>232.99999999999994</v>
      </c>
      <c r="U278" s="94">
        <f>'Gas Type Curve'!C262</f>
        <v>118.27126759939691</v>
      </c>
      <c r="V278" s="94">
        <f>'Gas Type Curve'!D262</f>
        <v>3597.4177228149892</v>
      </c>
      <c r="W278" s="94">
        <f>'Gas Type Curve'!E262</f>
        <v>2305169.0354182958</v>
      </c>
      <c r="AK278" s="146">
        <f t="shared" si="72"/>
        <v>233</v>
      </c>
      <c r="AL278" s="145"/>
      <c r="AM278" s="146">
        <f t="shared" si="73"/>
        <v>1494.9851804184216</v>
      </c>
      <c r="AN278" s="133">
        <f>'Price Deck'!E237*F278+N278*'Price Deck'!T237+(V278*'Price Deck'!K237/$AB$3)</f>
        <v>60948.28220232523</v>
      </c>
      <c r="AO278" s="133">
        <f t="shared" si="74"/>
        <v>40.768485869048426</v>
      </c>
      <c r="AP278" s="133">
        <f>'Production Costs '!$N$22*(1+'Production Costs '!$P$2)^(AL278)</f>
        <v>-6.5424999999999995</v>
      </c>
      <c r="AQ278" s="133">
        <f>'Production Costs '!$N$23*(1+'Production Costs '!$P$2)^AL278</f>
        <v>-1.1487500000000002</v>
      </c>
      <c r="AR278" s="162">
        <f>-'Oil Royalties'!W243</f>
        <v>-12.678881010057518</v>
      </c>
      <c r="AS278" s="162">
        <f>-'Butane Royalties'!AD243</f>
        <v>-7.6103272956361794</v>
      </c>
      <c r="AT278" s="162">
        <f>-'Propane Royalties'!AD243</f>
        <v>-6.4461670633732693</v>
      </c>
      <c r="AU278" s="162">
        <f>-'Ethane Royalties'!AH243</f>
        <v>-0.59397773126641318</v>
      </c>
      <c r="AV278" s="162">
        <f>-'Natural Gas Royalties'!AB243</f>
        <v>-0.195678601629142</v>
      </c>
      <c r="AW278" s="133">
        <f>AN278+AM278*(AP278+AQ278)+(AR278*F278)+(AV278*(V278/$AB$3))+(AS278*'Butane Royalties'!K248)+(AT278*'Propane Royalties'!K248)+(AU278*'Ethane Royalties'!K248)</f>
        <v>39079.434107047164</v>
      </c>
      <c r="AX278" s="133">
        <f t="shared" si="75"/>
        <v>26.140348826808758</v>
      </c>
      <c r="AY278" s="133">
        <f t="shared" si="65"/>
        <v>260.55133612456143</v>
      </c>
      <c r="AZ278" s="133">
        <f t="shared" si="66"/>
        <v>10136.600716279059</v>
      </c>
      <c r="BA278" s="133">
        <f t="shared" si="67"/>
        <v>38818.882770922603</v>
      </c>
      <c r="BB278" s="133">
        <f t="shared" si="68"/>
        <v>39079.434107047164</v>
      </c>
      <c r="BC278" s="133">
        <f t="shared" si="69"/>
        <v>11673.556437588159</v>
      </c>
      <c r="BD278" s="133">
        <f t="shared" si="70"/>
        <v>27405.877669459005</v>
      </c>
      <c r="BE278" s="133">
        <f t="shared" si="71"/>
        <v>27405.877669459005</v>
      </c>
    </row>
    <row r="279" spans="2:57">
      <c r="B279" s="111" t="e">
        <f>'[1]Oil Production'!#REF!</f>
        <v>#REF!</v>
      </c>
      <c r="C279" s="66"/>
      <c r="D279" s="127">
        <f>'[1]Oil Production'!A240</f>
        <v>234</v>
      </c>
      <c r="E279" s="66">
        <f>'[1]Oil Production'!B240</f>
        <v>25.160037477967364</v>
      </c>
      <c r="F279" s="66">
        <f>'[1]Oil Production'!C240</f>
        <v>765.28447328817401</v>
      </c>
      <c r="G279" s="66">
        <f>'[1]Oil Production'!D240</f>
        <v>298425.38509341842</v>
      </c>
      <c r="H279" s="95"/>
      <c r="K279" s="109">
        <f>'Liquids Type Curve'!A256</f>
        <v>19.505224132119981</v>
      </c>
      <c r="L279" s="116">
        <f>'Liquids Type Curve'!B256</f>
        <v>234.06268958543978</v>
      </c>
      <c r="M279" s="65">
        <f>'Liquids Type Curve'!C256</f>
        <v>4.2165251040404943</v>
      </c>
      <c r="N279" s="65">
        <f>'Liquids Type Curve'!D256</f>
        <v>128.25263858123171</v>
      </c>
      <c r="O279" s="65">
        <f>'Liquids Type Curve'!E256</f>
        <v>120833.59887608458</v>
      </c>
      <c r="S279" s="112">
        <f>'Gas Type Curve'!A263</f>
        <v>19.499999999999993</v>
      </c>
      <c r="T279" s="128">
        <f>'Gas Type Curve'!B263</f>
        <v>233.99999999999991</v>
      </c>
      <c r="U279" s="94">
        <f>'Gas Type Curve'!C263</f>
        <v>117.91408288716482</v>
      </c>
      <c r="V279" s="94">
        <f>'Gas Type Curve'!D263</f>
        <v>3586.5533544845966</v>
      </c>
      <c r="W279" s="94">
        <f>'Gas Type Curve'!E263</f>
        <v>2308755.5887727803</v>
      </c>
      <c r="AK279" s="146">
        <f t="shared" si="72"/>
        <v>234</v>
      </c>
      <c r="AL279" s="145"/>
      <c r="AM279" s="146">
        <f t="shared" si="73"/>
        <v>1491.2960042835052</v>
      </c>
      <c r="AN279" s="133">
        <f>'Price Deck'!E238*F279+N279*'Price Deck'!T238+(V279*'Price Deck'!K238/$AB$3)</f>
        <v>60825.322861348046</v>
      </c>
      <c r="AO279" s="133">
        <f t="shared" si="74"/>
        <v>40.786887838924798</v>
      </c>
      <c r="AP279" s="133">
        <f>'Production Costs '!$N$22*(1+'Production Costs '!$P$2)^(AL279)</f>
        <v>-6.5424999999999995</v>
      </c>
      <c r="AQ279" s="133">
        <f>'Production Costs '!$N$23*(1+'Production Costs '!$P$2)^AL279</f>
        <v>-1.1487500000000002</v>
      </c>
      <c r="AR279" s="162">
        <f>-'Oil Royalties'!W244</f>
        <v>-12.65493810769305</v>
      </c>
      <c r="AS279" s="162">
        <f>-'Butane Royalties'!AD244</f>
        <v>-7.6080491029157535</v>
      </c>
      <c r="AT279" s="162">
        <f>-'Propane Royalties'!AD244</f>
        <v>-6.4442003429641259</v>
      </c>
      <c r="AU279" s="162">
        <f>-'Ethane Royalties'!AH244</f>
        <v>-0.59393799012503257</v>
      </c>
      <c r="AV279" s="162">
        <f>-'Natural Gas Royalties'!AB244</f>
        <v>-0.195678601629142</v>
      </c>
      <c r="AW279" s="133">
        <f>AN279+AM279*(AP279+AQ279)+(AR279*F279)+(AV279*(V279/$AB$3))+(AS279*'Butane Royalties'!K249)+(AT279*'Propane Royalties'!K249)+(AU279*'Ethane Royalties'!K249)</f>
        <v>39023.116263929551</v>
      </c>
      <c r="AX279" s="133">
        <f t="shared" si="75"/>
        <v>26.167250600713739</v>
      </c>
      <c r="AY279" s="133">
        <f t="shared" si="65"/>
        <v>254.02195207649413</v>
      </c>
      <c r="AZ279" s="133">
        <f t="shared" si="66"/>
        <v>9882.5787642025643</v>
      </c>
      <c r="BA279" s="133">
        <f t="shared" si="67"/>
        <v>38769.094311853056</v>
      </c>
      <c r="BB279" s="133">
        <f t="shared" si="68"/>
        <v>39023.116263929551</v>
      </c>
      <c r="BC279" s="133">
        <f t="shared" si="69"/>
        <v>11658.584126552863</v>
      </c>
      <c r="BD279" s="133">
        <f t="shared" si="70"/>
        <v>27364.532137376686</v>
      </c>
      <c r="BE279" s="133">
        <f t="shared" si="71"/>
        <v>27364.532137376686</v>
      </c>
    </row>
    <row r="280" spans="2:57">
      <c r="B280" s="111" t="e">
        <f>'[1]Oil Production'!#REF!</f>
        <v>#REF!</v>
      </c>
      <c r="C280" s="66"/>
      <c r="D280" s="127">
        <f>'[1]Oil Production'!A241</f>
        <v>235</v>
      </c>
      <c r="E280" s="66">
        <f>'[1]Oil Production'!B241</f>
        <v>25.115411772022323</v>
      </c>
      <c r="F280" s="66">
        <f>'[1]Oil Production'!C241</f>
        <v>763.92710806567902</v>
      </c>
      <c r="G280" s="66">
        <f>'[1]Oil Production'!D241</f>
        <v>299189.31220148411</v>
      </c>
      <c r="H280" s="95"/>
      <c r="K280" s="109">
        <f>'Liquids Type Curve'!A257</f>
        <v>19.588557465453313</v>
      </c>
      <c r="L280" s="116">
        <f>'Liquids Type Curve'!B257</f>
        <v>235.06268958543976</v>
      </c>
      <c r="M280" s="65">
        <f>'Liquids Type Curve'!C257</f>
        <v>4.1998031366496411</v>
      </c>
      <c r="N280" s="65">
        <f>'Liquids Type Curve'!D257</f>
        <v>127.74401207309326</v>
      </c>
      <c r="O280" s="65">
        <f>'Liquids Type Curve'!E257</f>
        <v>120961.34288815767</v>
      </c>
      <c r="S280" s="112">
        <f>'Gas Type Curve'!A264</f>
        <v>19.583333333333325</v>
      </c>
      <c r="T280" s="128">
        <f>'Gas Type Curve'!B264</f>
        <v>234.99999999999989</v>
      </c>
      <c r="U280" s="94">
        <f>'Gas Type Curve'!C264</f>
        <v>117.55949318399739</v>
      </c>
      <c r="V280" s="94">
        <f>'Gas Type Curve'!D264</f>
        <v>3575.7679176799206</v>
      </c>
      <c r="W280" s="94">
        <f>'Gas Type Curve'!E264</f>
        <v>2312331.3566904604</v>
      </c>
      <c r="AK280" s="146">
        <f t="shared" si="72"/>
        <v>235</v>
      </c>
      <c r="AL280" s="145"/>
      <c r="AM280" s="146">
        <f t="shared" si="73"/>
        <v>1487.6324397520925</v>
      </c>
      <c r="AN280" s="133">
        <f>'Price Deck'!E239*F280+N280*'Price Deck'!T239+(V280*'Price Deck'!K239/$AB$3)</f>
        <v>60703.159653010451</v>
      </c>
      <c r="AO280" s="133">
        <f t="shared" si="74"/>
        <v>40.80521372814804</v>
      </c>
      <c r="AP280" s="133">
        <f>'Production Costs '!$N$22*(1+'Production Costs '!$P$2)^(AL280)</f>
        <v>-6.5424999999999995</v>
      </c>
      <c r="AQ280" s="133">
        <f>'Production Costs '!$N$23*(1+'Production Costs '!$P$2)^AL280</f>
        <v>-1.1487500000000002</v>
      </c>
      <c r="AR280" s="162">
        <f>-'Oil Royalties'!W245</f>
        <v>-12.631139683870986</v>
      </c>
      <c r="AS280" s="162">
        <f>-'Butane Royalties'!AD245</f>
        <v>-7.60579004543004</v>
      </c>
      <c r="AT280" s="162">
        <f>-'Propane Royalties'!AD245</f>
        <v>-6.4422501416388611</v>
      </c>
      <c r="AU280" s="162">
        <f>-'Ethane Royalties'!AH245</f>
        <v>-0.59389858278160557</v>
      </c>
      <c r="AV280" s="162">
        <f>-'Natural Gas Royalties'!AB245</f>
        <v>-0.195678601629142</v>
      </c>
      <c r="AW280" s="133">
        <f>AN280+AM280*(AP280+AQ280)+(AR280*F280)+(AV280*(V280/$AB$3))+(AS280*'Butane Royalties'!K250)+(AT280*'Propane Royalties'!K250)+(AU280*'Ethane Royalties'!K250)</f>
        <v>38967.095206749203</v>
      </c>
      <c r="AX280" s="133">
        <f t="shared" si="75"/>
        <v>26.194034336359927</v>
      </c>
      <c r="AY280" s="133">
        <f t="shared" si="65"/>
        <v>247.65619357984897</v>
      </c>
      <c r="AZ280" s="133">
        <f t="shared" si="66"/>
        <v>9634.9225706227153</v>
      </c>
      <c r="BA280" s="133">
        <f t="shared" si="67"/>
        <v>38719.439013169358</v>
      </c>
      <c r="BB280" s="133">
        <f t="shared" si="68"/>
        <v>38967.095206749203</v>
      </c>
      <c r="BC280" s="133">
        <f t="shared" si="69"/>
        <v>11643.651859309881</v>
      </c>
      <c r="BD280" s="133">
        <f t="shared" si="70"/>
        <v>27323.443347439323</v>
      </c>
      <c r="BE280" s="133">
        <f t="shared" si="71"/>
        <v>27323.443347439323</v>
      </c>
    </row>
    <row r="281" spans="2:57">
      <c r="B281" s="111" t="e">
        <f>'[1]Oil Production'!#REF!</f>
        <v>#REF!</v>
      </c>
      <c r="C281" s="66"/>
      <c r="D281" s="127">
        <f>'[1]Oil Production'!A242</f>
        <v>236</v>
      </c>
      <c r="E281" s="66">
        <f>'[1]Oil Production'!B242</f>
        <v>25.071054208308915</v>
      </c>
      <c r="F281" s="66">
        <f>'[1]Oil Production'!C242</f>
        <v>762.5778988360629</v>
      </c>
      <c r="G281" s="66">
        <f>'[1]Oil Production'!D242</f>
        <v>299951.89010032016</v>
      </c>
      <c r="H281" s="95"/>
      <c r="K281" s="109">
        <f>'Liquids Type Curve'!A258</f>
        <v>19.671890798786645</v>
      </c>
      <c r="L281" s="116">
        <f>'Liquids Type Curve'!B258</f>
        <v>236.06268958543973</v>
      </c>
      <c r="M281" s="65">
        <f>'Liquids Type Curve'!C258</f>
        <v>4.1832180517533475</v>
      </c>
      <c r="N281" s="65">
        <f>'Liquids Type Curve'!D258</f>
        <v>127.23954907416433</v>
      </c>
      <c r="O281" s="65">
        <f>'Liquids Type Curve'!E258</f>
        <v>121088.58243723183</v>
      </c>
      <c r="S281" s="112">
        <f>'Gas Type Curve'!A265</f>
        <v>19.666666666666657</v>
      </c>
      <c r="T281" s="128">
        <f>'Gas Type Curve'!B265</f>
        <v>235.99999999999989</v>
      </c>
      <c r="U281" s="94">
        <f>'Gas Type Curve'!C265</f>
        <v>117.20746871396356</v>
      </c>
      <c r="V281" s="94">
        <f>'Gas Type Curve'!D265</f>
        <v>3565.060506716392</v>
      </c>
      <c r="W281" s="94">
        <f>'Gas Type Curve'!E265</f>
        <v>2315896.4171971767</v>
      </c>
      <c r="AK281" s="146">
        <f t="shared" si="72"/>
        <v>236</v>
      </c>
      <c r="AL281" s="145"/>
      <c r="AM281" s="146">
        <f t="shared" si="73"/>
        <v>1483.9941990296259</v>
      </c>
      <c r="AN281" s="133">
        <f>'Price Deck'!E240*F281+N281*'Price Deck'!T240+(V281*'Price Deck'!K240/$AB$3)</f>
        <v>60581.783982034023</v>
      </c>
      <c r="AO281" s="133">
        <f t="shared" si="74"/>
        <v>40.823464149420566</v>
      </c>
      <c r="AP281" s="133">
        <f>'Production Costs '!$N$22*(1+'Production Costs '!$P$2)^(AL281)</f>
        <v>-6.5424999999999995</v>
      </c>
      <c r="AQ281" s="133">
        <f>'Production Costs '!$N$23*(1+'Production Costs '!$P$2)^AL281</f>
        <v>-1.1487500000000002</v>
      </c>
      <c r="AR281" s="162">
        <f>-'Oil Royalties'!W246</f>
        <v>-12.607484257506057</v>
      </c>
      <c r="AS281" s="162">
        <f>-'Butane Royalties'!AD246</f>
        <v>-7.6035498803257884</v>
      </c>
      <c r="AT281" s="162">
        <f>-'Propane Royalties'!AD246</f>
        <v>-6.4403162497468935</v>
      </c>
      <c r="AU281" s="162">
        <f>-'Ethane Royalties'!AH246</f>
        <v>-0.59385950499976337</v>
      </c>
      <c r="AV281" s="162">
        <f>-'Natural Gas Royalties'!AB246</f>
        <v>-0.19567860162914202</v>
      </c>
      <c r="AW281" s="133">
        <f>AN281+AM281*(AP281+AQ281)+(AR281*F281)+(AV281*(V281/$AB$3))+(AS281*'Butane Royalties'!K251)+(AT281*'Propane Royalties'!K251)+(AU281*'Ethane Royalties'!K251)</f>
        <v>38911.368217302697</v>
      </c>
      <c r="AX281" s="133">
        <f t="shared" si="75"/>
        <v>26.220701026154003</v>
      </c>
      <c r="AY281" s="133">
        <f t="shared" si="65"/>
        <v>241.44996019867656</v>
      </c>
      <c r="AZ281" s="133">
        <f t="shared" si="66"/>
        <v>9393.4726104240381</v>
      </c>
      <c r="BA281" s="133">
        <f t="shared" si="67"/>
        <v>38669.918257104022</v>
      </c>
      <c r="BB281" s="133">
        <f t="shared" si="68"/>
        <v>38911.368217302697</v>
      </c>
      <c r="BC281" s="133">
        <f t="shared" si="69"/>
        <v>11628.760051522106</v>
      </c>
      <c r="BD281" s="133">
        <f t="shared" si="70"/>
        <v>27282.608165780592</v>
      </c>
      <c r="BE281" s="133">
        <f t="shared" si="71"/>
        <v>27282.608165780592</v>
      </c>
    </row>
    <row r="282" spans="2:57">
      <c r="B282" s="111" t="e">
        <f>'[1]Oil Production'!#REF!</f>
        <v>#REF!</v>
      </c>
      <c r="C282" s="66"/>
      <c r="D282" s="127">
        <f>'[1]Oil Production'!A243</f>
        <v>237</v>
      </c>
      <c r="E282" s="66">
        <f>'[1]Oil Production'!B243</f>
        <v>25.026962049647484</v>
      </c>
      <c r="F282" s="66">
        <f>'[1]Oil Production'!C243</f>
        <v>761.2367623434443</v>
      </c>
      <c r="G282" s="66">
        <f>'[1]Oil Production'!D243</f>
        <v>300713.1268626636</v>
      </c>
      <c r="H282" s="95"/>
      <c r="K282" s="109">
        <f>'Liquids Type Curve'!A259</f>
        <v>19.755224132119977</v>
      </c>
      <c r="L282" s="116">
        <f>'Liquids Type Curve'!B259</f>
        <v>237.06268958543973</v>
      </c>
      <c r="M282" s="65">
        <f>'Liquids Type Curve'!C259</f>
        <v>4.1667681560940659</v>
      </c>
      <c r="N282" s="65">
        <f>'Liquids Type Curve'!D259</f>
        <v>126.73919808119452</v>
      </c>
      <c r="O282" s="65">
        <f>'Liquids Type Curve'!E259</f>
        <v>121215.32163531303</v>
      </c>
      <c r="S282" s="112">
        <f>'Gas Type Curve'!A266</f>
        <v>19.749999999999989</v>
      </c>
      <c r="T282" s="128">
        <f>'Gas Type Curve'!B266</f>
        <v>236.99999999999989</v>
      </c>
      <c r="U282" s="94">
        <f>'Gas Type Curve'!C266</f>
        <v>116.85798016706319</v>
      </c>
      <c r="V282" s="94">
        <f>'Gas Type Curve'!D266</f>
        <v>3554.4302300815057</v>
      </c>
      <c r="W282" s="94">
        <f>'Gas Type Curve'!E266</f>
        <v>2319450.8474272583</v>
      </c>
      <c r="AK282" s="146">
        <f t="shared" si="72"/>
        <v>237</v>
      </c>
      <c r="AL282" s="145"/>
      <c r="AM282" s="146">
        <f t="shared" si="73"/>
        <v>1480.3809987715565</v>
      </c>
      <c r="AN282" s="133">
        <f>'Price Deck'!E241*F282+N282*'Price Deck'!T241+(V282*'Price Deck'!K241/$AB$3)</f>
        <v>61378.875692011148</v>
      </c>
      <c r="AO282" s="133">
        <f t="shared" si="74"/>
        <v>41.461539794785466</v>
      </c>
      <c r="AP282" s="133">
        <f>'Production Costs '!$N$22*(1+'Production Costs '!$P$2)^(AL282)</f>
        <v>-6.5424999999999995</v>
      </c>
      <c r="AQ282" s="133">
        <f>'Production Costs '!$N$23*(1+'Production Costs '!$P$2)^AL282</f>
        <v>-1.1487500000000002</v>
      </c>
      <c r="AR282" s="162">
        <f>-'Oil Royalties'!W247</f>
        <v>-13.021942947455869</v>
      </c>
      <c r="AS282" s="162">
        <f>-'Butane Royalties'!AD247</f>
        <v>-7.9364557191461707</v>
      </c>
      <c r="AT282" s="162">
        <f>-'Propane Royalties'!AD247</f>
        <v>-6.6873185824883512</v>
      </c>
      <c r="AU282" s="162">
        <f>-'Ethane Royalties'!AH247</f>
        <v>-0.64401437583412013</v>
      </c>
      <c r="AV282" s="162">
        <f>-'Natural Gas Royalties'!AB247</f>
        <v>-0.19952282920056283</v>
      </c>
      <c r="AW282" s="133">
        <f>AN282+AM282*(AP282+AQ282)+(AR282*F282)+(AV282*(V282/$AB$3))+(AS282*'Butane Royalties'!K252)+(AT282*'Propane Royalties'!K252)+(AU282*'Ethane Royalties'!K252)</f>
        <v>39414.963908478188</v>
      </c>
      <c r="AX282" s="133">
        <f t="shared" si="75"/>
        <v>26.624878285512544</v>
      </c>
      <c r="AY282" s="133">
        <f t="shared" si="65"/>
        <v>235.39925425344188</v>
      </c>
      <c r="AZ282" s="133">
        <f t="shared" si="66"/>
        <v>9158.0733561705965</v>
      </c>
      <c r="BA282" s="133">
        <f t="shared" si="67"/>
        <v>39179.564654224749</v>
      </c>
      <c r="BB282" s="133">
        <f t="shared" si="68"/>
        <v>39414.963908478188</v>
      </c>
      <c r="BC282" s="133">
        <f t="shared" si="69"/>
        <v>11782.020154732976</v>
      </c>
      <c r="BD282" s="133">
        <f t="shared" si="70"/>
        <v>27632.94375374521</v>
      </c>
      <c r="BE282" s="133">
        <f t="shared" si="71"/>
        <v>27632.94375374521</v>
      </c>
    </row>
    <row r="283" spans="2:57">
      <c r="B283" s="111" t="e">
        <f>'[1]Oil Production'!#REF!</f>
        <v>#REF!</v>
      </c>
      <c r="C283" s="66"/>
      <c r="D283" s="127">
        <f>'[1]Oil Production'!A244</f>
        <v>238</v>
      </c>
      <c r="E283" s="66">
        <f>'[1]Oil Production'!B244</f>
        <v>24.983132598196729</v>
      </c>
      <c r="F283" s="66">
        <f>'[1]Oil Production'!C244</f>
        <v>759.90361652848389</v>
      </c>
      <c r="G283" s="66">
        <f>'[1]Oil Production'!D244</f>
        <v>301473.03047919209</v>
      </c>
      <c r="K283" s="109">
        <f>'Liquids Type Curve'!A260</f>
        <v>19.838557465453309</v>
      </c>
      <c r="L283" s="116">
        <f>'Liquids Type Curve'!B260</f>
        <v>238.06268958543973</v>
      </c>
      <c r="M283" s="65">
        <f>'Liquids Type Curve'!C260</f>
        <v>4.1504517843857558</v>
      </c>
      <c r="N283" s="65">
        <f>'Liquids Type Curve'!D260</f>
        <v>126.24290844173341</v>
      </c>
      <c r="O283" s="65">
        <f>'Liquids Type Curve'!E260</f>
        <v>121341.56454375476</v>
      </c>
      <c r="S283" s="112">
        <f>'Gas Type Curve'!A267</f>
        <v>19.833333333333321</v>
      </c>
      <c r="T283" s="128">
        <f>'Gas Type Curve'!B267</f>
        <v>237.99999999999986</v>
      </c>
      <c r="U283" s="94">
        <f>'Gas Type Curve'!C267</f>
        <v>116.5109986900079</v>
      </c>
      <c r="V283" s="94">
        <f>'Gas Type Curve'!D267</f>
        <v>3543.8762101544071</v>
      </c>
      <c r="W283" s="94">
        <f>'Gas Type Curve'!E267</f>
        <v>2322994.7236374128</v>
      </c>
      <c r="AK283" s="146">
        <f t="shared" si="72"/>
        <v>238</v>
      </c>
      <c r="AL283" s="145"/>
      <c r="AM283" s="146">
        <f t="shared" si="73"/>
        <v>1476.7925599959517</v>
      </c>
      <c r="AN283" s="133">
        <f>'Price Deck'!E242*F283+N283*'Price Deck'!T242+(V283*'Price Deck'!K242/$AB$3)</f>
        <v>61257.220456423085</v>
      </c>
      <c r="AO283" s="133">
        <f t="shared" si="74"/>
        <v>41.47990863157586</v>
      </c>
      <c r="AP283" s="133">
        <f>'Production Costs '!$N$22*(1+'Production Costs '!$P$2)^(AL283)</f>
        <v>-6.5424999999999995</v>
      </c>
      <c r="AQ283" s="133">
        <f>'Production Costs '!$N$23*(1+'Production Costs '!$P$2)^AL283</f>
        <v>-1.1487500000000002</v>
      </c>
      <c r="AR283" s="162">
        <f>-'Oil Royalties'!W248</f>
        <v>-12.998218551011806</v>
      </c>
      <c r="AS283" s="162">
        <f>-'Butane Royalties'!AD248</f>
        <v>-7.9342195802321989</v>
      </c>
      <c r="AT283" s="162">
        <f>-'Propane Royalties'!AD248</f>
        <v>-6.6853881663298083</v>
      </c>
      <c r="AU283" s="162">
        <f>-'Ethane Royalties'!AH248</f>
        <v>-0.64397536828575486</v>
      </c>
      <c r="AV283" s="162">
        <f>-'Natural Gas Royalties'!AB248</f>
        <v>-0.1995228292005628</v>
      </c>
      <c r="AW283" s="133">
        <f>AN283+AM283*(AP283+AQ283)+(AR283*F283)+(AV283*(V283/$AB$3))+(AS283*'Butane Royalties'!K253)+(AT283*'Propane Royalties'!K253)+(AU283*'Ethane Royalties'!K253)</f>
        <v>39358.936904602408</v>
      </c>
      <c r="AX283" s="133">
        <f t="shared" si="75"/>
        <v>26.651635423129637</v>
      </c>
      <c r="AY283" s="133">
        <f t="shared" si="65"/>
        <v>229.50017824596151</v>
      </c>
      <c r="AZ283" s="133">
        <f t="shared" si="66"/>
        <v>8928.5731779246344</v>
      </c>
      <c r="BA283" s="133">
        <f t="shared" si="67"/>
        <v>39129.436726356449</v>
      </c>
      <c r="BB283" s="133">
        <f t="shared" si="68"/>
        <v>39358.936904602408</v>
      </c>
      <c r="BC283" s="133">
        <f t="shared" si="69"/>
        <v>11766.945759147633</v>
      </c>
      <c r="BD283" s="133">
        <f t="shared" si="70"/>
        <v>27591.991145454776</v>
      </c>
      <c r="BE283" s="133">
        <f t="shared" si="71"/>
        <v>27591.991145454776</v>
      </c>
    </row>
    <row r="284" spans="2:57">
      <c r="B284" s="111" t="e">
        <f>'[1]Oil Production'!#REF!</f>
        <v>#REF!</v>
      </c>
      <c r="C284" s="66"/>
      <c r="D284" s="127">
        <f>'[1]Oil Production'!A245</f>
        <v>239</v>
      </c>
      <c r="E284" s="66">
        <f>'[1]Oil Production'!B245</f>
        <v>24.93956319472591</v>
      </c>
      <c r="F284" s="66">
        <f>'[1]Oil Production'!C245</f>
        <v>758.5783805062465</v>
      </c>
      <c r="G284" s="66">
        <f>'[1]Oil Production'!D245</f>
        <v>302231.60885969835</v>
      </c>
      <c r="K284" s="109">
        <f>'Liquids Type Curve'!A261</f>
        <v>19.921890798786642</v>
      </c>
      <c r="L284" s="116">
        <f>'Liquids Type Curve'!B261</f>
        <v>239.0626895854397</v>
      </c>
      <c r="M284" s="65">
        <f>'Liquids Type Curve'!C261</f>
        <v>4.134267298736761</v>
      </c>
      <c r="N284" s="65">
        <f>'Liquids Type Curve'!D261</f>
        <v>125.75063033657649</v>
      </c>
      <c r="O284" s="65">
        <f>'Liquids Type Curve'!E261</f>
        <v>121467.31517409135</v>
      </c>
      <c r="S284" s="112">
        <f>'Gas Type Curve'!A268</f>
        <v>19.916666666666654</v>
      </c>
      <c r="T284" s="128">
        <f>'Gas Type Curve'!B268</f>
        <v>238.99999999999983</v>
      </c>
      <c r="U284" s="94">
        <f>'Gas Type Curve'!C268</f>
        <v>116.16649587722206</v>
      </c>
      <c r="V284" s="94">
        <f>'Gas Type Curve'!D268</f>
        <v>3533.3975829321712</v>
      </c>
      <c r="W284" s="94">
        <f>'Gas Type Curve'!E268</f>
        <v>2326528.1212203451</v>
      </c>
      <c r="AK284" s="146">
        <f t="shared" si="72"/>
        <v>239</v>
      </c>
      <c r="AL284" s="145"/>
      <c r="AM284" s="146">
        <f t="shared" si="73"/>
        <v>1473.228607998185</v>
      </c>
      <c r="AN284" s="133">
        <f>'Price Deck'!E243*F284+N284*'Price Deck'!T243+(V284*'Price Deck'!K243/$AB$3)</f>
        <v>61136.339404758655</v>
      </c>
      <c r="AO284" s="133">
        <f t="shared" si="74"/>
        <v>41.498202704487511</v>
      </c>
      <c r="AP284" s="133">
        <f>'Production Costs '!$N$22*(1+'Production Costs '!$P$2)^(AL284)</f>
        <v>-6.5424999999999995</v>
      </c>
      <c r="AQ284" s="133">
        <f>'Production Costs '!$N$23*(1+'Production Costs '!$P$2)^AL284</f>
        <v>-1.1487500000000002</v>
      </c>
      <c r="AR284" s="162">
        <f>-'Oil Royalties'!W249</f>
        <v>-12.974634915657976</v>
      </c>
      <c r="AS284" s="162">
        <f>-'Butane Royalties'!AD249</f>
        <v>-7.9320019023093948</v>
      </c>
      <c r="AT284" s="162">
        <f>-'Propane Royalties'!AD249</f>
        <v>-6.6834736871935254</v>
      </c>
      <c r="AU284" s="162">
        <f>-'Ethane Royalties'!AH249</f>
        <v>-0.6439366827737365</v>
      </c>
      <c r="AV284" s="162">
        <f>-'Natural Gas Royalties'!AB249</f>
        <v>-0.1995228292005628</v>
      </c>
      <c r="AW284" s="133">
        <f>AN284+AM284*(AP284+AQ284)+(AR284*F284)+(AV284*(V284/$AB$3))+(AS284*'Butane Royalties'!K254)+(AT284*'Propane Royalties'!K254)+(AU284*'Ethane Royalties'!K254)</f>
        <v>39303.200907969513</v>
      </c>
      <c r="AX284" s="133">
        <f t="shared" si="75"/>
        <v>26.678277013215546</v>
      </c>
      <c r="AY284" s="133">
        <f t="shared" si="65"/>
        <v>223.74893234887119</v>
      </c>
      <c r="AZ284" s="133">
        <f t="shared" si="66"/>
        <v>8704.8242455757627</v>
      </c>
      <c r="BA284" s="133">
        <f t="shared" si="67"/>
        <v>39079.451975620643</v>
      </c>
      <c r="BB284" s="133">
        <f t="shared" si="68"/>
        <v>39303.200907969513</v>
      </c>
      <c r="BC284" s="133">
        <f t="shared" si="69"/>
        <v>11751.914419575689</v>
      </c>
      <c r="BD284" s="133">
        <f t="shared" si="70"/>
        <v>27551.286488393824</v>
      </c>
      <c r="BE284" s="133">
        <f t="shared" si="71"/>
        <v>27551.286488393824</v>
      </c>
    </row>
    <row r="285" spans="2:57">
      <c r="B285" s="111" t="e">
        <f>'[1]Oil Production'!#REF!</f>
        <v>#REF!</v>
      </c>
      <c r="C285" s="66"/>
      <c r="D285" s="127">
        <f>'[1]Oil Production'!A246</f>
        <v>240</v>
      </c>
      <c r="E285" s="66">
        <f>'[1]Oil Production'!B246</f>
        <v>24.896251217903544</v>
      </c>
      <c r="F285" s="66">
        <f>'[1]Oil Production'!C246</f>
        <v>757.26097454456612</v>
      </c>
      <c r="G285" s="66">
        <f>'[1]Oil Production'!D246</f>
        <v>302988.86983424291</v>
      </c>
      <c r="K285" s="109">
        <f>'Liquids Type Curve'!A262</f>
        <v>20.005224132119974</v>
      </c>
      <c r="L285" s="116">
        <f>'Liquids Type Curve'!B262</f>
        <v>240.06268958543967</v>
      </c>
      <c r="M285" s="65">
        <f>'Liquids Type Curve'!C262</f>
        <v>4.1182130880868941</v>
      </c>
      <c r="N285" s="65">
        <f>'Liquids Type Curve'!D262</f>
        <v>125.26231476264303</v>
      </c>
      <c r="O285" s="65">
        <f>'Liquids Type Curve'!E262</f>
        <v>121592.57748885399</v>
      </c>
      <c r="S285" s="112">
        <f>'Gas Type Curve'!A269</f>
        <v>19.999999999999986</v>
      </c>
      <c r="T285" s="128">
        <f>'Gas Type Curve'!B269</f>
        <v>239.99999999999983</v>
      </c>
      <c r="U285" s="94">
        <f>'Gas Type Curve'!C269</f>
        <v>115.82444376205842</v>
      </c>
      <c r="V285" s="94">
        <f>'Gas Type Curve'!D269</f>
        <v>3522.9934977626103</v>
      </c>
      <c r="W285" s="94">
        <f>'Gas Type Curve'!E269</f>
        <v>2330051.114718108</v>
      </c>
      <c r="AK285" s="146">
        <f t="shared" si="72"/>
        <v>240</v>
      </c>
      <c r="AL285" s="145" t="e">
        <f t="shared" si="76"/>
        <v>#REF!</v>
      </c>
      <c r="AM285" s="146">
        <f t="shared" si="73"/>
        <v>1469.688872267644</v>
      </c>
      <c r="AN285" s="133">
        <f>'Price Deck'!E244*F285+N285*'Price Deck'!T244+(V285*'Price Deck'!K244/$AB$3)</f>
        <v>61016.224320453242</v>
      </c>
      <c r="AO285" s="133">
        <f t="shared" si="74"/>
        <v>41.516422606036862</v>
      </c>
      <c r="AP285" s="133" t="e">
        <f>'Production Costs '!$N$22*(1+'Production Costs '!$P$2)^(AL285)</f>
        <v>#REF!</v>
      </c>
      <c r="AQ285" s="133" t="e">
        <f>'Production Costs '!$N$23*(1+'Production Costs '!$P$2)^AL285</f>
        <v>#REF!</v>
      </c>
      <c r="AR285" s="162">
        <f>-'Oil Royalties'!W250</f>
        <v>-12.951190622496682</v>
      </c>
      <c r="AS285" s="162">
        <f>-'Butane Royalties'!AD250</f>
        <v>-7.9298024550691499</v>
      </c>
      <c r="AT285" s="162">
        <f>-'Propane Royalties'!AD250</f>
        <v>-6.6815749462584666</v>
      </c>
      <c r="AU285" s="162">
        <f>-'Ethane Royalties'!AH250</f>
        <v>-0.64389831528052588</v>
      </c>
      <c r="AV285" s="162">
        <f>-'Natural Gas Royalties'!AB250</f>
        <v>-0.1995228292005628</v>
      </c>
      <c r="AW285" s="133" t="e">
        <f>AN285+AM285*(AP285+AQ285)+(AR285*F285)+(AV285*(V285/$AB$3))+(AS285*'Butane Royalties'!K255)+(AT285*'Propane Royalties'!K255)+(AU285*'Ethane Royalties'!K255)</f>
        <v>#REF!</v>
      </c>
      <c r="AX285" s="133" t="e">
        <f t="shared" si="75"/>
        <v>#REF!</v>
      </c>
      <c r="AY285" s="133">
        <f t="shared" si="65"/>
        <v>218.14181195800748</v>
      </c>
      <c r="AZ285" s="133">
        <f t="shared" si="66"/>
        <v>8486.682433617756</v>
      </c>
      <c r="BA285" s="133" t="e">
        <f t="shared" si="67"/>
        <v>#REF!</v>
      </c>
      <c r="BB285" s="133" t="e">
        <f t="shared" si="68"/>
        <v>#REF!</v>
      </c>
      <c r="BC285" s="133" t="e">
        <f t="shared" si="69"/>
        <v>#REF!</v>
      </c>
      <c r="BD285" s="133" t="e">
        <f t="shared" si="70"/>
        <v>#REF!</v>
      </c>
      <c r="BE285" s="133" t="e">
        <f t="shared" si="71"/>
        <v>#REF!</v>
      </c>
    </row>
    <row r="286" spans="2:57">
      <c r="K286" s="109"/>
      <c r="L286" s="109"/>
      <c r="M286" s="65"/>
      <c r="N286" s="65"/>
      <c r="O286" s="65"/>
      <c r="AK286" s="133"/>
      <c r="AL286" s="100"/>
      <c r="AM286" s="100"/>
    </row>
    <row r="287" spans="2:57">
      <c r="K287" s="109"/>
      <c r="L287" s="109"/>
      <c r="M287" s="65"/>
      <c r="N287" s="65"/>
      <c r="O287" s="65"/>
      <c r="AK287" s="133"/>
      <c r="AL287" s="100"/>
      <c r="AM287" s="100"/>
    </row>
    <row r="288" spans="2:57">
      <c r="K288" s="65"/>
      <c r="L288" s="65"/>
      <c r="M288" s="65"/>
      <c r="N288" s="65"/>
      <c r="O288" s="65"/>
      <c r="AK288" s="133"/>
      <c r="AL288" s="100"/>
      <c r="AM288" s="100"/>
    </row>
    <row r="289" spans="11:39">
      <c r="K289" s="65"/>
      <c r="L289" s="65"/>
      <c r="M289" s="65"/>
      <c r="N289" s="65"/>
      <c r="O289" s="65"/>
      <c r="AK289" s="133"/>
      <c r="AL289" s="100"/>
      <c r="AM289" s="100"/>
    </row>
    <row r="290" spans="11:39">
      <c r="K290" s="65"/>
      <c r="L290" s="65"/>
      <c r="M290" s="65"/>
      <c r="N290" s="65"/>
      <c r="O290" s="65"/>
      <c r="AK290" s="133"/>
      <c r="AL290" s="100"/>
      <c r="AM290" s="100"/>
    </row>
  </sheetData>
  <mergeCells count="5">
    <mergeCell ref="AC42:AH42"/>
    <mergeCell ref="A1:M1"/>
    <mergeCell ref="AT8:AY18"/>
    <mergeCell ref="BB8:BG18"/>
    <mergeCell ref="AK8:AQ18"/>
  </mergeCells>
  <pageMargins left="0.7" right="0.7" top="0.75" bottom="0.75" header="0.3" footer="0.3"/>
  <pageSetup orientation="portrait"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AG344"/>
  <sheetViews>
    <sheetView showGridLines="0" zoomScale="70" zoomScaleNormal="70" workbookViewId="0">
      <selection activeCell="E5" sqref="E5"/>
    </sheetView>
  </sheetViews>
  <sheetFormatPr defaultColWidth="11" defaultRowHeight="15.9"/>
  <cols>
    <col min="1" max="1" width="13.640625" bestFit="1" customWidth="1"/>
    <col min="2" max="2" width="5" customWidth="1"/>
    <col min="3" max="3" width="11.140625" customWidth="1"/>
    <col min="4" max="4" width="8" bestFit="1" customWidth="1"/>
    <col min="5" max="5" width="8.140625" bestFit="1" customWidth="1"/>
    <col min="6" max="6" width="23.140625" customWidth="1"/>
    <col min="7" max="7" width="5.85546875" bestFit="1" customWidth="1"/>
    <col min="8" max="8" width="14.140625" bestFit="1" customWidth="1"/>
    <col min="9" max="9" width="8" bestFit="1" customWidth="1"/>
    <col min="10" max="10" width="6.85546875" customWidth="1"/>
    <col min="11" max="11" width="22.7109375" style="3" customWidth="1"/>
    <col min="12" max="12" width="5.2109375" style="3" customWidth="1"/>
    <col min="19" max="19" width="8.140625" customWidth="1"/>
    <col min="20" max="20" width="22.2109375" style="32" bestFit="1" customWidth="1"/>
    <col min="21" max="21" width="16.5" style="32" bestFit="1" customWidth="1"/>
    <col min="22" max="22" width="17.140625" style="3" bestFit="1" customWidth="1"/>
    <col min="23" max="23" width="8" customWidth="1"/>
    <col min="24" max="24" width="17.640625" bestFit="1" customWidth="1"/>
    <col min="25" max="25" width="28.35546875" style="3" bestFit="1" customWidth="1"/>
    <col min="26" max="26" width="15.140625" style="3" bestFit="1" customWidth="1"/>
    <col min="27" max="27" width="12.5" style="3" customWidth="1"/>
    <col min="28" max="28" width="15.140625" style="3" bestFit="1" customWidth="1"/>
    <col min="29" max="29" width="10.85546875" style="3"/>
    <col min="31" max="33" width="10.85546875" style="3"/>
  </cols>
  <sheetData>
    <row r="1" spans="1:33" ht="41.15" customHeight="1" thickBot="1">
      <c r="A1" s="101" t="s">
        <v>745</v>
      </c>
      <c r="B1" s="63"/>
      <c r="C1" s="303" t="s">
        <v>740</v>
      </c>
      <c r="D1" s="304"/>
      <c r="E1" s="304"/>
      <c r="F1" s="304"/>
      <c r="G1" s="304"/>
      <c r="H1" s="304"/>
      <c r="I1" s="304"/>
      <c r="J1" s="304"/>
      <c r="K1" s="305"/>
      <c r="L1" s="63"/>
      <c r="M1" s="303" t="s">
        <v>568</v>
      </c>
      <c r="N1" s="304"/>
      <c r="O1" s="304"/>
      <c r="P1" s="304"/>
      <c r="Q1" s="304"/>
      <c r="R1" s="305"/>
      <c r="T1" s="306" t="s">
        <v>730</v>
      </c>
      <c r="U1" s="307"/>
      <c r="V1" s="308"/>
      <c r="X1" s="300" t="s">
        <v>928</v>
      </c>
      <c r="Y1" s="301"/>
      <c r="Z1" s="302"/>
      <c r="AB1" s="102" t="s">
        <v>576</v>
      </c>
      <c r="AC1" s="21"/>
      <c r="AE1" s="20"/>
      <c r="AF1" s="20"/>
      <c r="AG1" s="20"/>
    </row>
    <row r="2" spans="1:33" s="3" customFormat="1" ht="26.15" customHeight="1">
      <c r="C2" s="312" t="s">
        <v>572</v>
      </c>
      <c r="D2" s="312"/>
      <c r="E2" s="312"/>
      <c r="F2" s="4" t="s">
        <v>845</v>
      </c>
      <c r="G2" s="312" t="s">
        <v>575</v>
      </c>
      <c r="H2" s="312"/>
      <c r="I2" s="312"/>
      <c r="J2" s="312"/>
      <c r="K2" s="34" t="s">
        <v>846</v>
      </c>
      <c r="L2" s="68"/>
      <c r="P2" s="313" t="s">
        <v>733</v>
      </c>
      <c r="Q2" s="313"/>
      <c r="R2" s="313"/>
      <c r="T2" s="309" t="s">
        <v>845</v>
      </c>
      <c r="U2" s="309"/>
      <c r="V2" s="309"/>
      <c r="X2" s="21" t="s">
        <v>751</v>
      </c>
      <c r="Y2" s="21" t="s">
        <v>752</v>
      </c>
      <c r="Z2" s="21" t="s">
        <v>759</v>
      </c>
      <c r="AC2" s="21"/>
      <c r="AE2" s="21"/>
      <c r="AF2" s="20"/>
      <c r="AG2" s="21"/>
    </row>
    <row r="3" spans="1:33" s="3" customFormat="1" ht="34.5" customHeight="1">
      <c r="C3" s="310" t="s">
        <v>573</v>
      </c>
      <c r="D3" s="311"/>
      <c r="E3" s="311"/>
      <c r="F3" s="83" t="s">
        <v>926</v>
      </c>
      <c r="G3" s="314" t="s">
        <v>574</v>
      </c>
      <c r="H3" s="314"/>
      <c r="I3" s="314"/>
      <c r="J3" s="314"/>
      <c r="K3" s="83" t="s">
        <v>925</v>
      </c>
      <c r="L3" s="91"/>
      <c r="M3" s="13" t="s">
        <v>567</v>
      </c>
      <c r="N3" s="13"/>
      <c r="O3" s="235"/>
      <c r="P3" s="13" t="s">
        <v>569</v>
      </c>
      <c r="Q3" s="13" t="s">
        <v>570</v>
      </c>
      <c r="R3" s="13" t="s">
        <v>571</v>
      </c>
      <c r="T3" s="150" t="s">
        <v>731</v>
      </c>
      <c r="U3" s="150" t="s">
        <v>732</v>
      </c>
      <c r="V3" s="151" t="s">
        <v>927</v>
      </c>
      <c r="X3" s="103">
        <v>60</v>
      </c>
      <c r="Y3" s="103">
        <v>3.5</v>
      </c>
      <c r="Z3" s="104">
        <v>32.94</v>
      </c>
      <c r="AB3" s="134">
        <v>1.4999999999999999E-2</v>
      </c>
      <c r="AC3" s="21"/>
      <c r="AE3" s="21"/>
      <c r="AF3" s="20"/>
      <c r="AG3" s="21"/>
    </row>
    <row r="4" spans="1:33" s="3" customFormat="1" ht="19" customHeight="1">
      <c r="C4" s="7"/>
      <c r="D4" s="8"/>
      <c r="E4" s="8"/>
      <c r="F4" s="9"/>
      <c r="G4" s="10"/>
      <c r="H4" s="9"/>
      <c r="I4" s="9"/>
      <c r="J4" s="9"/>
      <c r="K4" s="9"/>
      <c r="L4" s="9"/>
      <c r="M4" s="5"/>
      <c r="N4" s="5"/>
      <c r="O4" s="5"/>
      <c r="P4" s="12">
        <v>0.44</v>
      </c>
      <c r="Q4" s="12">
        <v>0.33</v>
      </c>
      <c r="R4" s="12">
        <v>0.23</v>
      </c>
      <c r="Y4" s="23"/>
      <c r="Z4" s="11"/>
      <c r="AA4" s="11"/>
      <c r="AC4" s="11"/>
      <c r="AE4" s="11"/>
      <c r="AF4" s="11"/>
      <c r="AG4" s="11"/>
    </row>
    <row r="5" spans="1:33" s="33" customFormat="1">
      <c r="A5" s="84" t="s">
        <v>3</v>
      </c>
      <c r="B5" s="84"/>
      <c r="C5" s="84" t="s">
        <v>2</v>
      </c>
      <c r="D5" s="84" t="s">
        <v>3</v>
      </c>
      <c r="E5" s="92">
        <v>56.92</v>
      </c>
      <c r="F5" s="105">
        <f>(E5*'Realized Pricing'!$L$2)/M5</f>
        <v>66.774205541189843</v>
      </c>
      <c r="G5" s="84" t="s">
        <v>1</v>
      </c>
      <c r="H5" s="84" t="s">
        <v>316</v>
      </c>
      <c r="I5" s="84" t="s">
        <v>3</v>
      </c>
      <c r="J5" s="225">
        <v>2.6480000000000001</v>
      </c>
      <c r="K5" s="236">
        <f>((J5-'Realized Pricing'!$B$32)/M5)*'Realized Pricing'!$L$7</f>
        <v>2.3344478837910616</v>
      </c>
      <c r="L5" s="19"/>
      <c r="M5" s="225">
        <v>0.8</v>
      </c>
      <c r="N5" s="84" t="s">
        <v>1</v>
      </c>
      <c r="O5" s="84"/>
      <c r="P5" s="229">
        <v>6.6</v>
      </c>
      <c r="Q5" s="230">
        <v>22.8</v>
      </c>
      <c r="R5" s="230">
        <v>19.600000000000001</v>
      </c>
      <c r="S5" s="47"/>
      <c r="T5" s="234">
        <f>SUMPRODUCT($P$4:$R$4,((P5:R5)/M5))*'Realized Pricing'!$L$12</f>
        <v>16.803000000000001</v>
      </c>
      <c r="U5" s="241">
        <f>F5</f>
        <v>66.774205541189843</v>
      </c>
      <c r="V5" s="233">
        <f>K5</f>
        <v>2.3344478837910616</v>
      </c>
      <c r="Y5" s="22"/>
      <c r="Z5" s="21"/>
      <c r="AA5" s="21"/>
      <c r="AC5" s="21"/>
      <c r="AE5" s="21"/>
      <c r="AF5" s="21"/>
      <c r="AG5" s="21"/>
    </row>
    <row r="6" spans="1:33">
      <c r="A6" s="84" t="s">
        <v>6</v>
      </c>
      <c r="B6" s="84"/>
      <c r="C6" s="84" t="s">
        <v>5</v>
      </c>
      <c r="D6" s="84" t="s">
        <v>6</v>
      </c>
      <c r="E6" s="92">
        <v>57.15</v>
      </c>
      <c r="F6" s="105">
        <f>(E6*'Realized Pricing'!$L$2)/M6</f>
        <v>67.044024010523529</v>
      </c>
      <c r="G6" s="84" t="s">
        <v>4</v>
      </c>
      <c r="H6" s="84" t="s">
        <v>317</v>
      </c>
      <c r="I6" s="84" t="s">
        <v>6</v>
      </c>
      <c r="J6" s="225">
        <v>2.677</v>
      </c>
      <c r="K6" s="236">
        <f>((J6-'Realized Pricing'!$B$32)/M6)*'Realized Pricing'!$L$7</f>
        <v>2.3732880899013247</v>
      </c>
      <c r="L6" s="19"/>
      <c r="M6" s="225">
        <v>0.8</v>
      </c>
      <c r="N6" s="84" t="s">
        <v>4</v>
      </c>
      <c r="O6" s="84"/>
      <c r="P6" s="229">
        <v>6.6</v>
      </c>
      <c r="Q6" s="230">
        <v>22.8</v>
      </c>
      <c r="R6" s="230">
        <v>19.600000000000001</v>
      </c>
      <c r="S6" s="47"/>
      <c r="T6" s="234">
        <f>SUMPRODUCT($P$4:$R$4,((P6:R6)/M6))*'Realized Pricing'!$L$12</f>
        <v>16.803000000000001</v>
      </c>
      <c r="U6" s="241">
        <f t="shared" ref="U6:U69" si="0">F6</f>
        <v>67.044024010523529</v>
      </c>
      <c r="V6" s="233">
        <f t="shared" ref="V6:V36" si="1">J6/M6</f>
        <v>3.3462499999999999</v>
      </c>
      <c r="Y6" s="25"/>
      <c r="Z6" s="25"/>
      <c r="AA6" s="25"/>
      <c r="AB6" s="185"/>
      <c r="AC6" s="26"/>
      <c r="AE6" s="26"/>
      <c r="AF6" s="24"/>
      <c r="AG6" s="24"/>
    </row>
    <row r="7" spans="1:33">
      <c r="A7" s="84" t="s">
        <v>9</v>
      </c>
      <c r="B7" s="84"/>
      <c r="C7" s="84" t="s">
        <v>8</v>
      </c>
      <c r="D7" s="84" t="s">
        <v>9</v>
      </c>
      <c r="E7" s="92">
        <v>57.59</v>
      </c>
      <c r="F7" s="105">
        <f>(E7*'Realized Pricing'!$L$2)/M7</f>
        <v>67.560198473596685</v>
      </c>
      <c r="G7" s="84" t="s">
        <v>7</v>
      </c>
      <c r="H7" s="84" t="s">
        <v>318</v>
      </c>
      <c r="I7" s="84" t="s">
        <v>9</v>
      </c>
      <c r="J7" s="225">
        <v>2.7010000000000001</v>
      </c>
      <c r="K7" s="236">
        <f>((J7-'Realized Pricing'!$B$32)/M7)*'Realized Pricing'!$L$7</f>
        <v>2.4054317087511978</v>
      </c>
      <c r="L7" s="19"/>
      <c r="M7" s="225">
        <v>0.8</v>
      </c>
      <c r="N7" s="84" t="s">
        <v>7</v>
      </c>
      <c r="O7" s="84"/>
      <c r="P7" s="229">
        <v>6.6</v>
      </c>
      <c r="Q7" s="230">
        <v>22.8</v>
      </c>
      <c r="R7" s="230">
        <v>19.600000000000001</v>
      </c>
      <c r="S7" s="47"/>
      <c r="T7" s="234">
        <f>SUMPRODUCT($P$4:$R$4,((P7:R7)/M7))*'Realized Pricing'!$L$12</f>
        <v>16.803000000000001</v>
      </c>
      <c r="U7" s="241">
        <f t="shared" si="0"/>
        <v>67.560198473596685</v>
      </c>
      <c r="V7" s="233">
        <f t="shared" si="1"/>
        <v>3.3762499999999998</v>
      </c>
      <c r="Y7" s="27"/>
      <c r="Z7" s="27"/>
      <c r="AA7" s="27"/>
      <c r="AB7" s="185"/>
      <c r="AC7" s="27"/>
      <c r="AE7" s="27"/>
      <c r="AF7" s="27"/>
      <c r="AG7" s="27"/>
    </row>
    <row r="8" spans="1:33">
      <c r="A8" s="84" t="s">
        <v>12</v>
      </c>
      <c r="B8" s="84"/>
      <c r="C8" s="84" t="s">
        <v>11</v>
      </c>
      <c r="D8" s="84" t="s">
        <v>12</v>
      </c>
      <c r="E8" s="92">
        <v>58.06</v>
      </c>
      <c r="F8" s="105">
        <f>(E8*'Realized Pricing'!$L$2)/M8</f>
        <v>68.111566650061178</v>
      </c>
      <c r="G8" s="84" t="s">
        <v>10</v>
      </c>
      <c r="H8" s="84" t="s">
        <v>319</v>
      </c>
      <c r="I8" s="84" t="s">
        <v>12</v>
      </c>
      <c r="J8" s="225">
        <v>2.7480000000000002</v>
      </c>
      <c r="K8" s="236">
        <f>((J8-'Realized Pricing'!$B$32)/M8)*'Realized Pricing'!$L$7</f>
        <v>2.4683796289988655</v>
      </c>
      <c r="L8" s="19"/>
      <c r="M8" s="225">
        <v>0.8</v>
      </c>
      <c r="N8" s="84" t="s">
        <v>10</v>
      </c>
      <c r="O8" s="84"/>
      <c r="P8" s="229">
        <v>6.6</v>
      </c>
      <c r="Q8" s="230">
        <v>22.8</v>
      </c>
      <c r="R8" s="230">
        <v>19.600000000000001</v>
      </c>
      <c r="S8" s="47"/>
      <c r="T8" s="234">
        <f>SUMPRODUCT($P$4:$R$4,((P8:R8)/M8))*'Realized Pricing'!$L$12</f>
        <v>16.803000000000001</v>
      </c>
      <c r="U8" s="241">
        <f t="shared" si="0"/>
        <v>68.111566650061178</v>
      </c>
      <c r="V8" s="233">
        <f t="shared" si="1"/>
        <v>3.4350000000000001</v>
      </c>
      <c r="Y8" s="28"/>
      <c r="Z8" s="28"/>
      <c r="AA8" s="28"/>
      <c r="AC8" s="28"/>
      <c r="AE8" s="28"/>
      <c r="AF8" s="28"/>
      <c r="AG8" s="28"/>
    </row>
    <row r="9" spans="1:33">
      <c r="A9" s="84" t="s">
        <v>15</v>
      </c>
      <c r="B9" s="84"/>
      <c r="C9" s="84" t="s">
        <v>14</v>
      </c>
      <c r="D9" s="84" t="s">
        <v>15</v>
      </c>
      <c r="E9" s="92">
        <v>58.49</v>
      </c>
      <c r="F9" s="105">
        <f>(E9*'Realized Pricing'!$L$2)/M9</f>
        <v>68.616009875337213</v>
      </c>
      <c r="G9" s="84" t="s">
        <v>13</v>
      </c>
      <c r="H9" s="84" t="s">
        <v>320</v>
      </c>
      <c r="I9" s="84" t="s">
        <v>15</v>
      </c>
      <c r="J9" s="225">
        <v>2.798</v>
      </c>
      <c r="K9" s="236">
        <f>((J9-'Realized Pricing'!$B$32)/M9)*'Realized Pricing'!$L$7</f>
        <v>2.5353455016027673</v>
      </c>
      <c r="L9" s="19"/>
      <c r="M9" s="225">
        <v>0.8</v>
      </c>
      <c r="N9" s="84" t="s">
        <v>13</v>
      </c>
      <c r="O9" s="84"/>
      <c r="P9" s="229">
        <v>6.6</v>
      </c>
      <c r="Q9" s="230">
        <v>22.8</v>
      </c>
      <c r="R9" s="230">
        <v>19.600000000000001</v>
      </c>
      <c r="S9" s="47"/>
      <c r="T9" s="234">
        <f>SUMPRODUCT($P$4:$R$4,((P9:R9)/M9))*'Realized Pricing'!$L$12</f>
        <v>16.803000000000001</v>
      </c>
      <c r="U9" s="241">
        <f t="shared" si="0"/>
        <v>68.616009875337213</v>
      </c>
      <c r="V9" s="233">
        <f t="shared" si="1"/>
        <v>3.4975000000000001</v>
      </c>
      <c r="Y9" s="29"/>
      <c r="Z9" s="29"/>
      <c r="AA9" s="29"/>
      <c r="AC9" s="29"/>
      <c r="AE9" s="29"/>
      <c r="AF9" s="15"/>
      <c r="AG9" s="16"/>
    </row>
    <row r="10" spans="1:33">
      <c r="A10" s="84" t="s">
        <v>18</v>
      </c>
      <c r="B10" s="84"/>
      <c r="C10" s="84" t="s">
        <v>17</v>
      </c>
      <c r="D10" s="84" t="s">
        <v>18</v>
      </c>
      <c r="E10" s="92">
        <v>58.8</v>
      </c>
      <c r="F10" s="105">
        <f>(E10*'Realized Pricing'!$L$2)/M10</f>
        <v>68.979678247047829</v>
      </c>
      <c r="G10" s="84" t="s">
        <v>16</v>
      </c>
      <c r="H10" s="84" t="s">
        <v>321</v>
      </c>
      <c r="I10" s="84" t="s">
        <v>18</v>
      </c>
      <c r="J10" s="225">
        <v>2.8149999999999999</v>
      </c>
      <c r="K10" s="236">
        <f>((J10-'Realized Pricing'!$B$32)/M10)*'Realized Pricing'!$L$7</f>
        <v>2.5581138982880938</v>
      </c>
      <c r="L10" s="19"/>
      <c r="M10" s="225">
        <v>0.8</v>
      </c>
      <c r="N10" s="84" t="s">
        <v>16</v>
      </c>
      <c r="O10" s="84"/>
      <c r="P10" s="229">
        <v>6.6</v>
      </c>
      <c r="Q10" s="230">
        <v>22.8</v>
      </c>
      <c r="R10" s="230">
        <v>19.600000000000001</v>
      </c>
      <c r="S10" s="47"/>
      <c r="T10" s="234">
        <f>SUMPRODUCT($P$4:$R$4,((P10:R10)/M10))*'Realized Pricing'!$L$12</f>
        <v>16.803000000000001</v>
      </c>
      <c r="U10" s="241">
        <f t="shared" si="0"/>
        <v>68.979678247047829</v>
      </c>
      <c r="V10" s="233">
        <f t="shared" si="1"/>
        <v>3.5187499999999998</v>
      </c>
      <c r="Y10" s="29"/>
      <c r="Z10" s="29"/>
      <c r="AA10" s="29"/>
      <c r="AC10" s="29"/>
      <c r="AE10" s="29"/>
      <c r="AF10" s="15"/>
      <c r="AG10" s="16"/>
    </row>
    <row r="11" spans="1:33">
      <c r="A11" s="84" t="s">
        <v>21</v>
      </c>
      <c r="B11" s="84"/>
      <c r="C11" s="84" t="s">
        <v>20</v>
      </c>
      <c r="D11" s="84" t="s">
        <v>21</v>
      </c>
      <c r="E11" s="92">
        <v>58.99</v>
      </c>
      <c r="F11" s="105">
        <f>(E11*'Realized Pricing'!$L$2)/M11</f>
        <v>69.202571765193056</v>
      </c>
      <c r="G11" s="84" t="s">
        <v>19</v>
      </c>
      <c r="H11" s="84" t="s">
        <v>322</v>
      </c>
      <c r="I11" s="84" t="s">
        <v>21</v>
      </c>
      <c r="J11" s="225">
        <v>2.802</v>
      </c>
      <c r="K11" s="236">
        <f>((J11-'Realized Pricing'!$B$32)/M11)*'Realized Pricing'!$L$7</f>
        <v>2.5407027714110795</v>
      </c>
      <c r="L11" s="19"/>
      <c r="M11" s="225">
        <v>0.8</v>
      </c>
      <c r="N11" s="84" t="s">
        <v>19</v>
      </c>
      <c r="O11" s="84"/>
      <c r="P11" s="229">
        <v>6.6</v>
      </c>
      <c r="Q11" s="230">
        <v>22.8</v>
      </c>
      <c r="R11" s="230">
        <v>19.600000000000001</v>
      </c>
      <c r="S11" s="47"/>
      <c r="T11" s="234">
        <f>SUMPRODUCT($P$4:$R$4,((P11:R11)/M11))*'Realized Pricing'!$L$12</f>
        <v>16.803000000000001</v>
      </c>
      <c r="U11" s="241">
        <f t="shared" si="0"/>
        <v>69.202571765193056</v>
      </c>
      <c r="V11" s="233">
        <f t="shared" si="1"/>
        <v>3.5024999999999999</v>
      </c>
      <c r="Y11" s="29"/>
      <c r="Z11" s="29"/>
      <c r="AA11" s="29"/>
      <c r="AC11" s="29"/>
      <c r="AE11" s="29"/>
      <c r="AF11" s="15"/>
      <c r="AG11" s="16"/>
    </row>
    <row r="12" spans="1:33">
      <c r="A12" s="84" t="s">
        <v>24</v>
      </c>
      <c r="B12" s="84"/>
      <c r="C12" s="84" t="s">
        <v>23</v>
      </c>
      <c r="D12" s="84" t="s">
        <v>24</v>
      </c>
      <c r="E12" s="92">
        <v>59.07</v>
      </c>
      <c r="F12" s="105">
        <f>(E12*'Realized Pricing'!$L$2)/M12</f>
        <v>69.296421667569987</v>
      </c>
      <c r="G12" s="84" t="s">
        <v>22</v>
      </c>
      <c r="H12" s="84" t="s">
        <v>323</v>
      </c>
      <c r="I12" s="84" t="s">
        <v>24</v>
      </c>
      <c r="J12" s="225">
        <v>2.8180000000000001</v>
      </c>
      <c r="K12" s="236">
        <f>((J12-'Realized Pricing'!$B$32)/M12)*'Realized Pricing'!$L$7</f>
        <v>2.5621318506443278</v>
      </c>
      <c r="L12" s="19"/>
      <c r="M12" s="225">
        <v>0.8</v>
      </c>
      <c r="N12" s="84" t="s">
        <v>22</v>
      </c>
      <c r="O12" s="84"/>
      <c r="P12" s="229">
        <v>6.6</v>
      </c>
      <c r="Q12" s="230">
        <v>22.8</v>
      </c>
      <c r="R12" s="230">
        <v>19.600000000000001</v>
      </c>
      <c r="S12" s="47"/>
      <c r="T12" s="234">
        <f>SUMPRODUCT($P$4:$R$4,((P12:R12)/M12))*'Realized Pricing'!$L$12</f>
        <v>16.803000000000001</v>
      </c>
      <c r="U12" s="241">
        <f t="shared" si="0"/>
        <v>69.296421667569987</v>
      </c>
      <c r="V12" s="233">
        <f t="shared" si="1"/>
        <v>3.5225</v>
      </c>
      <c r="Y12" s="29"/>
      <c r="Z12" s="29"/>
      <c r="AA12" s="29"/>
      <c r="AC12" s="29"/>
      <c r="AE12" s="29"/>
      <c r="AF12" s="15"/>
      <c r="AG12" s="16"/>
    </row>
    <row r="13" spans="1:33">
      <c r="A13" s="84" t="s">
        <v>27</v>
      </c>
      <c r="B13" s="84"/>
      <c r="C13" s="84" t="s">
        <v>26</v>
      </c>
      <c r="D13" s="84" t="s">
        <v>27</v>
      </c>
      <c r="E13" s="92">
        <v>59.07</v>
      </c>
      <c r="F13" s="105">
        <f>(E13*'Realized Pricing'!$L$2)/M13</f>
        <v>69.296421667569987</v>
      </c>
      <c r="G13" s="84" t="s">
        <v>25</v>
      </c>
      <c r="H13" s="84" t="s">
        <v>324</v>
      </c>
      <c r="I13" s="84" t="s">
        <v>27</v>
      </c>
      <c r="J13" s="225">
        <v>2.8639999999999999</v>
      </c>
      <c r="K13" s="236">
        <f>((J13-'Realized Pricing'!$B$32)/M13)*'Realized Pricing'!$L$7</f>
        <v>2.6237404534399174</v>
      </c>
      <c r="L13" s="19"/>
      <c r="M13" s="225">
        <v>0.8</v>
      </c>
      <c r="N13" s="84" t="s">
        <v>25</v>
      </c>
      <c r="O13" s="84"/>
      <c r="P13" s="229">
        <v>6.6</v>
      </c>
      <c r="Q13" s="230">
        <v>22.8</v>
      </c>
      <c r="R13" s="230">
        <v>19.600000000000001</v>
      </c>
      <c r="S13" s="47"/>
      <c r="T13" s="234">
        <f>SUMPRODUCT($P$4:$R$4,((P13:R13)/M13))*'Realized Pricing'!$L$12</f>
        <v>16.803000000000001</v>
      </c>
      <c r="U13" s="241">
        <f t="shared" si="0"/>
        <v>69.296421667569987</v>
      </c>
      <c r="V13" s="233">
        <f t="shared" si="1"/>
        <v>3.5799999999999996</v>
      </c>
      <c r="Y13" s="29"/>
      <c r="Z13" s="29"/>
      <c r="AA13" s="29"/>
      <c r="AC13" s="29"/>
      <c r="AE13" s="29"/>
      <c r="AF13" s="15"/>
      <c r="AG13" s="16"/>
    </row>
    <row r="14" spans="1:33">
      <c r="A14" s="84" t="s">
        <v>30</v>
      </c>
      <c r="B14" s="84"/>
      <c r="C14" s="84" t="s">
        <v>29</v>
      </c>
      <c r="D14" s="84" t="s">
        <v>30</v>
      </c>
      <c r="E14" s="92">
        <v>59.01</v>
      </c>
      <c r="F14" s="105">
        <f>(E14*'Realized Pricing'!$L$2)/M14</f>
        <v>69.226034240787286</v>
      </c>
      <c r="G14" s="84" t="s">
        <v>28</v>
      </c>
      <c r="H14" s="84" t="s">
        <v>325</v>
      </c>
      <c r="I14" s="84" t="s">
        <v>30</v>
      </c>
      <c r="J14" s="225">
        <v>2.9990000000000001</v>
      </c>
      <c r="K14" s="236">
        <f>((J14-'Realized Pricing'!$B$32)/M14)*'Realized Pricing'!$L$7</f>
        <v>2.8045483094704529</v>
      </c>
      <c r="L14" s="19"/>
      <c r="M14" s="225">
        <v>0.8</v>
      </c>
      <c r="N14" s="84" t="s">
        <v>28</v>
      </c>
      <c r="O14" s="84"/>
      <c r="P14" s="229">
        <v>6.6</v>
      </c>
      <c r="Q14" s="230">
        <v>22.8</v>
      </c>
      <c r="R14" s="230">
        <v>19.600000000000001</v>
      </c>
      <c r="S14" s="47"/>
      <c r="T14" s="234">
        <f>SUMPRODUCT($P$4:$R$4,((P14:R14)/M14))*'Realized Pricing'!$L$12</f>
        <v>16.803000000000001</v>
      </c>
      <c r="U14" s="241">
        <f t="shared" si="0"/>
        <v>69.226034240787286</v>
      </c>
      <c r="V14" s="233">
        <f t="shared" si="1"/>
        <v>3.7487499999999998</v>
      </c>
      <c r="Y14" s="29"/>
      <c r="Z14" s="29"/>
      <c r="AA14" s="29"/>
      <c r="AC14" s="29"/>
      <c r="AE14" s="29"/>
      <c r="AF14" s="15"/>
      <c r="AG14" s="16"/>
    </row>
    <row r="15" spans="1:33">
      <c r="A15" s="84" t="s">
        <v>33</v>
      </c>
      <c r="B15" s="84"/>
      <c r="C15" s="84" t="s">
        <v>32</v>
      </c>
      <c r="D15" s="84" t="s">
        <v>33</v>
      </c>
      <c r="E15" s="92">
        <v>58.91</v>
      </c>
      <c r="F15" s="105">
        <f>(E15*'Realized Pricing'!$L$2)/M15</f>
        <v>67.423143280796211</v>
      </c>
      <c r="G15" s="84" t="s">
        <v>31</v>
      </c>
      <c r="H15" s="84" t="s">
        <v>326</v>
      </c>
      <c r="I15" s="84" t="s">
        <v>33</v>
      </c>
      <c r="J15" s="225">
        <v>3.085</v>
      </c>
      <c r="K15" s="236">
        <f>((J15-'Realized Pricing'!$B$32)/M15)*'Realized Pricing'!$L$7</f>
        <v>2.8485166930235746</v>
      </c>
      <c r="L15" s="19"/>
      <c r="M15" s="225">
        <v>0.82</v>
      </c>
      <c r="N15" s="84" t="s">
        <v>31</v>
      </c>
      <c r="O15" s="84"/>
      <c r="P15" s="229">
        <v>8</v>
      </c>
      <c r="Q15" s="230">
        <v>26.9</v>
      </c>
      <c r="R15" s="230">
        <v>35.4</v>
      </c>
      <c r="S15" s="47"/>
      <c r="T15" s="234">
        <f>SUMPRODUCT($P$4:$R$4,((P15:R15)/M15))*'Realized Pricing'!$L$12</f>
        <v>22.542804878048781</v>
      </c>
      <c r="U15" s="241">
        <f t="shared" si="0"/>
        <v>67.423143280796211</v>
      </c>
      <c r="V15" s="233">
        <f t="shared" si="1"/>
        <v>3.7621951219512195</v>
      </c>
      <c r="Y15" s="29"/>
      <c r="Z15" s="29"/>
      <c r="AA15" s="29"/>
      <c r="AC15" s="29"/>
      <c r="AE15" s="29"/>
      <c r="AF15" s="15"/>
      <c r="AG15" s="16"/>
    </row>
    <row r="16" spans="1:33">
      <c r="A16" s="84" t="s">
        <v>35</v>
      </c>
      <c r="B16" s="84"/>
      <c r="C16" s="84" t="s">
        <v>34</v>
      </c>
      <c r="D16" s="84" t="s">
        <v>35</v>
      </c>
      <c r="E16" s="92">
        <v>58.79</v>
      </c>
      <c r="F16" s="105">
        <f>(E16*'Realized Pricing'!$L$2)/M16</f>
        <v>67.285801960244612</v>
      </c>
      <c r="G16" s="84" t="s">
        <v>559</v>
      </c>
      <c r="H16" s="84" t="s">
        <v>327</v>
      </c>
      <c r="I16" s="84" t="s">
        <v>35</v>
      </c>
      <c r="J16" s="225">
        <v>3.0230000000000001</v>
      </c>
      <c r="K16" s="236">
        <f>((J16-'Realized Pricing'!$B$32)/M16)*'Realized Pricing'!$L$7</f>
        <v>2.7675043203125131</v>
      </c>
      <c r="L16" s="19"/>
      <c r="M16" s="225">
        <v>0.82</v>
      </c>
      <c r="N16" s="84" t="s">
        <v>559</v>
      </c>
      <c r="O16" s="84"/>
      <c r="P16" s="229">
        <v>8</v>
      </c>
      <c r="Q16" s="230">
        <v>26.9</v>
      </c>
      <c r="R16" s="230">
        <v>35.4</v>
      </c>
      <c r="S16" s="47"/>
      <c r="T16" s="234">
        <f>SUMPRODUCT($P$4:$R$4,((P16:R16)/M16))*'Realized Pricing'!$L$12</f>
        <v>22.542804878048781</v>
      </c>
      <c r="U16" s="241">
        <f t="shared" si="0"/>
        <v>67.285801960244612</v>
      </c>
      <c r="V16" s="233">
        <f t="shared" si="1"/>
        <v>3.6865853658536589</v>
      </c>
      <c r="Y16" s="29"/>
      <c r="Z16" s="29"/>
      <c r="AA16" s="29"/>
      <c r="AC16" s="29"/>
      <c r="AE16" s="29"/>
      <c r="AF16" s="15"/>
      <c r="AG16" s="16"/>
    </row>
    <row r="17" spans="1:33">
      <c r="A17" s="84" t="s">
        <v>38</v>
      </c>
      <c r="B17" s="84"/>
      <c r="C17" s="84" t="s">
        <v>37</v>
      </c>
      <c r="D17" s="84" t="s">
        <v>38</v>
      </c>
      <c r="E17" s="92">
        <v>58.65</v>
      </c>
      <c r="F17" s="105">
        <f>(E17*'Realized Pricing'!$L$2)/M17</f>
        <v>67.125570419601061</v>
      </c>
      <c r="G17" s="84" t="s">
        <v>36</v>
      </c>
      <c r="H17" s="84" t="s">
        <v>328</v>
      </c>
      <c r="I17" s="84" t="s">
        <v>38</v>
      </c>
      <c r="J17" s="225">
        <v>2.91</v>
      </c>
      <c r="K17" s="236">
        <f>((J17-'Realized Pricing'!$B$32)/M17)*'Realized Pricing'!$L$7</f>
        <v>2.6198527377907395</v>
      </c>
      <c r="L17" s="19"/>
      <c r="M17" s="225">
        <v>0.82</v>
      </c>
      <c r="N17" s="84" t="s">
        <v>36</v>
      </c>
      <c r="O17" s="84"/>
      <c r="P17" s="229">
        <v>8</v>
      </c>
      <c r="Q17" s="230">
        <v>26.9</v>
      </c>
      <c r="R17" s="230">
        <v>35.4</v>
      </c>
      <c r="S17" s="47"/>
      <c r="T17" s="234">
        <f>SUMPRODUCT($P$4:$R$4,((P17:R17)/M17))*'Realized Pricing'!$L$12</f>
        <v>22.542804878048781</v>
      </c>
      <c r="U17" s="241">
        <f t="shared" si="0"/>
        <v>67.125570419601061</v>
      </c>
      <c r="V17" s="233">
        <f t="shared" si="1"/>
        <v>3.5487804878048785</v>
      </c>
      <c r="Y17" s="29"/>
      <c r="Z17" s="29"/>
      <c r="AA17" s="29"/>
      <c r="AC17" s="29"/>
      <c r="AE17" s="29"/>
      <c r="AF17" s="15"/>
      <c r="AG17" s="16"/>
    </row>
    <row r="18" spans="1:33">
      <c r="A18" s="84" t="s">
        <v>41</v>
      </c>
      <c r="B18" s="84"/>
      <c r="C18" s="84" t="s">
        <v>40</v>
      </c>
      <c r="D18" s="84" t="s">
        <v>41</v>
      </c>
      <c r="E18" s="92">
        <v>58.49</v>
      </c>
      <c r="F18" s="105">
        <f>(E18*'Realized Pricing'!$L$2)/M18</f>
        <v>66.942448658865587</v>
      </c>
      <c r="G18" s="84" t="s">
        <v>39</v>
      </c>
      <c r="H18" s="84" t="s">
        <v>329</v>
      </c>
      <c r="I18" s="84" t="s">
        <v>41</v>
      </c>
      <c r="J18" s="225">
        <v>2.5979999999999999</v>
      </c>
      <c r="K18" s="236">
        <f>((J18-'Realized Pricing'!$B$32)/M18)*'Realized Pricing'!$L$7</f>
        <v>2.2121775718899124</v>
      </c>
      <c r="L18" s="19"/>
      <c r="M18" s="225">
        <v>0.82</v>
      </c>
      <c r="N18" s="84" t="s">
        <v>39</v>
      </c>
      <c r="O18" s="84"/>
      <c r="P18" s="229">
        <v>8</v>
      </c>
      <c r="Q18" s="230">
        <v>26.9</v>
      </c>
      <c r="R18" s="230">
        <v>35.4</v>
      </c>
      <c r="S18" s="47"/>
      <c r="T18" s="234">
        <f>SUMPRODUCT($P$4:$R$4,((P18:R18)/M18))*'Realized Pricing'!$L$12</f>
        <v>22.542804878048781</v>
      </c>
      <c r="U18" s="241">
        <f t="shared" si="0"/>
        <v>66.942448658865587</v>
      </c>
      <c r="V18" s="233">
        <f t="shared" si="1"/>
        <v>3.1682926829268294</v>
      </c>
      <c r="Y18" s="29"/>
      <c r="Z18" s="29"/>
      <c r="AA18" s="29"/>
      <c r="AC18" s="29"/>
      <c r="AE18" s="29"/>
      <c r="AF18" s="15"/>
      <c r="AG18" s="16"/>
    </row>
    <row r="19" spans="1:33">
      <c r="A19" s="84" t="s">
        <v>44</v>
      </c>
      <c r="B19" s="84"/>
      <c r="C19" s="84" t="s">
        <v>43</v>
      </c>
      <c r="D19" s="84" t="s">
        <v>44</v>
      </c>
      <c r="E19" s="92">
        <v>58.33</v>
      </c>
      <c r="F19" s="105">
        <f>(E19*'Realized Pricing'!$L$2)/M19</f>
        <v>66.759326898130084</v>
      </c>
      <c r="G19" s="84" t="s">
        <v>42</v>
      </c>
      <c r="H19" s="84" t="s">
        <v>330</v>
      </c>
      <c r="I19" s="84" t="s">
        <v>44</v>
      </c>
      <c r="J19" s="225">
        <v>2.5640000000000001</v>
      </c>
      <c r="K19" s="236">
        <f>((J19-'Realized Pricing'!$B$32)/M19)*'Realized Pricing'!$L$7</f>
        <v>2.1677514320161042</v>
      </c>
      <c r="L19" s="19"/>
      <c r="M19" s="225">
        <v>0.82</v>
      </c>
      <c r="N19" s="84" t="s">
        <v>42</v>
      </c>
      <c r="O19" s="84"/>
      <c r="P19" s="229">
        <v>8</v>
      </c>
      <c r="Q19" s="230">
        <v>26.9</v>
      </c>
      <c r="R19" s="230">
        <v>35.4</v>
      </c>
      <c r="S19" s="47"/>
      <c r="T19" s="234">
        <f>SUMPRODUCT($P$4:$R$4,((P19:R19)/M19))*'Realized Pricing'!$L$12</f>
        <v>22.542804878048781</v>
      </c>
      <c r="U19" s="241">
        <f t="shared" si="0"/>
        <v>66.759326898130084</v>
      </c>
      <c r="V19" s="233">
        <f t="shared" si="1"/>
        <v>3.126829268292683</v>
      </c>
      <c r="Y19" s="29"/>
      <c r="Z19" s="29"/>
      <c r="AA19" s="29"/>
      <c r="AC19" s="29"/>
      <c r="AE19" s="29"/>
      <c r="AF19" s="15"/>
      <c r="AG19" s="16"/>
    </row>
    <row r="20" spans="1:33">
      <c r="A20" s="84" t="s">
        <v>47</v>
      </c>
      <c r="B20" s="84"/>
      <c r="C20" s="84" t="s">
        <v>46</v>
      </c>
      <c r="D20" s="84" t="s">
        <v>47</v>
      </c>
      <c r="E20" s="92">
        <v>58.18</v>
      </c>
      <c r="F20" s="105">
        <f>(E20*'Realized Pricing'!$L$2)/M20</f>
        <v>66.587650247440578</v>
      </c>
      <c r="G20" s="84" t="s">
        <v>45</v>
      </c>
      <c r="H20" s="84" t="s">
        <v>331</v>
      </c>
      <c r="I20" s="84" t="s">
        <v>47</v>
      </c>
      <c r="J20" s="225">
        <v>2.593</v>
      </c>
      <c r="K20" s="236">
        <f>((J20-'Realized Pricing'!$B$32)/M20)*'Realized Pricing'!$L$7</f>
        <v>2.2056443160261172</v>
      </c>
      <c r="L20" s="19"/>
      <c r="M20" s="225">
        <v>0.82</v>
      </c>
      <c r="N20" s="84" t="s">
        <v>45</v>
      </c>
      <c r="O20" s="84"/>
      <c r="P20" s="229">
        <v>8</v>
      </c>
      <c r="Q20" s="230">
        <v>26.9</v>
      </c>
      <c r="R20" s="230">
        <v>35.4</v>
      </c>
      <c r="S20" s="47"/>
      <c r="T20" s="234">
        <f>SUMPRODUCT($P$4:$R$4,((P20:R20)/M20))*'Realized Pricing'!$L$12</f>
        <v>22.542804878048781</v>
      </c>
      <c r="U20" s="241">
        <f t="shared" si="0"/>
        <v>66.587650247440578</v>
      </c>
      <c r="V20" s="233">
        <f t="shared" si="1"/>
        <v>3.1621951219512199</v>
      </c>
      <c r="Y20" s="29"/>
      <c r="Z20" s="29"/>
      <c r="AA20" s="29"/>
      <c r="AC20" s="29"/>
      <c r="AE20" s="29"/>
      <c r="AF20" s="15"/>
      <c r="AG20" s="16"/>
    </row>
    <row r="21" spans="1:33">
      <c r="A21" s="84" t="s">
        <v>50</v>
      </c>
      <c r="B21" s="84"/>
      <c r="C21" s="84" t="s">
        <v>49</v>
      </c>
      <c r="D21" s="84" t="s">
        <v>50</v>
      </c>
      <c r="E21" s="92">
        <v>57.99</v>
      </c>
      <c r="F21" s="105">
        <f>(E21*'Realized Pricing'!$L$2)/M21</f>
        <v>66.370193156567183</v>
      </c>
      <c r="G21" s="84" t="s">
        <v>48</v>
      </c>
      <c r="H21" s="84" t="s">
        <v>332</v>
      </c>
      <c r="I21" s="84" t="s">
        <v>50</v>
      </c>
      <c r="J21" s="225">
        <v>2.6230000000000002</v>
      </c>
      <c r="K21" s="236">
        <f>((J21-'Realized Pricing'!$B$32)/M21)*'Realized Pricing'!$L$7</f>
        <v>2.2448438512088891</v>
      </c>
      <c r="L21" s="19"/>
      <c r="M21" s="225">
        <v>0.82</v>
      </c>
      <c r="N21" s="84" t="s">
        <v>48</v>
      </c>
      <c r="O21" s="84"/>
      <c r="P21" s="229">
        <v>8</v>
      </c>
      <c r="Q21" s="230">
        <v>26.9</v>
      </c>
      <c r="R21" s="230">
        <v>35.4</v>
      </c>
      <c r="S21" s="47"/>
      <c r="T21" s="234">
        <f>SUMPRODUCT($P$4:$R$4,((P21:R21)/M21))*'Realized Pricing'!$L$12</f>
        <v>22.542804878048781</v>
      </c>
      <c r="U21" s="241">
        <f t="shared" si="0"/>
        <v>66.370193156567183</v>
      </c>
      <c r="V21" s="233">
        <f t="shared" si="1"/>
        <v>3.1987804878048784</v>
      </c>
      <c r="Y21" s="29"/>
      <c r="Z21" s="29"/>
      <c r="AA21" s="29"/>
      <c r="AC21" s="29"/>
      <c r="AE21" s="29"/>
      <c r="AF21" s="15"/>
      <c r="AG21" s="16"/>
    </row>
    <row r="22" spans="1:33">
      <c r="A22" s="84" t="s">
        <v>53</v>
      </c>
      <c r="B22" s="84"/>
      <c r="C22" s="84" t="s">
        <v>52</v>
      </c>
      <c r="D22" s="84" t="s">
        <v>53</v>
      </c>
      <c r="E22" s="92">
        <v>57.82</v>
      </c>
      <c r="F22" s="105">
        <f>(E22*'Realized Pricing'!$L$2)/M22</f>
        <v>66.175626285785739</v>
      </c>
      <c r="G22" s="84" t="s">
        <v>51</v>
      </c>
      <c r="H22" s="84" t="s">
        <v>333</v>
      </c>
      <c r="I22" s="84" t="s">
        <v>53</v>
      </c>
      <c r="J22" s="225">
        <v>2.6240000000000001</v>
      </c>
      <c r="K22" s="236">
        <f>((J22-'Realized Pricing'!$B$32)/M22)*'Realized Pricing'!$L$7</f>
        <v>2.2461505023816479</v>
      </c>
      <c r="L22" s="19"/>
      <c r="M22" s="225">
        <v>0.82</v>
      </c>
      <c r="N22" s="84" t="s">
        <v>51</v>
      </c>
      <c r="O22" s="84"/>
      <c r="P22" s="229">
        <v>8</v>
      </c>
      <c r="Q22" s="230">
        <v>26.9</v>
      </c>
      <c r="R22" s="230">
        <v>35.4</v>
      </c>
      <c r="S22" s="47"/>
      <c r="T22" s="234">
        <f>SUMPRODUCT($P$4:$R$4,((P22:R22)/M22))*'Realized Pricing'!$L$12</f>
        <v>22.542804878048781</v>
      </c>
      <c r="U22" s="241">
        <f t="shared" si="0"/>
        <v>66.175626285785739</v>
      </c>
      <c r="V22" s="233">
        <f t="shared" si="1"/>
        <v>3.2</v>
      </c>
      <c r="Y22" s="29"/>
      <c r="Z22" s="29"/>
      <c r="AA22" s="29"/>
      <c r="AC22" s="29"/>
      <c r="AE22" s="29"/>
      <c r="AF22" s="15"/>
      <c r="AG22" s="16"/>
    </row>
    <row r="23" spans="1:33">
      <c r="A23" s="84" t="s">
        <v>56</v>
      </c>
      <c r="B23" s="84"/>
      <c r="C23" s="84" t="s">
        <v>55</v>
      </c>
      <c r="D23" s="84" t="s">
        <v>56</v>
      </c>
      <c r="E23" s="92">
        <v>57.69</v>
      </c>
      <c r="F23" s="105">
        <f>(E23*'Realized Pricing'!$L$2)/M23</f>
        <v>66.026839855188157</v>
      </c>
      <c r="G23" s="84" t="s">
        <v>54</v>
      </c>
      <c r="H23" s="84" t="s">
        <v>334</v>
      </c>
      <c r="I23" s="84" t="s">
        <v>56</v>
      </c>
      <c r="J23" s="225">
        <v>2.605</v>
      </c>
      <c r="K23" s="236">
        <f>((J23-'Realized Pricing'!$B$32)/M23)*'Realized Pricing'!$L$7</f>
        <v>2.2213241300992257</v>
      </c>
      <c r="L23" s="19"/>
      <c r="M23" s="225">
        <v>0.82</v>
      </c>
      <c r="N23" s="84" t="s">
        <v>54</v>
      </c>
      <c r="O23" s="84"/>
      <c r="P23" s="229">
        <v>8</v>
      </c>
      <c r="Q23" s="230">
        <v>26.9</v>
      </c>
      <c r="R23" s="230">
        <v>35.4</v>
      </c>
      <c r="S23" s="47"/>
      <c r="T23" s="234">
        <f>SUMPRODUCT($P$4:$R$4,((P23:R23)/M23))*'Realized Pricing'!$L$12</f>
        <v>22.542804878048781</v>
      </c>
      <c r="U23" s="241">
        <f t="shared" si="0"/>
        <v>66.026839855188157</v>
      </c>
      <c r="V23" s="233">
        <f t="shared" si="1"/>
        <v>3.1768292682926833</v>
      </c>
      <c r="Y23" s="29"/>
      <c r="Z23" s="29"/>
      <c r="AA23" s="29"/>
      <c r="AC23" s="29"/>
      <c r="AE23" s="29"/>
      <c r="AF23" s="15"/>
      <c r="AG23" s="16"/>
    </row>
    <row r="24" spans="1:33">
      <c r="A24" s="84" t="s">
        <v>59</v>
      </c>
      <c r="B24" s="84"/>
      <c r="C24" s="84" t="s">
        <v>58</v>
      </c>
      <c r="D24" s="84" t="s">
        <v>59</v>
      </c>
      <c r="E24" s="92">
        <v>57.57</v>
      </c>
      <c r="F24" s="105">
        <f>(E24*'Realized Pricing'!$L$2)/M24</f>
        <v>65.889498534636544</v>
      </c>
      <c r="G24" s="84" t="s">
        <v>57</v>
      </c>
      <c r="H24" s="84" t="s">
        <v>335</v>
      </c>
      <c r="I24" s="84" t="s">
        <v>59</v>
      </c>
      <c r="J24" s="225">
        <v>2.6240000000000001</v>
      </c>
      <c r="K24" s="236">
        <f>((J24-'Realized Pricing'!$B$32)/M24)*'Realized Pricing'!$L$7</f>
        <v>2.2461505023816479</v>
      </c>
      <c r="L24" s="19"/>
      <c r="M24" s="225">
        <v>0.82</v>
      </c>
      <c r="N24" s="84" t="s">
        <v>57</v>
      </c>
      <c r="O24" s="84"/>
      <c r="P24" s="229">
        <v>8</v>
      </c>
      <c r="Q24" s="230">
        <v>26.9</v>
      </c>
      <c r="R24" s="230">
        <v>35.4</v>
      </c>
      <c r="S24" s="47"/>
      <c r="T24" s="234">
        <f>SUMPRODUCT($P$4:$R$4,((P24:R24)/M24))*'Realized Pricing'!$L$12</f>
        <v>22.542804878048781</v>
      </c>
      <c r="U24" s="241">
        <f t="shared" si="0"/>
        <v>65.889498534636544</v>
      </c>
      <c r="V24" s="233">
        <f t="shared" si="1"/>
        <v>3.2</v>
      </c>
      <c r="Y24" s="29"/>
      <c r="Z24" s="29"/>
      <c r="AA24" s="29"/>
      <c r="AC24" s="29"/>
      <c r="AE24" s="29"/>
      <c r="AF24" s="15"/>
      <c r="AG24" s="16"/>
    </row>
    <row r="25" spans="1:33">
      <c r="A25" s="84" t="s">
        <v>62</v>
      </c>
      <c r="B25" s="84"/>
      <c r="C25" s="84" t="s">
        <v>61</v>
      </c>
      <c r="D25" s="84" t="s">
        <v>62</v>
      </c>
      <c r="E25" s="92">
        <v>57.46</v>
      </c>
      <c r="F25" s="105">
        <f>(E25*'Realized Pricing'!$L$2)/M25</f>
        <v>65.7636023241309</v>
      </c>
      <c r="G25" s="84" t="s">
        <v>60</v>
      </c>
      <c r="H25" s="84" t="s">
        <v>336</v>
      </c>
      <c r="I25" s="84" t="s">
        <v>62</v>
      </c>
      <c r="J25" s="225">
        <v>2.6669999999999998</v>
      </c>
      <c r="K25" s="236">
        <f>((J25-'Realized Pricing'!$B$32)/M25)*'Realized Pricing'!$L$7</f>
        <v>2.3023365028102871</v>
      </c>
      <c r="L25" s="19"/>
      <c r="M25" s="225">
        <v>0.82</v>
      </c>
      <c r="N25" s="84" t="s">
        <v>60</v>
      </c>
      <c r="O25" s="84"/>
      <c r="P25" s="229">
        <v>8</v>
      </c>
      <c r="Q25" s="230">
        <v>26.9</v>
      </c>
      <c r="R25" s="230">
        <v>35.4</v>
      </c>
      <c r="S25" s="47"/>
      <c r="T25" s="234">
        <f>SUMPRODUCT($P$4:$R$4,((P25:R25)/M25))*'Realized Pricing'!$L$12</f>
        <v>22.542804878048781</v>
      </c>
      <c r="U25" s="241">
        <f t="shared" si="0"/>
        <v>65.7636023241309</v>
      </c>
      <c r="V25" s="233">
        <f t="shared" si="1"/>
        <v>3.2524390243902439</v>
      </c>
      <c r="Y25" s="29"/>
      <c r="Z25" s="29"/>
      <c r="AA25" s="29"/>
      <c r="AC25" s="29"/>
      <c r="AE25" s="29"/>
      <c r="AF25" s="15"/>
      <c r="AG25" s="16"/>
    </row>
    <row r="26" spans="1:33">
      <c r="A26" s="84" t="s">
        <v>65</v>
      </c>
      <c r="B26" s="84"/>
      <c r="C26" s="84" t="s">
        <v>64</v>
      </c>
      <c r="D26" s="84" t="s">
        <v>65</v>
      </c>
      <c r="E26" s="92">
        <v>57.37</v>
      </c>
      <c r="F26" s="105">
        <f>(E26*'Realized Pricing'!$L$2)/M26</f>
        <v>65.66059633371718</v>
      </c>
      <c r="G26" s="84" t="s">
        <v>63</v>
      </c>
      <c r="H26" s="84" t="s">
        <v>337</v>
      </c>
      <c r="I26" s="84" t="s">
        <v>65</v>
      </c>
      <c r="J26" s="225">
        <v>2.819</v>
      </c>
      <c r="K26" s="236">
        <f>((J26-'Realized Pricing'!$B$32)/M26)*'Realized Pricing'!$L$7</f>
        <v>2.5009474810696646</v>
      </c>
      <c r="L26" s="19"/>
      <c r="M26" s="225">
        <v>0.82</v>
      </c>
      <c r="N26" s="84" t="s">
        <v>63</v>
      </c>
      <c r="O26" s="84"/>
      <c r="P26" s="229">
        <v>8</v>
      </c>
      <c r="Q26" s="230">
        <v>26.9</v>
      </c>
      <c r="R26" s="230">
        <v>35.4</v>
      </c>
      <c r="S26" s="47"/>
      <c r="T26" s="234">
        <f>SUMPRODUCT($P$4:$R$4,((P26:R26)/M26))*'Realized Pricing'!$L$12</f>
        <v>22.542804878048781</v>
      </c>
      <c r="U26" s="241">
        <f t="shared" si="0"/>
        <v>65.66059633371718</v>
      </c>
      <c r="V26" s="233">
        <f t="shared" si="1"/>
        <v>3.4378048780487807</v>
      </c>
      <c r="Y26" s="29"/>
      <c r="Z26" s="29"/>
      <c r="AA26" s="29"/>
      <c r="AC26" s="29"/>
      <c r="AE26" s="29"/>
      <c r="AF26" s="15"/>
      <c r="AG26" s="16"/>
    </row>
    <row r="27" spans="1:33">
      <c r="A27" s="84" t="s">
        <v>68</v>
      </c>
      <c r="B27" s="84"/>
      <c r="C27" s="84" t="s">
        <v>67</v>
      </c>
      <c r="D27" s="84" t="s">
        <v>68</v>
      </c>
      <c r="E27" s="92">
        <v>57.19</v>
      </c>
      <c r="F27" s="105">
        <f>(E27*'Realized Pricing'!$L$2)/M27</f>
        <v>65.454584352889754</v>
      </c>
      <c r="G27" s="84" t="s">
        <v>66</v>
      </c>
      <c r="H27" s="84" t="s">
        <v>338</v>
      </c>
      <c r="I27" s="84" t="s">
        <v>68</v>
      </c>
      <c r="J27" s="225">
        <v>2.9380000000000002</v>
      </c>
      <c r="K27" s="236">
        <f>((J27-'Realized Pricing'!$B$32)/M27)*'Realized Pricing'!$L$7</f>
        <v>2.6564389706279932</v>
      </c>
      <c r="L27" s="19"/>
      <c r="M27" s="225">
        <v>0.82</v>
      </c>
      <c r="N27" s="84" t="s">
        <v>66</v>
      </c>
      <c r="O27" s="84"/>
      <c r="P27" s="229">
        <v>9.4</v>
      </c>
      <c r="Q27" s="229">
        <v>28.9</v>
      </c>
      <c r="R27" s="229">
        <v>43.1</v>
      </c>
      <c r="S27" s="47"/>
      <c r="T27" s="234">
        <f>SUMPRODUCT($P$4:$R$4,((P27:R27)/M27))*'Realized Pricing'!$L$12</f>
        <v>25.887073170731711</v>
      </c>
      <c r="U27" s="241">
        <f t="shared" si="0"/>
        <v>65.454584352889754</v>
      </c>
      <c r="V27" s="233">
        <f t="shared" si="1"/>
        <v>3.5829268292682932</v>
      </c>
      <c r="Y27" s="29"/>
      <c r="Z27" s="29"/>
      <c r="AA27" s="29"/>
      <c r="AC27" s="29"/>
      <c r="AE27" s="29"/>
      <c r="AF27" s="15"/>
      <c r="AG27" s="16"/>
    </row>
    <row r="28" spans="1:33">
      <c r="A28" s="84" t="s">
        <v>70</v>
      </c>
      <c r="B28" s="84"/>
      <c r="C28" s="84" t="s">
        <v>69</v>
      </c>
      <c r="D28" s="84" t="s">
        <v>70</v>
      </c>
      <c r="E28" s="92">
        <v>57</v>
      </c>
      <c r="F28" s="105">
        <f>(E28*'Realized Pricing'!$L$2)/M28</f>
        <v>65.237127262016386</v>
      </c>
      <c r="G28" s="84" t="s">
        <v>560</v>
      </c>
      <c r="H28" s="84" t="s">
        <v>339</v>
      </c>
      <c r="I28" s="84" t="s">
        <v>70</v>
      </c>
      <c r="J28" s="225">
        <v>2.8839999999999999</v>
      </c>
      <c r="K28" s="236">
        <f>((J28-'Realized Pricing'!$B$32)/M28)*'Realized Pricing'!$L$7</f>
        <v>2.5858798072990035</v>
      </c>
      <c r="L28" s="19"/>
      <c r="M28" s="225">
        <v>0.82</v>
      </c>
      <c r="N28" s="84" t="s">
        <v>560</v>
      </c>
      <c r="O28" s="84"/>
      <c r="P28" s="229">
        <v>9.4</v>
      </c>
      <c r="Q28" s="229">
        <v>28.9</v>
      </c>
      <c r="R28" s="229">
        <v>43.1</v>
      </c>
      <c r="S28" s="47"/>
      <c r="T28" s="234">
        <f>SUMPRODUCT($P$4:$R$4,((P28:R28)/M28))*'Realized Pricing'!$L$12</f>
        <v>25.887073170731711</v>
      </c>
      <c r="U28" s="241">
        <f t="shared" si="0"/>
        <v>65.237127262016386</v>
      </c>
      <c r="V28" s="233">
        <f t="shared" si="1"/>
        <v>3.5170731707317073</v>
      </c>
      <c r="Y28" s="29"/>
      <c r="Z28" s="29"/>
      <c r="AA28" s="29"/>
      <c r="AC28" s="31"/>
      <c r="AE28" s="29"/>
      <c r="AF28" s="17"/>
      <c r="AG28" s="18"/>
    </row>
    <row r="29" spans="1:33">
      <c r="A29" s="84" t="s">
        <v>73</v>
      </c>
      <c r="B29" s="84"/>
      <c r="C29" s="84" t="s">
        <v>72</v>
      </c>
      <c r="D29" s="84" t="s">
        <v>73</v>
      </c>
      <c r="E29" s="92">
        <v>56.84</v>
      </c>
      <c r="F29" s="105">
        <f>(E29*'Realized Pricing'!$L$2)/M29</f>
        <v>65.054005501280898</v>
      </c>
      <c r="G29" s="84" t="s">
        <v>71</v>
      </c>
      <c r="H29" s="84" t="s">
        <v>340</v>
      </c>
      <c r="I29" s="84" t="s">
        <v>73</v>
      </c>
      <c r="J29" s="225">
        <v>2.74</v>
      </c>
      <c r="K29" s="236">
        <f>((J29-'Realized Pricing'!$B$32)/M29)*'Realized Pricing'!$L$7</f>
        <v>2.3977220384216991</v>
      </c>
      <c r="L29" s="19"/>
      <c r="M29" s="225">
        <v>0.82</v>
      </c>
      <c r="N29" s="84" t="s">
        <v>71</v>
      </c>
      <c r="O29" s="84"/>
      <c r="P29" s="229">
        <v>9.4</v>
      </c>
      <c r="Q29" s="229">
        <v>28.9</v>
      </c>
      <c r="R29" s="229">
        <v>43.1</v>
      </c>
      <c r="S29" s="47"/>
      <c r="T29" s="234">
        <f>SUMPRODUCT($P$4:$R$4,((P29:R29)/M29))*'Realized Pricing'!$L$12</f>
        <v>25.887073170731711</v>
      </c>
      <c r="U29" s="241">
        <f t="shared" si="0"/>
        <v>65.054005501280898</v>
      </c>
      <c r="V29" s="233">
        <f t="shared" si="1"/>
        <v>3.3414634146341466</v>
      </c>
      <c r="Y29" s="29"/>
      <c r="Z29" s="29"/>
      <c r="AA29" s="29"/>
      <c r="AC29" s="31"/>
      <c r="AE29" s="29"/>
      <c r="AF29" s="17"/>
      <c r="AG29" s="18"/>
    </row>
    <row r="30" spans="1:33">
      <c r="A30" s="84" t="s">
        <v>76</v>
      </c>
      <c r="B30" s="84"/>
      <c r="C30" s="84" t="s">
        <v>75</v>
      </c>
      <c r="D30" s="84" t="s">
        <v>76</v>
      </c>
      <c r="E30" s="92">
        <v>56.69</v>
      </c>
      <c r="F30" s="105">
        <f>(E30*'Realized Pricing'!$L$2)/M30</f>
        <v>64.882328850591378</v>
      </c>
      <c r="G30" s="84" t="s">
        <v>74</v>
      </c>
      <c r="H30" s="84" t="s">
        <v>341</v>
      </c>
      <c r="I30" s="84" t="s">
        <v>76</v>
      </c>
      <c r="J30" s="225">
        <v>2.4860000000000002</v>
      </c>
      <c r="K30" s="236">
        <f>((J30-'Realized Pricing'!$B$32)/M30)*'Realized Pricing'!$L$7</f>
        <v>2.065832640540898</v>
      </c>
      <c r="L30" s="19"/>
      <c r="M30" s="225">
        <v>0.82</v>
      </c>
      <c r="N30" s="84" t="s">
        <v>74</v>
      </c>
      <c r="O30" s="84"/>
      <c r="P30" s="229">
        <v>9.4</v>
      </c>
      <c r="Q30" s="229">
        <v>28.9</v>
      </c>
      <c r="R30" s="229">
        <v>43.1</v>
      </c>
      <c r="S30" s="47"/>
      <c r="T30" s="234">
        <f>SUMPRODUCT($P$4:$R$4,((P30:R30)/M30))*'Realized Pricing'!$L$12</f>
        <v>25.887073170731711</v>
      </c>
      <c r="U30" s="241">
        <f t="shared" si="0"/>
        <v>64.882328850591378</v>
      </c>
      <c r="V30" s="233">
        <f t="shared" si="1"/>
        <v>3.0317073170731712</v>
      </c>
      <c r="Y30" s="29"/>
      <c r="Z30" s="29"/>
      <c r="AA30" s="29"/>
      <c r="AC30" s="31"/>
      <c r="AE30" s="29"/>
      <c r="AF30" s="17"/>
      <c r="AG30" s="18"/>
    </row>
    <row r="31" spans="1:33">
      <c r="A31" s="84" t="s">
        <v>79</v>
      </c>
      <c r="B31" s="84"/>
      <c r="C31" s="84" t="s">
        <v>78</v>
      </c>
      <c r="D31" s="84" t="s">
        <v>79</v>
      </c>
      <c r="E31" s="92">
        <v>56.56</v>
      </c>
      <c r="F31" s="105">
        <f>(E31*'Realized Pricing'!$L$2)/M31</f>
        <v>64.733542419993796</v>
      </c>
      <c r="G31" s="84" t="s">
        <v>77</v>
      </c>
      <c r="H31" s="84" t="s">
        <v>342</v>
      </c>
      <c r="I31" s="84" t="s">
        <v>79</v>
      </c>
      <c r="J31" s="225">
        <v>2.4540000000000002</v>
      </c>
      <c r="K31" s="236">
        <f>((J31-'Realized Pricing'!$B$32)/M31)*'Realized Pricing'!$L$7</f>
        <v>2.024019803012608</v>
      </c>
      <c r="L31" s="19"/>
      <c r="M31" s="225">
        <v>0.82</v>
      </c>
      <c r="N31" s="84" t="s">
        <v>77</v>
      </c>
      <c r="O31" s="84"/>
      <c r="P31" s="229">
        <v>9.4</v>
      </c>
      <c r="Q31" s="229">
        <v>28.9</v>
      </c>
      <c r="R31" s="229">
        <v>43.1</v>
      </c>
      <c r="S31" s="47"/>
      <c r="T31" s="234">
        <f>SUMPRODUCT($P$4:$R$4,((P31:R31)/M31))*'Realized Pricing'!$L$12</f>
        <v>25.887073170731711</v>
      </c>
      <c r="U31" s="241">
        <f t="shared" si="0"/>
        <v>64.733542419993796</v>
      </c>
      <c r="V31" s="233">
        <f t="shared" si="1"/>
        <v>2.9926829268292687</v>
      </c>
      <c r="Y31" s="29"/>
      <c r="Z31" s="29"/>
      <c r="AA31" s="29"/>
      <c r="AC31" s="31"/>
      <c r="AE31" s="29"/>
      <c r="AF31" s="17"/>
      <c r="AG31" s="18"/>
    </row>
    <row r="32" spans="1:33">
      <c r="A32" s="84" t="s">
        <v>82</v>
      </c>
      <c r="B32" s="84"/>
      <c r="C32" s="84" t="s">
        <v>81</v>
      </c>
      <c r="D32" s="84" t="s">
        <v>82</v>
      </c>
      <c r="E32" s="92">
        <v>56.46</v>
      </c>
      <c r="F32" s="105">
        <f>(E32*'Realized Pricing'!$L$2)/M32</f>
        <v>64.619091319534121</v>
      </c>
      <c r="G32" s="84" t="s">
        <v>80</v>
      </c>
      <c r="H32" s="84" t="s">
        <v>343</v>
      </c>
      <c r="I32" s="84" t="s">
        <v>82</v>
      </c>
      <c r="J32" s="225">
        <v>2.492</v>
      </c>
      <c r="K32" s="236">
        <f>((J32-'Realized Pricing'!$B$32)/M32)*'Realized Pricing'!$L$7</f>
        <v>2.073672547577452</v>
      </c>
      <c r="L32" s="19"/>
      <c r="M32" s="225">
        <v>0.82</v>
      </c>
      <c r="N32" s="84" t="s">
        <v>80</v>
      </c>
      <c r="O32" s="84"/>
      <c r="P32" s="229">
        <v>9.4</v>
      </c>
      <c r="Q32" s="229">
        <v>28.9</v>
      </c>
      <c r="R32" s="229">
        <v>43.1</v>
      </c>
      <c r="S32" s="47"/>
      <c r="T32" s="234">
        <f>SUMPRODUCT($P$4:$R$4,((P32:R32)/M32))*'Realized Pricing'!$L$12</f>
        <v>25.887073170731711</v>
      </c>
      <c r="U32" s="241">
        <f t="shared" si="0"/>
        <v>64.619091319534121</v>
      </c>
      <c r="V32" s="233">
        <f t="shared" si="1"/>
        <v>3.0390243902439025</v>
      </c>
      <c r="Y32" s="29"/>
      <c r="Z32" s="29"/>
      <c r="AA32" s="29"/>
      <c r="AC32" s="31"/>
      <c r="AE32" s="29"/>
      <c r="AF32" s="17"/>
      <c r="AG32" s="18"/>
    </row>
    <row r="33" spans="1:33">
      <c r="A33" s="84" t="s">
        <v>85</v>
      </c>
      <c r="B33" s="84"/>
      <c r="C33" s="84" t="s">
        <v>84</v>
      </c>
      <c r="D33" s="84" t="s">
        <v>85</v>
      </c>
      <c r="E33" s="92">
        <v>56.32</v>
      </c>
      <c r="F33" s="105">
        <f>(E33*'Realized Pricing'!$L$2)/M33</f>
        <v>64.45885977889057</v>
      </c>
      <c r="G33" s="84" t="s">
        <v>83</v>
      </c>
      <c r="H33" s="84" t="s">
        <v>344</v>
      </c>
      <c r="I33" s="84" t="s">
        <v>85</v>
      </c>
      <c r="J33" s="225">
        <v>2.5329999999999999</v>
      </c>
      <c r="K33" s="236">
        <f>((J33-'Realized Pricing'!$B$32)/M33)*'Realized Pricing'!$L$7</f>
        <v>2.127245245660573</v>
      </c>
      <c r="L33" s="19"/>
      <c r="M33" s="225">
        <v>0.82</v>
      </c>
      <c r="N33" s="84" t="s">
        <v>83</v>
      </c>
      <c r="O33" s="84"/>
      <c r="P33" s="229">
        <v>9.4</v>
      </c>
      <c r="Q33" s="229">
        <v>28.9</v>
      </c>
      <c r="R33" s="229">
        <v>43.1</v>
      </c>
      <c r="S33" s="47"/>
      <c r="T33" s="234">
        <f>SUMPRODUCT($P$4:$R$4,((P33:R33)/M33))*'Realized Pricing'!$L$12</f>
        <v>25.887073170731711</v>
      </c>
      <c r="U33" s="241">
        <f t="shared" si="0"/>
        <v>64.45885977889057</v>
      </c>
      <c r="V33" s="233">
        <f t="shared" si="1"/>
        <v>3.0890243902439027</v>
      </c>
      <c r="Y33" s="29"/>
      <c r="Z33" s="29"/>
      <c r="AA33" s="29"/>
      <c r="AC33" s="31"/>
      <c r="AE33" s="29"/>
      <c r="AF33" s="17"/>
      <c r="AG33" s="18"/>
    </row>
    <row r="34" spans="1:33">
      <c r="A34" s="84" t="s">
        <v>88</v>
      </c>
      <c r="B34" s="84"/>
      <c r="C34" s="84" t="s">
        <v>87</v>
      </c>
      <c r="D34" s="84" t="s">
        <v>88</v>
      </c>
      <c r="E34" s="92">
        <v>56.19</v>
      </c>
      <c r="F34" s="105">
        <f>(E34*'Realized Pricing'!$L$2)/M34</f>
        <v>64.310073348292988</v>
      </c>
      <c r="G34" s="84" t="s">
        <v>86</v>
      </c>
      <c r="H34" s="84" t="s">
        <v>345</v>
      </c>
      <c r="I34" s="84" t="s">
        <v>88</v>
      </c>
      <c r="J34" s="225">
        <v>2.5470000000000002</v>
      </c>
      <c r="K34" s="236">
        <f>((J34-'Realized Pricing'!$B$32)/M34)*'Realized Pricing'!$L$7</f>
        <v>2.1455383620792001</v>
      </c>
      <c r="L34" s="19"/>
      <c r="M34" s="225">
        <v>0.82</v>
      </c>
      <c r="N34" s="84" t="s">
        <v>86</v>
      </c>
      <c r="O34" s="84"/>
      <c r="P34" s="229">
        <v>9.4</v>
      </c>
      <c r="Q34" s="229">
        <v>28.9</v>
      </c>
      <c r="R34" s="229">
        <v>43.1</v>
      </c>
      <c r="S34" s="47"/>
      <c r="T34" s="234">
        <f>SUMPRODUCT($P$4:$R$4,((P34:R34)/M34))*'Realized Pricing'!$L$12</f>
        <v>25.887073170731711</v>
      </c>
      <c r="U34" s="241">
        <f t="shared" si="0"/>
        <v>64.310073348292988</v>
      </c>
      <c r="V34" s="233">
        <f t="shared" si="1"/>
        <v>3.1060975609756101</v>
      </c>
      <c r="Y34" s="29"/>
      <c r="Z34" s="29"/>
      <c r="AA34" s="29"/>
      <c r="AC34" s="31"/>
      <c r="AE34" s="29"/>
      <c r="AF34" s="17"/>
      <c r="AG34" s="18"/>
    </row>
    <row r="35" spans="1:33">
      <c r="A35" s="84" t="s">
        <v>91</v>
      </c>
      <c r="B35" s="84"/>
      <c r="C35" s="84" t="s">
        <v>90</v>
      </c>
      <c r="D35" s="84" t="s">
        <v>91</v>
      </c>
      <c r="E35" s="92">
        <v>56.08</v>
      </c>
      <c r="F35" s="105">
        <f>(E35*'Realized Pricing'!$L$2)/M35</f>
        <v>64.184177137787344</v>
      </c>
      <c r="G35" s="84" t="s">
        <v>89</v>
      </c>
      <c r="H35" s="84" t="s">
        <v>346</v>
      </c>
      <c r="I35" s="84" t="s">
        <v>91</v>
      </c>
      <c r="J35" s="225">
        <v>2.544</v>
      </c>
      <c r="K35" s="236">
        <f>((J35-'Realized Pricing'!$B$32)/M35)*'Realized Pricing'!$L$7</f>
        <v>2.1416184085609231</v>
      </c>
      <c r="L35" s="19"/>
      <c r="M35" s="225">
        <v>0.82</v>
      </c>
      <c r="N35" s="84" t="s">
        <v>89</v>
      </c>
      <c r="O35" s="84"/>
      <c r="P35" s="229">
        <v>9.4</v>
      </c>
      <c r="Q35" s="229">
        <v>28.9</v>
      </c>
      <c r="R35" s="229">
        <v>43.1</v>
      </c>
      <c r="S35" s="47"/>
      <c r="T35" s="234">
        <f>SUMPRODUCT($P$4:$R$4,((P35:R35)/M35))*'Realized Pricing'!$L$12</f>
        <v>25.887073170731711</v>
      </c>
      <c r="U35" s="241">
        <f t="shared" si="0"/>
        <v>64.184177137787344</v>
      </c>
      <c r="V35" s="233">
        <f t="shared" si="1"/>
        <v>3.102439024390244</v>
      </c>
      <c r="Y35" s="29"/>
      <c r="Z35" s="29"/>
      <c r="AA35" s="29"/>
      <c r="AC35" s="31"/>
      <c r="AE35" s="29"/>
      <c r="AF35" s="17"/>
      <c r="AG35" s="18"/>
    </row>
    <row r="36" spans="1:33">
      <c r="A36" s="84" t="s">
        <v>94</v>
      </c>
      <c r="B36" s="84"/>
      <c r="C36" s="84" t="s">
        <v>93</v>
      </c>
      <c r="D36" s="84" t="s">
        <v>94</v>
      </c>
      <c r="E36" s="92">
        <v>55.99</v>
      </c>
      <c r="F36" s="105">
        <f>(E36*'Realized Pricing'!$L$2)/M36</f>
        <v>64.081171147373638</v>
      </c>
      <c r="G36" s="84" t="s">
        <v>92</v>
      </c>
      <c r="H36" s="84" t="s">
        <v>347</v>
      </c>
      <c r="I36" s="84" t="s">
        <v>94</v>
      </c>
      <c r="J36" s="225">
        <v>2.573</v>
      </c>
      <c r="K36" s="236">
        <f>((J36-'Realized Pricing'!$B$32)/M36)*'Realized Pricing'!$L$7</f>
        <v>2.1795112925709361</v>
      </c>
      <c r="L36" s="19"/>
      <c r="M36" s="225">
        <v>0.82</v>
      </c>
      <c r="N36" s="84" t="s">
        <v>92</v>
      </c>
      <c r="O36" s="84"/>
      <c r="P36" s="229">
        <v>9.4</v>
      </c>
      <c r="Q36" s="229">
        <v>28.9</v>
      </c>
      <c r="R36" s="229">
        <v>43.1</v>
      </c>
      <c r="S36" s="47"/>
      <c r="T36" s="234">
        <f>SUMPRODUCT($P$4:$R$4,((P36:R36)/M36))*'Realized Pricing'!$L$12</f>
        <v>25.887073170731711</v>
      </c>
      <c r="U36" s="241">
        <f t="shared" si="0"/>
        <v>64.081171147373638</v>
      </c>
      <c r="V36" s="233">
        <f t="shared" si="1"/>
        <v>3.1378048780487808</v>
      </c>
      <c r="Y36" s="29"/>
      <c r="Z36" s="29"/>
      <c r="AA36" s="29"/>
      <c r="AC36" s="31"/>
      <c r="AE36" s="29"/>
      <c r="AF36" s="17"/>
      <c r="AG36" s="18"/>
    </row>
    <row r="37" spans="1:33">
      <c r="A37" s="84" t="s">
        <v>97</v>
      </c>
      <c r="B37" s="84"/>
      <c r="C37" s="84" t="s">
        <v>96</v>
      </c>
      <c r="D37" s="84" t="s">
        <v>97</v>
      </c>
      <c r="E37" s="92">
        <v>55.91</v>
      </c>
      <c r="F37" s="105">
        <f>(E37*'Realized Pricing'!$L$2)/M37</f>
        <v>63.989610267005887</v>
      </c>
      <c r="G37" s="84" t="s">
        <v>95</v>
      </c>
      <c r="H37" s="84" t="s">
        <v>348</v>
      </c>
      <c r="I37" s="84" t="s">
        <v>97</v>
      </c>
      <c r="J37" s="225">
        <v>2.63</v>
      </c>
      <c r="K37" s="236">
        <f>((J37-'Realized Pricing'!$B$32)/M37)*'Realized Pricing'!$L$7</f>
        <v>2.2539904094182024</v>
      </c>
      <c r="L37" s="19"/>
      <c r="M37" s="225">
        <v>0.82</v>
      </c>
      <c r="N37" s="84" t="s">
        <v>95</v>
      </c>
      <c r="O37" s="84"/>
      <c r="P37" s="229">
        <v>9.4</v>
      </c>
      <c r="Q37" s="229">
        <v>28.9</v>
      </c>
      <c r="R37" s="229">
        <v>43.1</v>
      </c>
      <c r="S37" s="47"/>
      <c r="T37" s="234">
        <f>SUMPRODUCT($P$4:$R$4,((P37:R37)/M37))*'Realized Pricing'!$L$12</f>
        <v>25.887073170731711</v>
      </c>
      <c r="U37" s="241">
        <f t="shared" si="0"/>
        <v>63.989610267005887</v>
      </c>
      <c r="V37" s="233">
        <f t="shared" ref="V37:V68" si="2">J37/M37</f>
        <v>3.2073170731707319</v>
      </c>
      <c r="Y37" s="29"/>
      <c r="Z37" s="29"/>
      <c r="AA37" s="29"/>
      <c r="AC37" s="31"/>
      <c r="AE37" s="29"/>
      <c r="AF37" s="17"/>
      <c r="AG37" s="18"/>
    </row>
    <row r="38" spans="1:33">
      <c r="A38" s="84" t="s">
        <v>100</v>
      </c>
      <c r="B38" s="84"/>
      <c r="C38" s="84" t="s">
        <v>99</v>
      </c>
      <c r="D38" s="84" t="s">
        <v>100</v>
      </c>
      <c r="E38" s="92">
        <v>55.85</v>
      </c>
      <c r="F38" s="105">
        <f>(E38*'Realized Pricing'!$L$2)/M38</f>
        <v>63.92093960673008</v>
      </c>
      <c r="G38" s="84" t="s">
        <v>98</v>
      </c>
      <c r="H38" s="84" t="s">
        <v>349</v>
      </c>
      <c r="I38" s="84" t="s">
        <v>100</v>
      </c>
      <c r="J38" s="225">
        <v>2.82</v>
      </c>
      <c r="K38" s="236">
        <f>((J38-'Realized Pricing'!$B$32)/M38)*'Realized Pricing'!$L$7</f>
        <v>2.5022541322424234</v>
      </c>
      <c r="L38" s="19"/>
      <c r="M38" s="225">
        <v>0.82</v>
      </c>
      <c r="N38" s="84" t="s">
        <v>98</v>
      </c>
      <c r="O38" s="84"/>
      <c r="P38" s="229">
        <v>9.4</v>
      </c>
      <c r="Q38" s="229">
        <v>28.9</v>
      </c>
      <c r="R38" s="229">
        <v>43.1</v>
      </c>
      <c r="S38" s="47"/>
      <c r="T38" s="234">
        <f>SUMPRODUCT($P$4:$R$4,((P38:R38)/M38))*'Realized Pricing'!$L$12</f>
        <v>25.887073170731711</v>
      </c>
      <c r="U38" s="241">
        <f t="shared" si="0"/>
        <v>63.92093960673008</v>
      </c>
      <c r="V38" s="233">
        <f t="shared" si="2"/>
        <v>3.4390243902439024</v>
      </c>
      <c r="Y38" s="29"/>
      <c r="Z38" s="29"/>
      <c r="AA38" s="29"/>
      <c r="AC38" s="31"/>
      <c r="AE38" s="29"/>
      <c r="AF38" s="17"/>
      <c r="AG38" s="18"/>
    </row>
    <row r="39" spans="1:33">
      <c r="A39" s="84" t="s">
        <v>103</v>
      </c>
      <c r="B39" s="84"/>
      <c r="C39" s="84" t="s">
        <v>102</v>
      </c>
      <c r="D39" s="84" t="s">
        <v>103</v>
      </c>
      <c r="E39" s="92">
        <v>55.71</v>
      </c>
      <c r="F39" s="105">
        <f>(E39*'Realized Pricing'!$L$2)/M39</f>
        <v>63.760708066086529</v>
      </c>
      <c r="G39" s="84" t="s">
        <v>101</v>
      </c>
      <c r="H39" s="84" t="s">
        <v>350</v>
      </c>
      <c r="I39" s="84" t="s">
        <v>103</v>
      </c>
      <c r="J39" s="225">
        <v>2.9369999999999998</v>
      </c>
      <c r="K39" s="236">
        <f>((J39-'Realized Pricing'!$B$32)/M39)*'Realized Pricing'!$L$7</f>
        <v>2.6551323194552334</v>
      </c>
      <c r="L39" s="19"/>
      <c r="M39" s="225">
        <v>0.82</v>
      </c>
      <c r="N39" s="84" t="s">
        <v>101</v>
      </c>
      <c r="O39" s="84"/>
      <c r="P39" s="229">
        <v>11.4</v>
      </c>
      <c r="Q39" s="229">
        <v>33</v>
      </c>
      <c r="R39" s="229">
        <v>51.9</v>
      </c>
      <c r="S39" s="47"/>
      <c r="T39" s="234">
        <f>SUMPRODUCT($P$4:$R$4,((P39:R39)/M39))*'Realized Pricing'!$L$12</f>
        <v>30.559390243902445</v>
      </c>
      <c r="U39" s="241">
        <f t="shared" si="0"/>
        <v>63.760708066086529</v>
      </c>
      <c r="V39" s="233">
        <f t="shared" si="2"/>
        <v>3.5817073170731706</v>
      </c>
      <c r="Y39" s="29"/>
      <c r="Z39" s="29"/>
      <c r="AA39" s="29"/>
      <c r="AC39" s="31"/>
      <c r="AE39" s="29"/>
      <c r="AF39" s="17"/>
      <c r="AG39" s="18"/>
    </row>
    <row r="40" spans="1:33">
      <c r="A40" s="84" t="s">
        <v>105</v>
      </c>
      <c r="B40" s="84"/>
      <c r="C40" s="84" t="s">
        <v>104</v>
      </c>
      <c r="D40" s="84" t="s">
        <v>105</v>
      </c>
      <c r="E40" s="92">
        <v>55.59</v>
      </c>
      <c r="F40" s="105">
        <f>(E40*'Realized Pricing'!$L$2)/M40</f>
        <v>63.623366745534916</v>
      </c>
      <c r="G40" s="84" t="s">
        <v>561</v>
      </c>
      <c r="H40" s="84" t="s">
        <v>351</v>
      </c>
      <c r="I40" s="84" t="s">
        <v>105</v>
      </c>
      <c r="J40" s="225">
        <v>2.8839999999999999</v>
      </c>
      <c r="K40" s="236">
        <f>((J40-'Realized Pricing'!$B$32)/M40)*'Realized Pricing'!$L$7</f>
        <v>2.5858798072990035</v>
      </c>
      <c r="L40" s="19"/>
      <c r="M40" s="225">
        <v>0.82</v>
      </c>
      <c r="N40" s="84" t="s">
        <v>561</v>
      </c>
      <c r="O40" s="84"/>
      <c r="P40" s="229">
        <v>11.4</v>
      </c>
      <c r="Q40" s="229">
        <v>33</v>
      </c>
      <c r="R40" s="229">
        <v>51.9</v>
      </c>
      <c r="S40" s="47"/>
      <c r="T40" s="234">
        <f>SUMPRODUCT($P$4:$R$4,((P40:R40)/M40))*'Realized Pricing'!$L$12</f>
        <v>30.559390243902445</v>
      </c>
      <c r="U40" s="241">
        <f t="shared" si="0"/>
        <v>63.623366745534916</v>
      </c>
      <c r="V40" s="233">
        <f t="shared" si="2"/>
        <v>3.5170731707317073</v>
      </c>
      <c r="Y40" s="29"/>
      <c r="Z40" s="29"/>
      <c r="AA40" s="29"/>
      <c r="AC40" s="31"/>
      <c r="AE40" s="29"/>
      <c r="AF40" s="17"/>
      <c r="AG40" s="18"/>
    </row>
    <row r="41" spans="1:33">
      <c r="A41" s="84" t="s">
        <v>108</v>
      </c>
      <c r="B41" s="84"/>
      <c r="C41" s="84" t="s">
        <v>107</v>
      </c>
      <c r="D41" s="84" t="s">
        <v>108</v>
      </c>
      <c r="E41" s="92">
        <v>55.47</v>
      </c>
      <c r="F41" s="105">
        <f>(E41*'Realized Pricing'!$L$2)/M41</f>
        <v>63.48602542498331</v>
      </c>
      <c r="G41" s="84" t="s">
        <v>106</v>
      </c>
      <c r="H41" s="84" t="s">
        <v>352</v>
      </c>
      <c r="I41" s="84" t="s">
        <v>108</v>
      </c>
      <c r="J41" s="225">
        <v>2.7570000000000001</v>
      </c>
      <c r="K41" s="236">
        <f>((J41-'Realized Pricing'!$B$32)/M41)*'Realized Pricing'!$L$7</f>
        <v>2.4199351083586031</v>
      </c>
      <c r="L41" s="19"/>
      <c r="M41" s="225">
        <v>0.82</v>
      </c>
      <c r="N41" s="84" t="s">
        <v>106</v>
      </c>
      <c r="O41" s="84"/>
      <c r="P41" s="229">
        <v>11.4</v>
      </c>
      <c r="Q41" s="229">
        <v>33</v>
      </c>
      <c r="R41" s="229">
        <v>51.9</v>
      </c>
      <c r="S41" s="47"/>
      <c r="T41" s="234">
        <f>SUMPRODUCT($P$4:$R$4,((P41:R41)/M41))*'Realized Pricing'!$L$12</f>
        <v>30.559390243902445</v>
      </c>
      <c r="U41" s="241">
        <f t="shared" si="0"/>
        <v>63.48602542498331</v>
      </c>
      <c r="V41" s="233">
        <f t="shared" si="2"/>
        <v>3.3621951219512201</v>
      </c>
      <c r="Y41" s="29"/>
      <c r="Z41" s="29"/>
      <c r="AA41" s="29"/>
      <c r="AC41" s="29"/>
      <c r="AE41" s="29"/>
      <c r="AF41" s="30"/>
      <c r="AG41" s="30"/>
    </row>
    <row r="42" spans="1:33">
      <c r="A42" s="84" t="s">
        <v>111</v>
      </c>
      <c r="B42" s="84"/>
      <c r="C42" s="84" t="s">
        <v>110</v>
      </c>
      <c r="D42" s="84" t="s">
        <v>111</v>
      </c>
      <c r="E42" s="92">
        <v>55.37</v>
      </c>
      <c r="F42" s="105">
        <f>(E42*'Realized Pricing'!$L$2)/M42</f>
        <v>63.371574324523628</v>
      </c>
      <c r="G42" s="84" t="s">
        <v>109</v>
      </c>
      <c r="H42" s="84" t="s">
        <v>353</v>
      </c>
      <c r="I42" s="84" t="s">
        <v>111</v>
      </c>
      <c r="J42" s="225">
        <v>2.5070000000000001</v>
      </c>
      <c r="K42" s="236">
        <f>((J42-'Realized Pricing'!$B$32)/M42)*'Realized Pricing'!$L$7</f>
        <v>2.0932723151688379</v>
      </c>
      <c r="L42" s="19"/>
      <c r="M42" s="225">
        <v>0.82</v>
      </c>
      <c r="N42" s="84" t="s">
        <v>109</v>
      </c>
      <c r="O42" s="84"/>
      <c r="P42" s="229">
        <v>11.4</v>
      </c>
      <c r="Q42" s="229">
        <v>33</v>
      </c>
      <c r="R42" s="229">
        <v>51.9</v>
      </c>
      <c r="S42" s="47"/>
      <c r="T42" s="234">
        <f>SUMPRODUCT($P$4:$R$4,((P42:R42)/M42))*'Realized Pricing'!$L$12</f>
        <v>30.559390243902445</v>
      </c>
      <c r="U42" s="241">
        <f t="shared" si="0"/>
        <v>63.371574324523628</v>
      </c>
      <c r="V42" s="233">
        <f t="shared" si="2"/>
        <v>3.057317073170732</v>
      </c>
      <c r="Y42" s="29"/>
      <c r="Z42" s="29"/>
      <c r="AA42" s="29"/>
      <c r="AC42" s="29"/>
      <c r="AE42" s="29"/>
      <c r="AF42" s="15"/>
      <c r="AG42" s="16"/>
    </row>
    <row r="43" spans="1:33">
      <c r="A43" s="84" t="s">
        <v>114</v>
      </c>
      <c r="B43" s="84"/>
      <c r="C43" s="84" t="s">
        <v>113</v>
      </c>
      <c r="D43" s="84" t="s">
        <v>114</v>
      </c>
      <c r="E43" s="92">
        <v>55.27</v>
      </c>
      <c r="F43" s="105">
        <f>(E43*'Realized Pricing'!$L$2)/M43</f>
        <v>63.257123224063953</v>
      </c>
      <c r="G43" s="84" t="s">
        <v>112</v>
      </c>
      <c r="H43" s="84" t="s">
        <v>354</v>
      </c>
      <c r="I43" s="84" t="s">
        <v>114</v>
      </c>
      <c r="J43" s="225">
        <v>2.4870000000000001</v>
      </c>
      <c r="K43" s="236">
        <f>((J43-'Realized Pricing'!$B$32)/M43)*'Realized Pricing'!$L$7</f>
        <v>2.0671392917136568</v>
      </c>
      <c r="L43" s="19"/>
      <c r="M43" s="225">
        <v>0.82</v>
      </c>
      <c r="N43" s="84" t="s">
        <v>112</v>
      </c>
      <c r="O43" s="84"/>
      <c r="P43" s="229">
        <v>11.4</v>
      </c>
      <c r="Q43" s="229">
        <v>33</v>
      </c>
      <c r="R43" s="229">
        <v>51.9</v>
      </c>
      <c r="S43" s="47"/>
      <c r="T43" s="234">
        <f>SUMPRODUCT($P$4:$R$4,((P43:R43)/M43))*'Realized Pricing'!$L$12</f>
        <v>30.559390243902445</v>
      </c>
      <c r="U43" s="241">
        <f t="shared" si="0"/>
        <v>63.257123224063953</v>
      </c>
      <c r="V43" s="233">
        <f t="shared" si="2"/>
        <v>3.0329268292682929</v>
      </c>
      <c r="Y43" s="29"/>
      <c r="Z43" s="29"/>
      <c r="AA43" s="29"/>
      <c r="AC43" s="29"/>
      <c r="AE43" s="29"/>
      <c r="AF43" s="15"/>
      <c r="AG43" s="16"/>
    </row>
    <row r="44" spans="1:33">
      <c r="A44" s="84" t="s">
        <v>117</v>
      </c>
      <c r="B44" s="84"/>
      <c r="C44" s="84" t="s">
        <v>116</v>
      </c>
      <c r="D44" s="84" t="s">
        <v>117</v>
      </c>
      <c r="E44" s="92">
        <v>55.21</v>
      </c>
      <c r="F44" s="105">
        <f>(E44*'Realized Pricing'!$L$2)/M44</f>
        <v>63.188452563788147</v>
      </c>
      <c r="G44" s="84" t="s">
        <v>115</v>
      </c>
      <c r="H44" s="84" t="s">
        <v>355</v>
      </c>
      <c r="I44" s="84" t="s">
        <v>117</v>
      </c>
      <c r="J44" s="225">
        <v>2.5169999999999999</v>
      </c>
      <c r="K44" s="236">
        <f>((J44-'Realized Pricing'!$B$32)/M44)*'Realized Pricing'!$L$7</f>
        <v>2.1063388268964283</v>
      </c>
      <c r="L44" s="19"/>
      <c r="M44" s="225">
        <v>0.82</v>
      </c>
      <c r="N44" s="84" t="s">
        <v>115</v>
      </c>
      <c r="O44" s="84"/>
      <c r="P44" s="229">
        <v>11.4</v>
      </c>
      <c r="Q44" s="229">
        <v>33</v>
      </c>
      <c r="R44" s="229">
        <v>51.9</v>
      </c>
      <c r="S44" s="47"/>
      <c r="T44" s="234">
        <f>SUMPRODUCT($P$4:$R$4,((P44:R44)/M44))*'Realized Pricing'!$L$12</f>
        <v>30.559390243902445</v>
      </c>
      <c r="U44" s="241">
        <f t="shared" si="0"/>
        <v>63.188452563788147</v>
      </c>
      <c r="V44" s="233">
        <f t="shared" si="2"/>
        <v>3.0695121951219515</v>
      </c>
      <c r="Y44" s="29"/>
      <c r="Z44" s="29"/>
      <c r="AA44" s="29"/>
      <c r="AC44" s="29"/>
      <c r="AE44" s="29"/>
      <c r="AF44" s="15"/>
      <c r="AG44" s="16"/>
    </row>
    <row r="45" spans="1:33">
      <c r="A45" s="84" t="s">
        <v>120</v>
      </c>
      <c r="B45" s="84"/>
      <c r="C45" s="84" t="s">
        <v>119</v>
      </c>
      <c r="D45" s="84" t="s">
        <v>120</v>
      </c>
      <c r="E45" s="92">
        <v>55.12</v>
      </c>
      <c r="F45" s="105">
        <f>(E45*'Realized Pricing'!$L$2)/M45</f>
        <v>63.085446573374433</v>
      </c>
      <c r="G45" s="84" t="s">
        <v>118</v>
      </c>
      <c r="H45" s="84" t="s">
        <v>356</v>
      </c>
      <c r="I45" s="84" t="s">
        <v>120</v>
      </c>
      <c r="J45" s="225">
        <v>2.5499999999999998</v>
      </c>
      <c r="K45" s="236">
        <f>((J45-'Realized Pricing'!$B$32)/M45)*'Realized Pricing'!$L$7</f>
        <v>2.1494583155974771</v>
      </c>
      <c r="L45" s="19"/>
      <c r="M45" s="225">
        <v>0.82</v>
      </c>
      <c r="N45" s="84" t="s">
        <v>118</v>
      </c>
      <c r="O45" s="84"/>
      <c r="P45" s="229">
        <v>11.4</v>
      </c>
      <c r="Q45" s="229">
        <v>33</v>
      </c>
      <c r="R45" s="229">
        <v>51.9</v>
      </c>
      <c r="S45" s="47"/>
      <c r="T45" s="234">
        <f>SUMPRODUCT($P$4:$R$4,((P45:R45)/M45))*'Realized Pricing'!$L$12</f>
        <v>30.559390243902445</v>
      </c>
      <c r="U45" s="241">
        <f t="shared" si="0"/>
        <v>63.085446573374433</v>
      </c>
      <c r="V45" s="233">
        <f t="shared" si="2"/>
        <v>3.1097560975609757</v>
      </c>
      <c r="Y45" s="29"/>
      <c r="Z45" s="29"/>
      <c r="AA45" s="29"/>
      <c r="AC45" s="29"/>
      <c r="AE45" s="29"/>
      <c r="AF45" s="15"/>
      <c r="AG45" s="16"/>
    </row>
    <row r="46" spans="1:33">
      <c r="A46" s="84" t="s">
        <v>123</v>
      </c>
      <c r="B46" s="84"/>
      <c r="C46" s="84" t="s">
        <v>122</v>
      </c>
      <c r="D46" s="84" t="s">
        <v>123</v>
      </c>
      <c r="E46" s="92">
        <v>55.06</v>
      </c>
      <c r="F46" s="105">
        <f>(E46*'Realized Pricing'!$L$2)/M46</f>
        <v>63.016775913098627</v>
      </c>
      <c r="G46" s="84" t="s">
        <v>121</v>
      </c>
      <c r="H46" s="84" t="s">
        <v>357</v>
      </c>
      <c r="I46" s="84" t="s">
        <v>123</v>
      </c>
      <c r="J46" s="225">
        <v>2.5529999999999999</v>
      </c>
      <c r="K46" s="236">
        <f>((J46-'Realized Pricing'!$B$32)/M46)*'Realized Pricing'!$L$7</f>
        <v>2.1533782691157546</v>
      </c>
      <c r="L46" s="19"/>
      <c r="M46" s="225">
        <v>0.82</v>
      </c>
      <c r="N46" s="84" t="s">
        <v>121</v>
      </c>
      <c r="O46" s="84"/>
      <c r="P46" s="229">
        <v>11.4</v>
      </c>
      <c r="Q46" s="229">
        <v>33</v>
      </c>
      <c r="R46" s="229">
        <v>51.9</v>
      </c>
      <c r="S46" s="47"/>
      <c r="T46" s="234">
        <f>SUMPRODUCT($P$4:$R$4,((P46:R46)/M46))*'Realized Pricing'!$L$12</f>
        <v>30.559390243902445</v>
      </c>
      <c r="U46" s="241">
        <f t="shared" si="0"/>
        <v>63.016775913098627</v>
      </c>
      <c r="V46" s="233">
        <f t="shared" si="2"/>
        <v>3.1134146341463418</v>
      </c>
      <c r="Y46" s="29"/>
      <c r="Z46" s="29"/>
      <c r="AA46" s="29"/>
      <c r="AC46" s="29"/>
      <c r="AE46" s="29"/>
      <c r="AF46" s="15"/>
      <c r="AG46" s="16"/>
    </row>
    <row r="47" spans="1:33">
      <c r="A47" s="84" t="s">
        <v>126</v>
      </c>
      <c r="B47" s="84"/>
      <c r="C47" s="84" t="s">
        <v>125</v>
      </c>
      <c r="D47" s="84" t="s">
        <v>126</v>
      </c>
      <c r="E47" s="92">
        <v>55</v>
      </c>
      <c r="F47" s="105">
        <f>(E47*'Realized Pricing'!$L$2)/M47</f>
        <v>62.94810525282282</v>
      </c>
      <c r="G47" s="84" t="s">
        <v>124</v>
      </c>
      <c r="H47" s="84" t="s">
        <v>358</v>
      </c>
      <c r="I47" s="84" t="s">
        <v>126</v>
      </c>
      <c r="J47" s="225">
        <v>2.548</v>
      </c>
      <c r="K47" s="236">
        <f>((J47-'Realized Pricing'!$B$32)/M47)*'Realized Pricing'!$L$7</f>
        <v>2.146845013251959</v>
      </c>
      <c r="L47" s="19"/>
      <c r="M47" s="225">
        <v>0.82</v>
      </c>
      <c r="N47" s="84" t="s">
        <v>124</v>
      </c>
      <c r="O47" s="84"/>
      <c r="P47" s="229">
        <v>11.4</v>
      </c>
      <c r="Q47" s="229">
        <v>33</v>
      </c>
      <c r="R47" s="229">
        <v>51.9</v>
      </c>
      <c r="S47" s="47"/>
      <c r="T47" s="234">
        <f>SUMPRODUCT($P$4:$R$4,((P47:R47)/M47))*'Realized Pricing'!$L$12</f>
        <v>30.559390243902445</v>
      </c>
      <c r="U47" s="241">
        <f t="shared" si="0"/>
        <v>62.94810525282282</v>
      </c>
      <c r="V47" s="233">
        <f t="shared" si="2"/>
        <v>3.1073170731707318</v>
      </c>
      <c r="Y47" s="29"/>
      <c r="Z47" s="29"/>
      <c r="AA47" s="29"/>
      <c r="AC47" s="29"/>
      <c r="AE47" s="29"/>
      <c r="AF47" s="15"/>
      <c r="AG47" s="16"/>
    </row>
    <row r="48" spans="1:33">
      <c r="A48" s="84" t="s">
        <v>129</v>
      </c>
      <c r="B48" s="84"/>
      <c r="C48" s="84" t="s">
        <v>128</v>
      </c>
      <c r="D48" s="84" t="s">
        <v>129</v>
      </c>
      <c r="E48" s="92">
        <v>54.95</v>
      </c>
      <c r="F48" s="105">
        <f>(E48*'Realized Pricing'!$L$2)/M48</f>
        <v>62.890879702592983</v>
      </c>
      <c r="G48" s="84" t="s">
        <v>127</v>
      </c>
      <c r="H48" s="84" t="s">
        <v>359</v>
      </c>
      <c r="I48" s="84" t="s">
        <v>129</v>
      </c>
      <c r="J48" s="225">
        <v>2.5680000000000001</v>
      </c>
      <c r="K48" s="236">
        <f>((J48-'Realized Pricing'!$B$32)/M48)*'Realized Pricing'!$L$7</f>
        <v>2.1729780367071405</v>
      </c>
      <c r="L48" s="19"/>
      <c r="M48" s="225">
        <v>0.82</v>
      </c>
      <c r="N48" s="84" t="s">
        <v>127</v>
      </c>
      <c r="O48" s="84"/>
      <c r="P48" s="229">
        <v>11.4</v>
      </c>
      <c r="Q48" s="229">
        <v>33</v>
      </c>
      <c r="R48" s="229">
        <v>51.9</v>
      </c>
      <c r="S48" s="47"/>
      <c r="T48" s="234">
        <f>SUMPRODUCT($P$4:$R$4,((P48:R48)/M48))*'Realized Pricing'!$L$12</f>
        <v>30.559390243902445</v>
      </c>
      <c r="U48" s="241">
        <f t="shared" si="0"/>
        <v>62.890879702592983</v>
      </c>
      <c r="V48" s="233">
        <f t="shared" si="2"/>
        <v>3.1317073170731708</v>
      </c>
      <c r="Y48" s="29"/>
      <c r="Z48" s="29"/>
      <c r="AA48" s="29"/>
      <c r="AC48" s="29"/>
      <c r="AE48" s="29"/>
      <c r="AF48" s="15"/>
      <c r="AG48" s="16"/>
    </row>
    <row r="49" spans="1:33">
      <c r="A49" s="84" t="s">
        <v>132</v>
      </c>
      <c r="B49" s="84"/>
      <c r="C49" s="84" t="s">
        <v>131</v>
      </c>
      <c r="D49" s="84" t="s">
        <v>132</v>
      </c>
      <c r="E49" s="92">
        <v>54.9</v>
      </c>
      <c r="F49" s="105">
        <f>(E49*'Realized Pricing'!$L$2)/M49</f>
        <v>62.833654152363138</v>
      </c>
      <c r="G49" s="84" t="s">
        <v>130</v>
      </c>
      <c r="H49" s="84" t="s">
        <v>360</v>
      </c>
      <c r="I49" s="84" t="s">
        <v>132</v>
      </c>
      <c r="J49" s="225">
        <v>2.633</v>
      </c>
      <c r="K49" s="236">
        <f>((J49-'Realized Pricing'!$B$32)/M49)*'Realized Pricing'!$L$7</f>
        <v>2.2579103629364798</v>
      </c>
      <c r="L49" s="19"/>
      <c r="M49" s="225">
        <v>0.82</v>
      </c>
      <c r="N49" s="84" t="s">
        <v>130</v>
      </c>
      <c r="O49" s="84"/>
      <c r="P49" s="229">
        <v>11.4</v>
      </c>
      <c r="Q49" s="229">
        <v>33</v>
      </c>
      <c r="R49" s="229">
        <v>51.9</v>
      </c>
      <c r="S49" s="47"/>
      <c r="T49" s="234">
        <f>SUMPRODUCT($P$4:$R$4,((P49:R49)/M49))*'Realized Pricing'!$L$12</f>
        <v>30.559390243902445</v>
      </c>
      <c r="U49" s="241">
        <f t="shared" si="0"/>
        <v>62.833654152363138</v>
      </c>
      <c r="V49" s="233">
        <f t="shared" si="2"/>
        <v>3.210975609756098</v>
      </c>
      <c r="Y49" s="29"/>
      <c r="Z49" s="29"/>
      <c r="AA49" s="29"/>
      <c r="AC49" s="29"/>
      <c r="AE49" s="29"/>
      <c r="AF49" s="15"/>
      <c r="AG49" s="16"/>
    </row>
    <row r="50" spans="1:33">
      <c r="A50" s="84" t="s">
        <v>135</v>
      </c>
      <c r="B50" s="84"/>
      <c r="C50" s="84" t="s">
        <v>134</v>
      </c>
      <c r="D50" s="84" t="s">
        <v>135</v>
      </c>
      <c r="E50" s="92">
        <v>54.83</v>
      </c>
      <c r="F50" s="105">
        <f>(E50*'Realized Pricing'!$L$2)/M50</f>
        <v>62.753538382041363</v>
      </c>
      <c r="G50" s="84" t="s">
        <v>133</v>
      </c>
      <c r="H50" s="84" t="s">
        <v>361</v>
      </c>
      <c r="I50" s="84" t="s">
        <v>135</v>
      </c>
      <c r="J50" s="225">
        <v>2.798</v>
      </c>
      <c r="K50" s="236">
        <f>((J50-'Realized Pricing'!$B$32)/M50)*'Realized Pricing'!$L$7</f>
        <v>2.4735078064417246</v>
      </c>
      <c r="L50" s="19"/>
      <c r="M50" s="225">
        <v>0.82</v>
      </c>
      <c r="N50" s="84" t="s">
        <v>133</v>
      </c>
      <c r="O50" s="84"/>
      <c r="P50" s="229">
        <v>11.4</v>
      </c>
      <c r="Q50" s="229">
        <v>33</v>
      </c>
      <c r="R50" s="229">
        <v>51.9</v>
      </c>
      <c r="S50" s="47"/>
      <c r="T50" s="234">
        <f>SUMPRODUCT($P$4:$R$4,((P50:R50)/M50))*'Realized Pricing'!$L$12</f>
        <v>30.559390243902445</v>
      </c>
      <c r="U50" s="241">
        <f t="shared" si="0"/>
        <v>62.753538382041363</v>
      </c>
      <c r="V50" s="233">
        <f t="shared" si="2"/>
        <v>3.4121951219512199</v>
      </c>
      <c r="Y50" s="29"/>
      <c r="Z50" s="29"/>
      <c r="AA50" s="29"/>
      <c r="AC50" s="29"/>
      <c r="AE50" s="29"/>
      <c r="AF50" s="15"/>
      <c r="AG50" s="16"/>
    </row>
    <row r="51" spans="1:33">
      <c r="A51" s="84" t="s">
        <v>138</v>
      </c>
      <c r="B51" s="84"/>
      <c r="C51" s="84" t="s">
        <v>137</v>
      </c>
      <c r="D51" s="84" t="s">
        <v>138</v>
      </c>
      <c r="E51" s="92">
        <v>54.76</v>
      </c>
      <c r="F51" s="105">
        <f>(E51*'Realized Pricing'!$L$2)/M51</f>
        <v>62.673422611719587</v>
      </c>
      <c r="G51" s="84" t="s">
        <v>136</v>
      </c>
      <c r="H51" s="84" t="s">
        <v>362</v>
      </c>
      <c r="I51" s="84" t="s">
        <v>138</v>
      </c>
      <c r="J51" s="225">
        <v>2.92</v>
      </c>
      <c r="K51" s="236">
        <f>((J51-'Realized Pricing'!$B$32)/M51)*'Realized Pricing'!$L$7</f>
        <v>2.6329192495183298</v>
      </c>
      <c r="L51" s="19"/>
      <c r="M51" s="225">
        <v>0.82</v>
      </c>
      <c r="N51" s="84" t="s">
        <v>136</v>
      </c>
      <c r="O51" s="84"/>
      <c r="P51" s="229">
        <v>12</v>
      </c>
      <c r="Q51" s="229">
        <v>33.799999999999997</v>
      </c>
      <c r="R51" s="229">
        <v>56.1</v>
      </c>
      <c r="S51" s="47"/>
      <c r="T51" s="234">
        <f>SUMPRODUCT($P$4:$R$4,((P51:R51)/M51))*'Realized Pricing'!$L$12</f>
        <v>32.199146341463418</v>
      </c>
      <c r="U51" s="241">
        <f t="shared" si="0"/>
        <v>62.673422611719587</v>
      </c>
      <c r="V51" s="233">
        <f t="shared" si="2"/>
        <v>3.5609756097560976</v>
      </c>
      <c r="Y51" s="29"/>
      <c r="Z51" s="29"/>
      <c r="AA51" s="29"/>
      <c r="AC51" s="29"/>
      <c r="AE51" s="29"/>
      <c r="AF51" s="15"/>
      <c r="AG51" s="16"/>
    </row>
    <row r="52" spans="1:33">
      <c r="A52" s="84" t="s">
        <v>140</v>
      </c>
      <c r="B52" s="84"/>
      <c r="C52" s="84" t="s">
        <v>139</v>
      </c>
      <c r="D52" s="84" t="s">
        <v>140</v>
      </c>
      <c r="E52" s="92">
        <v>54.7</v>
      </c>
      <c r="F52" s="105">
        <f>(E52*'Realized Pricing'!$L$2)/M52</f>
        <v>62.604751951443788</v>
      </c>
      <c r="G52" s="84" t="s">
        <v>562</v>
      </c>
      <c r="H52" s="84" t="s">
        <v>363</v>
      </c>
      <c r="I52" s="84" t="s">
        <v>140</v>
      </c>
      <c r="J52" s="225">
        <v>2.8719999999999999</v>
      </c>
      <c r="K52" s="236">
        <f>((J52-'Realized Pricing'!$B$32)/M52)*'Realized Pricing'!$L$7</f>
        <v>2.5701999932258945</v>
      </c>
      <c r="L52" s="19"/>
      <c r="M52" s="225">
        <v>0.82</v>
      </c>
      <c r="N52" s="84" t="s">
        <v>562</v>
      </c>
      <c r="O52" s="84"/>
      <c r="P52" s="229">
        <v>12</v>
      </c>
      <c r="Q52" s="229">
        <v>33.799999999999997</v>
      </c>
      <c r="R52" s="229">
        <v>56.1</v>
      </c>
      <c r="S52" s="47"/>
      <c r="T52" s="234">
        <f>SUMPRODUCT($P$4:$R$4,((P52:R52)/M52))*'Realized Pricing'!$L$12</f>
        <v>32.199146341463418</v>
      </c>
      <c r="U52" s="241">
        <f t="shared" si="0"/>
        <v>62.604751951443788</v>
      </c>
      <c r="V52" s="233">
        <f t="shared" si="2"/>
        <v>3.5024390243902439</v>
      </c>
      <c r="Y52" s="29"/>
      <c r="Z52" s="29"/>
      <c r="AA52" s="29"/>
      <c r="AC52" s="29"/>
      <c r="AE52" s="29"/>
      <c r="AF52" s="15"/>
      <c r="AG52" s="16"/>
    </row>
    <row r="53" spans="1:33">
      <c r="A53" s="84" t="s">
        <v>143</v>
      </c>
      <c r="B53" s="84"/>
      <c r="C53" s="84" t="s">
        <v>142</v>
      </c>
      <c r="D53" s="84" t="s">
        <v>143</v>
      </c>
      <c r="E53" s="92">
        <v>54.65</v>
      </c>
      <c r="F53" s="105">
        <f>(E53*'Realized Pricing'!$L$2)/M53</f>
        <v>62.54752640121395</v>
      </c>
      <c r="G53" s="84" t="s">
        <v>141</v>
      </c>
      <c r="H53" s="84" t="s">
        <v>364</v>
      </c>
      <c r="I53" s="84" t="s">
        <v>143</v>
      </c>
      <c r="J53" s="225">
        <v>2.7650000000000001</v>
      </c>
      <c r="K53" s="236">
        <f>((J53-'Realized Pricing'!$B$32)/M53)*'Realized Pricing'!$L$7</f>
        <v>2.4303883177406758</v>
      </c>
      <c r="L53" s="19"/>
      <c r="M53" s="225">
        <v>0.82</v>
      </c>
      <c r="N53" s="84" t="s">
        <v>141</v>
      </c>
      <c r="O53" s="84"/>
      <c r="P53" s="229">
        <v>12</v>
      </c>
      <c r="Q53" s="229">
        <v>33.799999999999997</v>
      </c>
      <c r="R53" s="229">
        <v>56.1</v>
      </c>
      <c r="S53" s="47"/>
      <c r="T53" s="234">
        <f>SUMPRODUCT($P$4:$R$4,((P53:R53)/M53))*'Realized Pricing'!$L$12</f>
        <v>32.199146341463418</v>
      </c>
      <c r="U53" s="241">
        <f t="shared" si="0"/>
        <v>62.54752640121395</v>
      </c>
      <c r="V53" s="233">
        <f t="shared" si="2"/>
        <v>3.3719512195121957</v>
      </c>
      <c r="Y53" s="29"/>
      <c r="Z53" s="29"/>
      <c r="AA53" s="29"/>
      <c r="AC53" s="29"/>
      <c r="AE53" s="29"/>
      <c r="AF53" s="15"/>
      <c r="AG53" s="16"/>
    </row>
    <row r="54" spans="1:33">
      <c r="A54" s="84" t="s">
        <v>146</v>
      </c>
      <c r="B54" s="84"/>
      <c r="C54" s="84" t="s">
        <v>145</v>
      </c>
      <c r="D54" s="84" t="s">
        <v>146</v>
      </c>
      <c r="E54" s="92">
        <v>54.61</v>
      </c>
      <c r="F54" s="105">
        <f>(E54*'Realized Pricing'!$L$2)/M54</f>
        <v>62.501745961030082</v>
      </c>
      <c r="G54" s="84" t="s">
        <v>144</v>
      </c>
      <c r="H54" s="84" t="s">
        <v>365</v>
      </c>
      <c r="I54" s="84" t="s">
        <v>146</v>
      </c>
      <c r="J54" s="225">
        <v>2.5470000000000002</v>
      </c>
      <c r="K54" s="236">
        <f>((J54-'Realized Pricing'!$B$32)/M54)*'Realized Pricing'!$L$7</f>
        <v>2.1455383620792001</v>
      </c>
      <c r="L54" s="19"/>
      <c r="M54" s="225">
        <v>0.82</v>
      </c>
      <c r="N54" s="84" t="s">
        <v>144</v>
      </c>
      <c r="O54" s="84"/>
      <c r="P54" s="229">
        <v>12</v>
      </c>
      <c r="Q54" s="229">
        <v>33.799999999999997</v>
      </c>
      <c r="R54" s="229">
        <v>56.1</v>
      </c>
      <c r="S54" s="47"/>
      <c r="T54" s="234">
        <f>SUMPRODUCT($P$4:$R$4,((P54:R54)/M54))*'Realized Pricing'!$L$12</f>
        <v>32.199146341463418</v>
      </c>
      <c r="U54" s="241">
        <f t="shared" si="0"/>
        <v>62.501745961030082</v>
      </c>
      <c r="V54" s="233">
        <f t="shared" si="2"/>
        <v>3.1060975609756101</v>
      </c>
      <c r="Y54" s="29"/>
      <c r="Z54" s="29"/>
      <c r="AA54" s="29"/>
      <c r="AC54" s="29"/>
      <c r="AE54" s="29"/>
      <c r="AF54" s="15"/>
      <c r="AG54" s="16"/>
    </row>
    <row r="55" spans="1:33">
      <c r="A55" s="84" t="s">
        <v>149</v>
      </c>
      <c r="B55" s="84"/>
      <c r="C55" s="84" t="s">
        <v>148</v>
      </c>
      <c r="D55" s="84" t="s">
        <v>149</v>
      </c>
      <c r="E55" s="92">
        <v>54.58</v>
      </c>
      <c r="F55" s="105">
        <f>(E55*'Realized Pricing'!$L$2)/M55</f>
        <v>62.467410630892175</v>
      </c>
      <c r="G55" s="84" t="s">
        <v>147</v>
      </c>
      <c r="H55" s="84" t="s">
        <v>366</v>
      </c>
      <c r="I55" s="84" t="s">
        <v>149</v>
      </c>
      <c r="J55" s="225">
        <v>2.5449999999999999</v>
      </c>
      <c r="K55" s="236">
        <f>((J55-'Realized Pricing'!$B$32)/M55)*'Realized Pricing'!$L$7</f>
        <v>2.1429250597336824</v>
      </c>
      <c r="L55" s="19"/>
      <c r="M55" s="225">
        <v>0.82</v>
      </c>
      <c r="N55" s="84" t="s">
        <v>147</v>
      </c>
      <c r="O55" s="84"/>
      <c r="P55" s="229">
        <v>12</v>
      </c>
      <c r="Q55" s="229">
        <v>33.799999999999997</v>
      </c>
      <c r="R55" s="229">
        <v>56.1</v>
      </c>
      <c r="S55" s="47"/>
      <c r="T55" s="234">
        <f>SUMPRODUCT($P$4:$R$4,((P55:R55)/M55))*'Realized Pricing'!$L$12</f>
        <v>32.199146341463418</v>
      </c>
      <c r="U55" s="241">
        <f t="shared" si="0"/>
        <v>62.467410630892175</v>
      </c>
      <c r="V55" s="233">
        <f t="shared" si="2"/>
        <v>3.1036585365853662</v>
      </c>
      <c r="Y55" s="29"/>
      <c r="Z55" s="29"/>
      <c r="AA55" s="29"/>
      <c r="AC55" s="29"/>
      <c r="AE55" s="29"/>
      <c r="AF55" s="15"/>
      <c r="AG55" s="16"/>
    </row>
    <row r="56" spans="1:33">
      <c r="A56" s="84" t="s">
        <v>152</v>
      </c>
      <c r="B56" s="84"/>
      <c r="C56" s="84" t="s">
        <v>151</v>
      </c>
      <c r="D56" s="84" t="s">
        <v>152</v>
      </c>
      <c r="E56" s="92">
        <v>54.55</v>
      </c>
      <c r="F56" s="105">
        <f>(E56*'Realized Pricing'!$L$2)/M56</f>
        <v>62.433075300754268</v>
      </c>
      <c r="G56" s="84" t="s">
        <v>150</v>
      </c>
      <c r="H56" s="84" t="s">
        <v>367</v>
      </c>
      <c r="I56" s="84" t="s">
        <v>152</v>
      </c>
      <c r="J56" s="225">
        <v>2.5830000000000002</v>
      </c>
      <c r="K56" s="236">
        <f>((J56-'Realized Pricing'!$B$32)/M56)*'Realized Pricing'!$L$7</f>
        <v>2.1925778042985264</v>
      </c>
      <c r="L56" s="19"/>
      <c r="M56" s="225">
        <v>0.82</v>
      </c>
      <c r="N56" s="84" t="s">
        <v>150</v>
      </c>
      <c r="O56" s="84"/>
      <c r="P56" s="229">
        <v>12</v>
      </c>
      <c r="Q56" s="229">
        <v>33.799999999999997</v>
      </c>
      <c r="R56" s="229">
        <v>56.1</v>
      </c>
      <c r="S56" s="47"/>
      <c r="T56" s="234">
        <f>SUMPRODUCT($P$4:$R$4,((P56:R56)/M56))*'Realized Pricing'!$L$12</f>
        <v>32.199146341463418</v>
      </c>
      <c r="U56" s="241">
        <f t="shared" si="0"/>
        <v>62.433075300754268</v>
      </c>
      <c r="V56" s="233">
        <f t="shared" si="2"/>
        <v>3.1500000000000004</v>
      </c>
      <c r="Y56" s="29"/>
      <c r="Z56" s="29"/>
      <c r="AA56" s="29"/>
      <c r="AC56" s="29"/>
      <c r="AE56" s="29"/>
      <c r="AF56" s="15"/>
      <c r="AG56" s="16"/>
    </row>
    <row r="57" spans="1:33">
      <c r="A57" s="84" t="s">
        <v>155</v>
      </c>
      <c r="B57" s="84"/>
      <c r="C57" s="84" t="s">
        <v>154</v>
      </c>
      <c r="D57" s="84" t="s">
        <v>155</v>
      </c>
      <c r="E57" s="92">
        <v>54.52</v>
      </c>
      <c r="F57" s="105">
        <f>(E57*'Realized Pricing'!$L$2)/M57</f>
        <v>62.398739970616369</v>
      </c>
      <c r="G57" s="84" t="s">
        <v>153</v>
      </c>
      <c r="H57" s="84" t="s">
        <v>368</v>
      </c>
      <c r="I57" s="84" t="s">
        <v>155</v>
      </c>
      <c r="J57" s="225">
        <v>2.6230000000000002</v>
      </c>
      <c r="K57" s="236">
        <f>((J57-'Realized Pricing'!$B$32)/M57)*'Realized Pricing'!$L$7</f>
        <v>2.2448438512088891</v>
      </c>
      <c r="L57" s="19"/>
      <c r="M57" s="225">
        <v>0.82</v>
      </c>
      <c r="N57" s="84" t="s">
        <v>153</v>
      </c>
      <c r="O57" s="84"/>
      <c r="P57" s="229">
        <v>12</v>
      </c>
      <c r="Q57" s="229">
        <v>33.799999999999997</v>
      </c>
      <c r="R57" s="229">
        <v>56.1</v>
      </c>
      <c r="S57" s="47"/>
      <c r="T57" s="234">
        <f>SUMPRODUCT($P$4:$R$4,((P57:R57)/M57))*'Realized Pricing'!$L$12</f>
        <v>32.199146341463418</v>
      </c>
      <c r="U57" s="241">
        <f t="shared" si="0"/>
        <v>62.398739970616369</v>
      </c>
      <c r="V57" s="233">
        <f t="shared" si="2"/>
        <v>3.1987804878048784</v>
      </c>
    </row>
    <row r="58" spans="1:33">
      <c r="A58" s="84" t="s">
        <v>158</v>
      </c>
      <c r="B58" s="84"/>
      <c r="C58" s="84" t="s">
        <v>157</v>
      </c>
      <c r="D58" s="84" t="s">
        <v>158</v>
      </c>
      <c r="E58" s="92">
        <v>54.49</v>
      </c>
      <c r="F58" s="105">
        <f>(E58*'Realized Pricing'!$L$2)/M58</f>
        <v>62.364404640478469</v>
      </c>
      <c r="G58" s="84" t="s">
        <v>156</v>
      </c>
      <c r="H58" s="84" t="s">
        <v>369</v>
      </c>
      <c r="I58" s="84" t="s">
        <v>158</v>
      </c>
      <c r="J58" s="225">
        <v>2.6429999999999998</v>
      </c>
      <c r="K58" s="236">
        <f>((J58-'Realized Pricing'!$B$32)/M58)*'Realized Pricing'!$L$7</f>
        <v>2.2709768746640697</v>
      </c>
      <c r="L58" s="19"/>
      <c r="M58" s="225">
        <v>0.82</v>
      </c>
      <c r="N58" s="84" t="s">
        <v>156</v>
      </c>
      <c r="O58" s="84"/>
      <c r="P58" s="229">
        <v>12</v>
      </c>
      <c r="Q58" s="229">
        <v>33.799999999999997</v>
      </c>
      <c r="R58" s="229">
        <v>56.1</v>
      </c>
      <c r="S58" s="47"/>
      <c r="T58" s="234">
        <f>SUMPRODUCT($P$4:$R$4,((P58:R58)/M58))*'Realized Pricing'!$L$12</f>
        <v>32.199146341463418</v>
      </c>
      <c r="U58" s="241">
        <f t="shared" si="0"/>
        <v>62.364404640478469</v>
      </c>
      <c r="V58" s="233">
        <f t="shared" si="2"/>
        <v>3.223170731707317</v>
      </c>
    </row>
    <row r="59" spans="1:33">
      <c r="A59" s="84" t="s">
        <v>161</v>
      </c>
      <c r="B59" s="84"/>
      <c r="C59" s="84" t="s">
        <v>160</v>
      </c>
      <c r="D59" s="84" t="s">
        <v>161</v>
      </c>
      <c r="E59" s="92">
        <v>54.49</v>
      </c>
      <c r="F59" s="105">
        <f>(E59*'Realized Pricing'!$L$2)/M59</f>
        <v>62.364404640478469</v>
      </c>
      <c r="G59" s="84" t="s">
        <v>159</v>
      </c>
      <c r="H59" s="84" t="s">
        <v>370</v>
      </c>
      <c r="I59" s="84" t="s">
        <v>161</v>
      </c>
      <c r="J59" s="225">
        <v>2.6480000000000001</v>
      </c>
      <c r="K59" s="236">
        <f>((J59-'Realized Pricing'!$B$32)/M59)*'Realized Pricing'!$L$7</f>
        <v>2.2775101305278653</v>
      </c>
      <c r="L59" s="19"/>
      <c r="M59" s="225">
        <v>0.82</v>
      </c>
      <c r="N59" s="84" t="s">
        <v>159</v>
      </c>
      <c r="O59" s="84"/>
      <c r="P59" s="229">
        <v>12</v>
      </c>
      <c r="Q59" s="229">
        <v>33.799999999999997</v>
      </c>
      <c r="R59" s="229">
        <v>56.1</v>
      </c>
      <c r="S59" s="47"/>
      <c r="T59" s="234">
        <f>SUMPRODUCT($P$4:$R$4,((P59:R59)/M59))*'Realized Pricing'!$L$12</f>
        <v>32.199146341463418</v>
      </c>
      <c r="U59" s="241">
        <f t="shared" si="0"/>
        <v>62.364404640478469</v>
      </c>
      <c r="V59" s="233">
        <f t="shared" si="2"/>
        <v>3.229268292682927</v>
      </c>
    </row>
    <row r="60" spans="1:33">
      <c r="A60" s="84" t="s">
        <v>164</v>
      </c>
      <c r="B60" s="84"/>
      <c r="C60" s="84" t="s">
        <v>163</v>
      </c>
      <c r="D60" s="84" t="s">
        <v>164</v>
      </c>
      <c r="E60" s="92">
        <v>54.49</v>
      </c>
      <c r="F60" s="105">
        <f>(E60*'Realized Pricing'!$L$2)/M60</f>
        <v>62.364404640478469</v>
      </c>
      <c r="G60" s="84" t="s">
        <v>162</v>
      </c>
      <c r="H60" s="84" t="s">
        <v>371</v>
      </c>
      <c r="I60" s="84" t="s">
        <v>164</v>
      </c>
      <c r="J60" s="225">
        <v>2.6779999999999999</v>
      </c>
      <c r="K60" s="236">
        <f>((J60-'Realized Pricing'!$B$32)/M60)*'Realized Pricing'!$L$7</f>
        <v>2.3167096657106372</v>
      </c>
      <c r="L60" s="19"/>
      <c r="M60" s="225">
        <v>0.82</v>
      </c>
      <c r="N60" s="84" t="s">
        <v>162</v>
      </c>
      <c r="O60" s="84"/>
      <c r="P60" s="229">
        <v>12</v>
      </c>
      <c r="Q60" s="229">
        <v>33.799999999999997</v>
      </c>
      <c r="R60" s="229">
        <v>56.1</v>
      </c>
      <c r="S60" s="47"/>
      <c r="T60" s="234">
        <f>SUMPRODUCT($P$4:$R$4,((P60:R60)/M60))*'Realized Pricing'!$L$12</f>
        <v>32.199146341463418</v>
      </c>
      <c r="U60" s="241">
        <f t="shared" si="0"/>
        <v>62.364404640478469</v>
      </c>
      <c r="V60" s="233">
        <f t="shared" si="2"/>
        <v>3.2658536585365856</v>
      </c>
    </row>
    <row r="61" spans="1:33">
      <c r="A61" s="84" t="s">
        <v>167</v>
      </c>
      <c r="B61" s="84"/>
      <c r="C61" s="84" t="s">
        <v>166</v>
      </c>
      <c r="D61" s="84" t="s">
        <v>167</v>
      </c>
      <c r="E61" s="92">
        <v>54.5</v>
      </c>
      <c r="F61" s="105">
        <f>(E61*'Realized Pricing'!$L$2)/M61</f>
        <v>62.375849750524431</v>
      </c>
      <c r="G61" s="84" t="s">
        <v>165</v>
      </c>
      <c r="H61" s="84" t="s">
        <v>372</v>
      </c>
      <c r="I61" s="84" t="s">
        <v>167</v>
      </c>
      <c r="J61" s="225">
        <v>2.7440000000000002</v>
      </c>
      <c r="K61" s="236">
        <f>((J61-'Realized Pricing'!$B$32)/M61)*'Realized Pricing'!$L$7</f>
        <v>2.4029486431127354</v>
      </c>
      <c r="L61" s="19"/>
      <c r="M61" s="225">
        <v>0.82</v>
      </c>
      <c r="N61" s="84" t="s">
        <v>165</v>
      </c>
      <c r="O61" s="84"/>
      <c r="P61" s="229">
        <v>12</v>
      </c>
      <c r="Q61" s="229">
        <v>33.799999999999997</v>
      </c>
      <c r="R61" s="229">
        <v>56.1</v>
      </c>
      <c r="S61" s="47"/>
      <c r="T61" s="234">
        <f>SUMPRODUCT($P$4:$R$4,((P61:R61)/M61))*'Realized Pricing'!$L$12</f>
        <v>32.199146341463418</v>
      </c>
      <c r="U61" s="241">
        <f t="shared" si="0"/>
        <v>62.375849750524431</v>
      </c>
      <c r="V61" s="233">
        <f t="shared" si="2"/>
        <v>3.3463414634146345</v>
      </c>
    </row>
    <row r="62" spans="1:33">
      <c r="A62" s="84" t="s">
        <v>170</v>
      </c>
      <c r="B62" s="84"/>
      <c r="C62" s="84" t="s">
        <v>169</v>
      </c>
      <c r="D62" s="84" t="s">
        <v>170</v>
      </c>
      <c r="E62" s="92">
        <v>54.49</v>
      </c>
      <c r="F62" s="105">
        <f>(E62*'Realized Pricing'!$L$2)/M62</f>
        <v>62.364404640478469</v>
      </c>
      <c r="G62" s="84" t="s">
        <v>168</v>
      </c>
      <c r="H62" s="84" t="s">
        <v>373</v>
      </c>
      <c r="I62" s="84" t="s">
        <v>170</v>
      </c>
      <c r="J62" s="225">
        <v>2.9089999999999998</v>
      </c>
      <c r="K62" s="236">
        <f>((J62-'Realized Pricing'!$B$32)/M62)*'Realized Pricing'!$L$7</f>
        <v>2.6185460866179797</v>
      </c>
      <c r="L62" s="19"/>
      <c r="M62" s="225">
        <v>0.82</v>
      </c>
      <c r="N62" s="84" t="s">
        <v>168</v>
      </c>
      <c r="O62" s="84"/>
      <c r="P62" s="229">
        <v>12</v>
      </c>
      <c r="Q62" s="229">
        <v>33.799999999999997</v>
      </c>
      <c r="R62" s="229">
        <v>56.1</v>
      </c>
      <c r="S62" s="47"/>
      <c r="T62" s="234">
        <f>SUMPRODUCT($P$4:$R$4,((P62:R62)/M62))*'Realized Pricing'!$L$12</f>
        <v>32.199146341463418</v>
      </c>
      <c r="U62" s="241">
        <f t="shared" si="0"/>
        <v>62.364404640478469</v>
      </c>
      <c r="V62" s="233">
        <f t="shared" si="2"/>
        <v>3.5475609756097559</v>
      </c>
    </row>
    <row r="63" spans="1:33">
      <c r="A63" s="84" t="s">
        <v>173</v>
      </c>
      <c r="B63" s="84"/>
      <c r="C63" s="84" t="s">
        <v>172</v>
      </c>
      <c r="D63" s="84" t="s">
        <v>173</v>
      </c>
      <c r="E63" s="92">
        <v>54.47</v>
      </c>
      <c r="F63" s="105">
        <f>(E63*'Realized Pricing'!$L$2)/M63</f>
        <v>62.341514420386524</v>
      </c>
      <c r="G63" s="84" t="s">
        <v>171</v>
      </c>
      <c r="H63" s="84" t="s">
        <v>374</v>
      </c>
      <c r="I63" s="84" t="s">
        <v>173</v>
      </c>
      <c r="J63" s="225">
        <v>3.0339999999999998</v>
      </c>
      <c r="K63" s="236">
        <f>((J63-'Realized Pricing'!$B$32)/M63)*'Realized Pricing'!$L$7</f>
        <v>2.7818774832128628</v>
      </c>
      <c r="L63" s="19"/>
      <c r="M63" s="225">
        <v>0.82</v>
      </c>
      <c r="N63" s="84" t="s">
        <v>171</v>
      </c>
      <c r="O63" s="84"/>
      <c r="P63" s="229">
        <v>12.4</v>
      </c>
      <c r="Q63" s="229">
        <v>34.6</v>
      </c>
      <c r="R63" s="229">
        <v>57.2</v>
      </c>
      <c r="S63" s="47"/>
      <c r="T63" s="234">
        <f>SUMPRODUCT($P$4:$R$4,((P63:R63)/M63))*'Realized Pricing'!$L$12</f>
        <v>32.959756097560977</v>
      </c>
      <c r="U63" s="241">
        <f t="shared" si="0"/>
        <v>62.341514420386524</v>
      </c>
      <c r="V63" s="233">
        <f t="shared" si="2"/>
        <v>3.7</v>
      </c>
    </row>
    <row r="64" spans="1:33">
      <c r="A64" s="84" t="s">
        <v>175</v>
      </c>
      <c r="B64" s="84"/>
      <c r="C64" s="84" t="s">
        <v>174</v>
      </c>
      <c r="D64" s="84" t="s">
        <v>175</v>
      </c>
      <c r="E64" s="92">
        <v>54.43</v>
      </c>
      <c r="F64" s="105">
        <f>(E64*'Realized Pricing'!$L$2)/M64</f>
        <v>62.295733980202655</v>
      </c>
      <c r="G64" s="84" t="s">
        <v>563</v>
      </c>
      <c r="H64" s="84" t="s">
        <v>375</v>
      </c>
      <c r="I64" s="84" t="s">
        <v>175</v>
      </c>
      <c r="J64" s="225">
        <v>2.9990000000000001</v>
      </c>
      <c r="K64" s="236">
        <f>((J64-'Realized Pricing'!$B$32)/M64)*'Realized Pricing'!$L$7</f>
        <v>2.7361446921662957</v>
      </c>
      <c r="L64" s="19"/>
      <c r="M64" s="225">
        <v>0.82</v>
      </c>
      <c r="N64" s="84" t="s">
        <v>563</v>
      </c>
      <c r="O64" s="84"/>
      <c r="P64" s="229">
        <v>12.4</v>
      </c>
      <c r="Q64" s="229">
        <v>34.6</v>
      </c>
      <c r="R64" s="229">
        <v>57.2</v>
      </c>
      <c r="S64" s="47"/>
      <c r="T64" s="234">
        <f>SUMPRODUCT($P$4:$R$4,((P64:R64)/M64))*'Realized Pricing'!$L$12</f>
        <v>32.959756097560977</v>
      </c>
      <c r="U64" s="241">
        <f t="shared" si="0"/>
        <v>62.295733980202655</v>
      </c>
      <c r="V64" s="233">
        <f t="shared" si="2"/>
        <v>3.6573170731707321</v>
      </c>
    </row>
    <row r="65" spans="1:22">
      <c r="A65" s="84" t="s">
        <v>178</v>
      </c>
      <c r="B65" s="84"/>
      <c r="C65" s="84" t="s">
        <v>177</v>
      </c>
      <c r="D65" s="84" t="s">
        <v>178</v>
      </c>
      <c r="E65" s="92">
        <v>54.34</v>
      </c>
      <c r="F65" s="105">
        <f>(E65*'Realized Pricing'!$L$2)/M65</f>
        <v>62.192727989788949</v>
      </c>
      <c r="G65" s="84" t="s">
        <v>176</v>
      </c>
      <c r="H65" s="84" t="s">
        <v>376</v>
      </c>
      <c r="I65" s="84" t="s">
        <v>178</v>
      </c>
      <c r="J65" s="225">
        <v>2.9079999999999999</v>
      </c>
      <c r="K65" s="236">
        <f>((J65-'Realized Pricing'!$B$32)/M65)*'Realized Pricing'!$L$7</f>
        <v>2.6172394354452209</v>
      </c>
      <c r="L65" s="19"/>
      <c r="M65" s="225">
        <v>0.82</v>
      </c>
      <c r="N65" s="84" t="s">
        <v>176</v>
      </c>
      <c r="O65" s="84"/>
      <c r="P65" s="229">
        <v>12.4</v>
      </c>
      <c r="Q65" s="229">
        <v>34.6</v>
      </c>
      <c r="R65" s="229">
        <v>57.2</v>
      </c>
      <c r="S65" s="47"/>
      <c r="T65" s="234">
        <f>SUMPRODUCT($P$4:$R$4,((P65:R65)/M65))*'Realized Pricing'!$L$12</f>
        <v>32.959756097560977</v>
      </c>
      <c r="U65" s="241">
        <f t="shared" si="0"/>
        <v>62.192727989788949</v>
      </c>
      <c r="V65" s="233">
        <f t="shared" si="2"/>
        <v>3.5463414634146342</v>
      </c>
    </row>
    <row r="66" spans="1:22">
      <c r="A66" s="84" t="s">
        <v>181</v>
      </c>
      <c r="B66" s="84"/>
      <c r="C66" s="84" t="s">
        <v>180</v>
      </c>
      <c r="D66" s="84" t="s">
        <v>181</v>
      </c>
      <c r="E66" s="92">
        <v>54.33</v>
      </c>
      <c r="F66" s="105">
        <f>(E66*'Realized Pricing'!$L$2)/M66</f>
        <v>62.181282879742973</v>
      </c>
      <c r="G66" s="84" t="s">
        <v>179</v>
      </c>
      <c r="H66" s="84" t="s">
        <v>377</v>
      </c>
      <c r="I66" s="84" t="s">
        <v>181</v>
      </c>
      <c r="J66" s="225">
        <v>2.67</v>
      </c>
      <c r="K66" s="236">
        <f>((J66-'Realized Pricing'!$B$32)/M66)*'Realized Pricing'!$L$7</f>
        <v>2.3062564563285646</v>
      </c>
      <c r="L66" s="19"/>
      <c r="M66" s="225">
        <v>0.82</v>
      </c>
      <c r="N66" s="84" t="s">
        <v>179</v>
      </c>
      <c r="O66" s="84"/>
      <c r="P66" s="229">
        <v>12.4</v>
      </c>
      <c r="Q66" s="229">
        <v>34.6</v>
      </c>
      <c r="R66" s="229">
        <v>57.2</v>
      </c>
      <c r="S66" s="47"/>
      <c r="T66" s="234">
        <f>SUMPRODUCT($P$4:$R$4,((P66:R66)/M66))*'Realized Pricing'!$L$12</f>
        <v>32.959756097560977</v>
      </c>
      <c r="U66" s="241">
        <f t="shared" si="0"/>
        <v>62.181282879742973</v>
      </c>
      <c r="V66" s="233">
        <f t="shared" si="2"/>
        <v>3.25609756097561</v>
      </c>
    </row>
    <row r="67" spans="1:22">
      <c r="A67" s="84" t="s">
        <v>184</v>
      </c>
      <c r="B67" s="84"/>
      <c r="C67" s="84" t="s">
        <v>183</v>
      </c>
      <c r="D67" s="84" t="s">
        <v>184</v>
      </c>
      <c r="E67" s="92">
        <v>54.3</v>
      </c>
      <c r="F67" s="105">
        <f>(E67*'Realized Pricing'!$L$2)/M67</f>
        <v>62.146947549605073</v>
      </c>
      <c r="G67" s="84" t="s">
        <v>182</v>
      </c>
      <c r="H67" s="84" t="s">
        <v>378</v>
      </c>
      <c r="I67" s="84" t="s">
        <v>184</v>
      </c>
      <c r="J67" s="225">
        <v>2.653</v>
      </c>
      <c r="K67" s="236">
        <f>((J67-'Realized Pricing'!$B$32)/M67)*'Realized Pricing'!$L$7</f>
        <v>2.2840433863916609</v>
      </c>
      <c r="L67" s="19"/>
      <c r="M67" s="225">
        <v>0.82</v>
      </c>
      <c r="N67" s="84" t="s">
        <v>182</v>
      </c>
      <c r="O67" s="84"/>
      <c r="P67" s="229">
        <v>12.4</v>
      </c>
      <c r="Q67" s="229">
        <v>34.6</v>
      </c>
      <c r="R67" s="229">
        <v>57.2</v>
      </c>
      <c r="S67" s="47"/>
      <c r="T67" s="234">
        <f>SUMPRODUCT($P$4:$R$4,((P67:R67)/M67))*'Realized Pricing'!$L$12</f>
        <v>32.959756097560977</v>
      </c>
      <c r="U67" s="241">
        <f t="shared" si="0"/>
        <v>62.146947549605073</v>
      </c>
      <c r="V67" s="233">
        <f t="shared" si="2"/>
        <v>3.235365853658537</v>
      </c>
    </row>
    <row r="68" spans="1:22">
      <c r="A68" s="84" t="s">
        <v>187</v>
      </c>
      <c r="B68" s="84"/>
      <c r="C68" s="84" t="s">
        <v>186</v>
      </c>
      <c r="D68" s="84" t="s">
        <v>187</v>
      </c>
      <c r="E68" s="92">
        <v>54.32</v>
      </c>
      <c r="F68" s="105">
        <f>(E68*'Realized Pricing'!$L$2)/M68</f>
        <v>62.169837769697011</v>
      </c>
      <c r="G68" s="84" t="s">
        <v>185</v>
      </c>
      <c r="H68" s="84" t="s">
        <v>379</v>
      </c>
      <c r="I68" s="84" t="s">
        <v>187</v>
      </c>
      <c r="J68" s="225">
        <v>2.6819999999999999</v>
      </c>
      <c r="K68" s="236">
        <f>((J68-'Realized Pricing'!$B$32)/M68)*'Realized Pricing'!$L$7</f>
        <v>2.3219362704016735</v>
      </c>
      <c r="L68" s="19"/>
      <c r="M68" s="225">
        <v>0.82</v>
      </c>
      <c r="N68" s="84" t="s">
        <v>185</v>
      </c>
      <c r="O68" s="84"/>
      <c r="P68" s="229">
        <v>12.4</v>
      </c>
      <c r="Q68" s="229">
        <v>34.6</v>
      </c>
      <c r="R68" s="229">
        <v>57.2</v>
      </c>
      <c r="S68" s="47"/>
      <c r="T68" s="234">
        <f>SUMPRODUCT($P$4:$R$4,((P68:R68)/M68))*'Realized Pricing'!$L$12</f>
        <v>32.959756097560977</v>
      </c>
      <c r="U68" s="241">
        <f t="shared" si="0"/>
        <v>62.169837769697011</v>
      </c>
      <c r="V68" s="233">
        <f t="shared" si="2"/>
        <v>3.2707317073170734</v>
      </c>
    </row>
    <row r="69" spans="1:22">
      <c r="A69" s="84" t="s">
        <v>190</v>
      </c>
      <c r="B69" s="84"/>
      <c r="C69" s="84" t="s">
        <v>189</v>
      </c>
      <c r="D69" s="84" t="s">
        <v>190</v>
      </c>
      <c r="E69" s="92">
        <v>54.32</v>
      </c>
      <c r="F69" s="105">
        <f>(E69*'Realized Pricing'!$L$2)/M69</f>
        <v>62.169837769697011</v>
      </c>
      <c r="G69" s="84" t="s">
        <v>188</v>
      </c>
      <c r="H69" s="84" t="s">
        <v>380</v>
      </c>
      <c r="I69" s="84" t="s">
        <v>190</v>
      </c>
      <c r="J69" s="225">
        <v>2.7130000000000001</v>
      </c>
      <c r="K69" s="236">
        <f>((J69-'Realized Pricing'!$B$32)/M69)*'Realized Pricing'!$L$7</f>
        <v>2.3624424567572047</v>
      </c>
      <c r="L69" s="19"/>
      <c r="M69" s="225">
        <v>0.82</v>
      </c>
      <c r="N69" s="84" t="s">
        <v>188</v>
      </c>
      <c r="O69" s="84"/>
      <c r="P69" s="229">
        <v>12.4</v>
      </c>
      <c r="Q69" s="229">
        <v>34.6</v>
      </c>
      <c r="R69" s="229">
        <v>57.2</v>
      </c>
      <c r="S69" s="47"/>
      <c r="T69" s="234">
        <f>SUMPRODUCT($P$4:$R$4,((P69:R69)/M69))*'Realized Pricing'!$L$12</f>
        <v>32.959756097560977</v>
      </c>
      <c r="U69" s="241">
        <f t="shared" si="0"/>
        <v>62.169837769697011</v>
      </c>
      <c r="V69" s="233">
        <f t="shared" ref="V69:V100" si="3">J69/M69</f>
        <v>3.3085365853658542</v>
      </c>
    </row>
    <row r="70" spans="1:22">
      <c r="A70" s="84" t="s">
        <v>193</v>
      </c>
      <c r="B70" s="84"/>
      <c r="C70" s="84" t="s">
        <v>192</v>
      </c>
      <c r="D70" s="84" t="s">
        <v>193</v>
      </c>
      <c r="E70" s="92">
        <v>54.3</v>
      </c>
      <c r="F70" s="105">
        <f>(E70*'Realized Pricing'!$L$2)/M70</f>
        <v>62.146947549605073</v>
      </c>
      <c r="G70" s="84" t="s">
        <v>191</v>
      </c>
      <c r="H70" s="84" t="s">
        <v>381</v>
      </c>
      <c r="I70" s="84" t="s">
        <v>193</v>
      </c>
      <c r="J70" s="225">
        <v>2.726</v>
      </c>
      <c r="K70" s="236">
        <f>((J70-'Realized Pricing'!$B$32)/M70)*'Realized Pricing'!$L$7</f>
        <v>2.379428922003072</v>
      </c>
      <c r="L70" s="19"/>
      <c r="M70" s="225">
        <v>0.82</v>
      </c>
      <c r="N70" s="84" t="s">
        <v>191</v>
      </c>
      <c r="O70" s="84"/>
      <c r="P70" s="229">
        <v>12.4</v>
      </c>
      <c r="Q70" s="229">
        <v>34.6</v>
      </c>
      <c r="R70" s="229">
        <v>57.2</v>
      </c>
      <c r="S70" s="47"/>
      <c r="T70" s="234">
        <f>SUMPRODUCT($P$4:$R$4,((P70:R70)/M70))*'Realized Pricing'!$L$12</f>
        <v>32.959756097560977</v>
      </c>
      <c r="U70" s="241">
        <f t="shared" ref="U70:U133" si="4">F70</f>
        <v>62.146947549605073</v>
      </c>
      <c r="V70" s="233">
        <f t="shared" si="3"/>
        <v>3.3243902439024393</v>
      </c>
    </row>
    <row r="71" spans="1:22">
      <c r="A71" s="84" t="s">
        <v>196</v>
      </c>
      <c r="B71" s="84"/>
      <c r="C71" s="84" t="s">
        <v>195</v>
      </c>
      <c r="D71" s="84" t="s">
        <v>196</v>
      </c>
      <c r="E71" s="92">
        <v>54.29</v>
      </c>
      <c r="F71" s="105">
        <f>(E71*'Realized Pricing'!$L$2)/M71</f>
        <v>62.135502439559104</v>
      </c>
      <c r="G71" s="84" t="s">
        <v>194</v>
      </c>
      <c r="H71" s="84" t="s">
        <v>382</v>
      </c>
      <c r="I71" s="84" t="s">
        <v>196</v>
      </c>
      <c r="J71" s="225">
        <v>2.726</v>
      </c>
      <c r="K71" s="236">
        <f>((J71-'Realized Pricing'!$B$32)/M71)*'Realized Pricing'!$L$7</f>
        <v>2.379428922003072</v>
      </c>
      <c r="L71" s="19"/>
      <c r="M71" s="225">
        <v>0.82</v>
      </c>
      <c r="N71" s="84" t="s">
        <v>194</v>
      </c>
      <c r="O71" s="84"/>
      <c r="P71" s="229">
        <v>12.4</v>
      </c>
      <c r="Q71" s="229">
        <v>34.6</v>
      </c>
      <c r="R71" s="229">
        <v>57.2</v>
      </c>
      <c r="S71" s="47"/>
      <c r="T71" s="234">
        <f>SUMPRODUCT($P$4:$R$4,((P71:R71)/M71))*'Realized Pricing'!$L$12</f>
        <v>32.959756097560977</v>
      </c>
      <c r="U71" s="241">
        <f t="shared" si="4"/>
        <v>62.135502439559104</v>
      </c>
      <c r="V71" s="233">
        <f t="shared" si="3"/>
        <v>3.3243902439024393</v>
      </c>
    </row>
    <row r="72" spans="1:22">
      <c r="A72" s="84" t="s">
        <v>199</v>
      </c>
      <c r="B72" s="84"/>
      <c r="C72" s="84" t="s">
        <v>198</v>
      </c>
      <c r="D72" s="84" t="s">
        <v>199</v>
      </c>
      <c r="E72" s="92">
        <v>54.29</v>
      </c>
      <c r="F72" s="105">
        <f>(E72*'Realized Pricing'!$L$2)/M72</f>
        <v>62.135502439559104</v>
      </c>
      <c r="G72" s="84" t="s">
        <v>197</v>
      </c>
      <c r="H72" s="84" t="s">
        <v>383</v>
      </c>
      <c r="I72" s="84" t="s">
        <v>199</v>
      </c>
      <c r="J72" s="225">
        <v>2.7480000000000002</v>
      </c>
      <c r="K72" s="236">
        <f>((J72-'Realized Pricing'!$B$32)/M72)*'Realized Pricing'!$L$7</f>
        <v>2.4081752478037717</v>
      </c>
      <c r="L72" s="19"/>
      <c r="M72" s="225">
        <v>0.82</v>
      </c>
      <c r="N72" s="84" t="s">
        <v>197</v>
      </c>
      <c r="O72" s="84"/>
      <c r="P72" s="229">
        <v>12.4</v>
      </c>
      <c r="Q72" s="229">
        <v>34.6</v>
      </c>
      <c r="R72" s="229">
        <v>57.2</v>
      </c>
      <c r="S72" s="47"/>
      <c r="T72" s="234">
        <f>SUMPRODUCT($P$4:$R$4,((P72:R72)/M72))*'Realized Pricing'!$L$12</f>
        <v>32.959756097560977</v>
      </c>
      <c r="U72" s="241">
        <f t="shared" si="4"/>
        <v>62.135502439559104</v>
      </c>
      <c r="V72" s="233">
        <f t="shared" si="3"/>
        <v>3.3512195121951223</v>
      </c>
    </row>
    <row r="73" spans="1:22">
      <c r="A73" s="84" t="s">
        <v>202</v>
      </c>
      <c r="B73" s="84"/>
      <c r="C73" s="84" t="s">
        <v>201</v>
      </c>
      <c r="D73" s="84" t="s">
        <v>202</v>
      </c>
      <c r="E73" s="92">
        <v>54.32</v>
      </c>
      <c r="F73" s="105">
        <f>(E73*'Realized Pricing'!$L$2)/M73</f>
        <v>62.169837769697011</v>
      </c>
      <c r="G73" s="84" t="s">
        <v>200</v>
      </c>
      <c r="H73" s="84" t="s">
        <v>384</v>
      </c>
      <c r="I73" s="84" t="s">
        <v>202</v>
      </c>
      <c r="J73" s="225">
        <v>2.8079999999999998</v>
      </c>
      <c r="K73" s="236">
        <f>((J73-'Realized Pricing'!$B$32)/M73)*'Realized Pricing'!$L$7</f>
        <v>2.4865743181693145</v>
      </c>
      <c r="L73" s="19"/>
      <c r="M73" s="225">
        <v>0.82</v>
      </c>
      <c r="N73" s="84" t="s">
        <v>200</v>
      </c>
      <c r="O73" s="84"/>
      <c r="P73" s="229">
        <v>12.4</v>
      </c>
      <c r="Q73" s="229">
        <v>34.6</v>
      </c>
      <c r="R73" s="229">
        <v>57.2</v>
      </c>
      <c r="S73" s="47"/>
      <c r="T73" s="234">
        <f>SUMPRODUCT($P$4:$R$4,((P73:R73)/M73))*'Realized Pricing'!$L$12</f>
        <v>32.959756097560977</v>
      </c>
      <c r="U73" s="241">
        <f t="shared" si="4"/>
        <v>62.169837769697011</v>
      </c>
      <c r="V73" s="233">
        <f t="shared" si="3"/>
        <v>3.424390243902439</v>
      </c>
    </row>
    <row r="74" spans="1:22">
      <c r="A74" s="84" t="s">
        <v>205</v>
      </c>
      <c r="B74" s="84"/>
      <c r="C74" s="84" t="s">
        <v>204</v>
      </c>
      <c r="D74" s="84" t="s">
        <v>205</v>
      </c>
      <c r="E74" s="92">
        <v>54.36</v>
      </c>
      <c r="F74" s="105">
        <f>(E74*'Realized Pricing'!$L$2)/M74</f>
        <v>62.21561820988088</v>
      </c>
      <c r="G74" s="84" t="s">
        <v>203</v>
      </c>
      <c r="H74" s="84" t="s">
        <v>385</v>
      </c>
      <c r="I74" s="84" t="s">
        <v>205</v>
      </c>
      <c r="J74" s="225">
        <v>2.9630000000000001</v>
      </c>
      <c r="K74" s="236">
        <f>((J74-'Realized Pricing'!$B$32)/M74)*'Realized Pricing'!$L$7</f>
        <v>2.6891052499469694</v>
      </c>
      <c r="L74" s="19"/>
      <c r="M74" s="225">
        <v>0.82</v>
      </c>
      <c r="N74" s="84" t="s">
        <v>203</v>
      </c>
      <c r="O74" s="84"/>
      <c r="P74" s="229">
        <v>12.4</v>
      </c>
      <c r="Q74" s="229">
        <v>34.6</v>
      </c>
      <c r="R74" s="229">
        <v>57.2</v>
      </c>
      <c r="S74" s="47"/>
      <c r="T74" s="234">
        <f>SUMPRODUCT($P$4:$R$4,((P74:R74)/M74))*'Realized Pricing'!$L$12</f>
        <v>32.959756097560977</v>
      </c>
      <c r="U74" s="241">
        <f t="shared" si="4"/>
        <v>62.21561820988088</v>
      </c>
      <c r="V74" s="233">
        <f t="shared" si="3"/>
        <v>3.6134146341463418</v>
      </c>
    </row>
    <row r="75" spans="1:22">
      <c r="A75" s="84" t="s">
        <v>208</v>
      </c>
      <c r="B75" s="84"/>
      <c r="C75" s="84" t="s">
        <v>207</v>
      </c>
      <c r="D75" s="84" t="s">
        <v>208</v>
      </c>
      <c r="E75" s="92">
        <v>54.28</v>
      </c>
      <c r="F75" s="105">
        <f>(E75*'Realized Pricing'!$L$2)/M75</f>
        <v>62.124057329513143</v>
      </c>
      <c r="G75" s="84" t="s">
        <v>206</v>
      </c>
      <c r="H75" s="84" t="s">
        <v>386</v>
      </c>
      <c r="I75" s="84" t="s">
        <v>208</v>
      </c>
      <c r="J75" s="225">
        <v>3.0870000000000002</v>
      </c>
      <c r="K75" s="236">
        <f>((J75-'Realized Pricing'!$B$32)/M75)*'Realized Pricing'!$L$7</f>
        <v>2.8511299953690932</v>
      </c>
      <c r="L75" s="19"/>
      <c r="M75" s="225">
        <v>0.82</v>
      </c>
      <c r="N75" s="84" t="s">
        <v>206</v>
      </c>
      <c r="O75" s="84"/>
      <c r="P75" s="229">
        <v>12.6</v>
      </c>
      <c r="Q75" s="229">
        <v>35.799999999999997</v>
      </c>
      <c r="R75" s="229">
        <v>59.5</v>
      </c>
      <c r="S75" s="47"/>
      <c r="T75" s="234">
        <f>SUMPRODUCT($P$4:$R$4,((P75:R75)/M75))*'Realized Pricing'!$L$12</f>
        <v>34.071585365853664</v>
      </c>
      <c r="U75" s="241">
        <f t="shared" si="4"/>
        <v>62.124057329513143</v>
      </c>
      <c r="V75" s="233">
        <f t="shared" si="3"/>
        <v>3.7646341463414639</v>
      </c>
    </row>
    <row r="76" spans="1:22">
      <c r="A76" s="84" t="s">
        <v>210</v>
      </c>
      <c r="B76" s="84"/>
      <c r="C76" s="84" t="s">
        <v>209</v>
      </c>
      <c r="D76" s="84" t="s">
        <v>210</v>
      </c>
      <c r="E76" s="92">
        <v>54.28</v>
      </c>
      <c r="F76" s="105">
        <f>(E76*'Realized Pricing'!$L$2)/M76</f>
        <v>62.124057329513143</v>
      </c>
      <c r="G76" s="84" t="s">
        <v>203</v>
      </c>
      <c r="H76" s="84" t="s">
        <v>387</v>
      </c>
      <c r="I76" s="84" t="s">
        <v>210</v>
      </c>
      <c r="J76" s="225">
        <v>3.05</v>
      </c>
      <c r="K76" s="236">
        <f>((J76-'Realized Pricing'!$B$32)/M76)*'Realized Pricing'!$L$7</f>
        <v>2.8027839019770076</v>
      </c>
      <c r="L76" s="19"/>
      <c r="M76" s="225">
        <v>0.82</v>
      </c>
      <c r="N76" s="84" t="s">
        <v>203</v>
      </c>
      <c r="O76" s="84"/>
      <c r="P76" s="229">
        <v>12.6</v>
      </c>
      <c r="Q76" s="229">
        <v>35.799999999999997</v>
      </c>
      <c r="R76" s="229">
        <v>59.5</v>
      </c>
      <c r="S76" s="47"/>
      <c r="T76" s="234">
        <f>SUMPRODUCT($P$4:$R$4,((P76:R76)/M76))*'Realized Pricing'!$L$12</f>
        <v>34.071585365853664</v>
      </c>
      <c r="U76" s="241">
        <f t="shared" si="4"/>
        <v>62.124057329513143</v>
      </c>
      <c r="V76" s="233">
        <f t="shared" si="3"/>
        <v>3.7195121951219514</v>
      </c>
    </row>
    <row r="77" spans="1:22">
      <c r="A77" s="84" t="s">
        <v>213</v>
      </c>
      <c r="B77" s="84"/>
      <c r="C77" s="84" t="s">
        <v>212</v>
      </c>
      <c r="D77" s="84" t="s">
        <v>213</v>
      </c>
      <c r="E77" s="92">
        <v>54.28</v>
      </c>
      <c r="F77" s="105">
        <f>(E77*'Realized Pricing'!$L$2)/M77</f>
        <v>62.124057329513143</v>
      </c>
      <c r="G77" s="84" t="s">
        <v>211</v>
      </c>
      <c r="H77" s="84" t="s">
        <v>388</v>
      </c>
      <c r="I77" s="84" t="s">
        <v>213</v>
      </c>
      <c r="J77" s="225">
        <v>2.9849999999999999</v>
      </c>
      <c r="K77" s="236">
        <f>((J77-'Realized Pricing'!$B$32)/M77)*'Realized Pricing'!$L$7</f>
        <v>2.7178515757476682</v>
      </c>
      <c r="L77" s="19"/>
      <c r="M77" s="225">
        <v>0.82</v>
      </c>
      <c r="N77" s="84" t="s">
        <v>211</v>
      </c>
      <c r="O77" s="84"/>
      <c r="P77" s="229">
        <v>12.6</v>
      </c>
      <c r="Q77" s="229">
        <v>35.799999999999997</v>
      </c>
      <c r="R77" s="229">
        <v>59.5</v>
      </c>
      <c r="S77" s="106"/>
      <c r="T77" s="234">
        <f>SUMPRODUCT($P$4:$R$4,((P77:R77)/M77))*'Realized Pricing'!$L$12</f>
        <v>34.071585365853664</v>
      </c>
      <c r="U77" s="241">
        <f t="shared" si="4"/>
        <v>62.124057329513143</v>
      </c>
      <c r="V77" s="233">
        <f t="shared" si="3"/>
        <v>3.6402439024390243</v>
      </c>
    </row>
    <row r="78" spans="1:22">
      <c r="A78" s="84" t="s">
        <v>216</v>
      </c>
      <c r="B78" s="84"/>
      <c r="C78" s="84" t="s">
        <v>215</v>
      </c>
      <c r="D78" s="84" t="s">
        <v>216</v>
      </c>
      <c r="E78" s="92">
        <v>54.28</v>
      </c>
      <c r="F78" s="105">
        <f>(E78*'Realized Pricing'!$L$2)/M78</f>
        <v>62.124057329513143</v>
      </c>
      <c r="G78" s="84" t="s">
        <v>214</v>
      </c>
      <c r="H78" s="84" t="s">
        <v>389</v>
      </c>
      <c r="I78" s="84" t="s">
        <v>216</v>
      </c>
      <c r="J78" s="225">
        <v>2.7749999999999999</v>
      </c>
      <c r="K78" s="236">
        <f>((J78-'Realized Pricing'!$B$32)/M78)*'Realized Pricing'!$L$7</f>
        <v>2.4434548294682661</v>
      </c>
      <c r="L78" s="19"/>
      <c r="M78" s="225">
        <v>0.82</v>
      </c>
      <c r="N78" s="84" t="s">
        <v>214</v>
      </c>
      <c r="O78" s="84"/>
      <c r="P78" s="229">
        <v>12.6</v>
      </c>
      <c r="Q78" s="229">
        <v>35.799999999999997</v>
      </c>
      <c r="R78" s="229">
        <v>59.5</v>
      </c>
      <c r="S78" s="106"/>
      <c r="T78" s="234">
        <f>SUMPRODUCT($P$4:$R$4,((P78:R78)/M78))*'Realized Pricing'!$L$12</f>
        <v>34.071585365853664</v>
      </c>
      <c r="U78" s="241">
        <f t="shared" si="4"/>
        <v>62.124057329513143</v>
      </c>
      <c r="V78" s="233">
        <f t="shared" si="3"/>
        <v>3.3841463414634148</v>
      </c>
    </row>
    <row r="79" spans="1:22">
      <c r="A79" s="84" t="s">
        <v>219</v>
      </c>
      <c r="B79" s="84"/>
      <c r="C79" s="84" t="s">
        <v>218</v>
      </c>
      <c r="D79" s="84" t="s">
        <v>219</v>
      </c>
      <c r="E79" s="92">
        <v>54.26</v>
      </c>
      <c r="F79" s="105">
        <f>(E79*'Realized Pricing'!$L$2)/M79</f>
        <v>62.101167109421198</v>
      </c>
      <c r="G79" s="84" t="s">
        <v>217</v>
      </c>
      <c r="H79" s="84" t="s">
        <v>390</v>
      </c>
      <c r="I79" s="84" t="s">
        <v>219</v>
      </c>
      <c r="J79" s="225">
        <v>2.76</v>
      </c>
      <c r="K79" s="236">
        <f>((J79-'Realized Pricing'!$B$32)/M79)*'Realized Pricing'!$L$7</f>
        <v>2.4238550618768797</v>
      </c>
      <c r="L79" s="19"/>
      <c r="M79" s="225">
        <v>0.82</v>
      </c>
      <c r="N79" s="84" t="s">
        <v>217</v>
      </c>
      <c r="O79" s="84"/>
      <c r="P79" s="229">
        <v>12.6</v>
      </c>
      <c r="Q79" s="229">
        <v>35.799999999999997</v>
      </c>
      <c r="R79" s="229">
        <v>59.5</v>
      </c>
      <c r="S79" s="106"/>
      <c r="T79" s="234">
        <f>SUMPRODUCT($P$4:$R$4,((P79:R79)/M79))*'Realized Pricing'!$L$12</f>
        <v>34.071585365853664</v>
      </c>
      <c r="U79" s="241">
        <f t="shared" si="4"/>
        <v>62.101167109421198</v>
      </c>
      <c r="V79" s="233">
        <f t="shared" si="3"/>
        <v>3.3658536585365852</v>
      </c>
    </row>
    <row r="80" spans="1:22">
      <c r="A80" s="84" t="s">
        <v>222</v>
      </c>
      <c r="B80" s="84"/>
      <c r="C80" s="84" t="s">
        <v>221</v>
      </c>
      <c r="D80" s="84" t="s">
        <v>222</v>
      </c>
      <c r="E80" s="92">
        <v>54.25</v>
      </c>
      <c r="F80" s="105">
        <f>(E80*'Realized Pricing'!$L$2)/M80</f>
        <v>62.089721999375236</v>
      </c>
      <c r="G80" s="84" t="s">
        <v>220</v>
      </c>
      <c r="H80" s="84" t="s">
        <v>391</v>
      </c>
      <c r="I80" s="84" t="s">
        <v>222</v>
      </c>
      <c r="J80" s="225">
        <v>2.7890000000000001</v>
      </c>
      <c r="K80" s="236">
        <f>((J80-'Realized Pricing'!$B$32)/M80)*'Realized Pricing'!$L$7</f>
        <v>2.4617479458868932</v>
      </c>
      <c r="L80" s="19"/>
      <c r="M80" s="225">
        <v>0.82</v>
      </c>
      <c r="N80" s="84" t="s">
        <v>220</v>
      </c>
      <c r="O80" s="84"/>
      <c r="P80" s="229">
        <v>12.6</v>
      </c>
      <c r="Q80" s="229">
        <v>35.799999999999997</v>
      </c>
      <c r="R80" s="229">
        <v>59.5</v>
      </c>
      <c r="S80" s="106"/>
      <c r="T80" s="234">
        <f>SUMPRODUCT($P$4:$R$4,((P80:R80)/M80))*'Realized Pricing'!$L$12</f>
        <v>34.071585365853664</v>
      </c>
      <c r="U80" s="241">
        <f t="shared" si="4"/>
        <v>62.089721999375236</v>
      </c>
      <c r="V80" s="233">
        <f t="shared" si="3"/>
        <v>3.4012195121951225</v>
      </c>
    </row>
    <row r="81" spans="1:22">
      <c r="A81" s="84" t="s">
        <v>225</v>
      </c>
      <c r="B81" s="84"/>
      <c r="C81" s="84" t="s">
        <v>224</v>
      </c>
      <c r="D81" s="84" t="s">
        <v>225</v>
      </c>
      <c r="E81" s="92">
        <v>54.28</v>
      </c>
      <c r="F81" s="105">
        <f>(E81*'Realized Pricing'!$L$2)/M81</f>
        <v>62.124057329513143</v>
      </c>
      <c r="G81" s="84" t="s">
        <v>223</v>
      </c>
      <c r="H81" s="84" t="s">
        <v>392</v>
      </c>
      <c r="I81" s="84" t="s">
        <v>225</v>
      </c>
      <c r="J81" s="225">
        <v>2.8210000000000002</v>
      </c>
      <c r="K81" s="236">
        <f>((J81-'Realized Pricing'!$B$32)/M81)*'Realized Pricing'!$L$7</f>
        <v>2.5035607834151832</v>
      </c>
      <c r="L81" s="19"/>
      <c r="M81" s="225">
        <v>0.82</v>
      </c>
      <c r="N81" s="84" t="s">
        <v>223</v>
      </c>
      <c r="O81" s="84"/>
      <c r="P81" s="229">
        <v>12.6</v>
      </c>
      <c r="Q81" s="229">
        <v>35.799999999999997</v>
      </c>
      <c r="R81" s="229">
        <v>59.5</v>
      </c>
      <c r="S81" s="106"/>
      <c r="T81" s="234">
        <f>SUMPRODUCT($P$4:$R$4,((P81:R81)/M81))*'Realized Pricing'!$L$12</f>
        <v>34.071585365853664</v>
      </c>
      <c r="U81" s="241">
        <f t="shared" si="4"/>
        <v>62.124057329513143</v>
      </c>
      <c r="V81" s="233">
        <f t="shared" si="3"/>
        <v>3.440243902439025</v>
      </c>
    </row>
    <row r="82" spans="1:22">
      <c r="A82" s="84" t="s">
        <v>228</v>
      </c>
      <c r="B82" s="84"/>
      <c r="C82" s="84" t="s">
        <v>227</v>
      </c>
      <c r="D82" s="84" t="s">
        <v>228</v>
      </c>
      <c r="E82" s="92">
        <v>54.28</v>
      </c>
      <c r="F82" s="105">
        <f>(E82*'Realized Pricing'!$L$2)/M82</f>
        <v>62.124057329513143</v>
      </c>
      <c r="G82" s="84" t="s">
        <v>226</v>
      </c>
      <c r="H82" s="84" t="s">
        <v>393</v>
      </c>
      <c r="I82" s="84" t="s">
        <v>228</v>
      </c>
      <c r="J82" s="225">
        <v>2.84</v>
      </c>
      <c r="K82" s="236">
        <f>((J82-'Realized Pricing'!$B$32)/M82)*'Realized Pricing'!$L$7</f>
        <v>2.5283871556976045</v>
      </c>
      <c r="L82" s="19"/>
      <c r="M82" s="225">
        <v>0.82</v>
      </c>
      <c r="N82" s="84" t="s">
        <v>226</v>
      </c>
      <c r="O82" s="84"/>
      <c r="P82" s="229">
        <v>12.6</v>
      </c>
      <c r="Q82" s="229">
        <v>35.799999999999997</v>
      </c>
      <c r="R82" s="229">
        <v>59.5</v>
      </c>
      <c r="S82" s="106"/>
      <c r="T82" s="234">
        <f>SUMPRODUCT($P$4:$R$4,((P82:R82)/M82))*'Realized Pricing'!$L$12</f>
        <v>34.071585365853664</v>
      </c>
      <c r="U82" s="241">
        <f t="shared" si="4"/>
        <v>62.124057329513143</v>
      </c>
      <c r="V82" s="233">
        <f t="shared" si="3"/>
        <v>3.4634146341463414</v>
      </c>
    </row>
    <row r="83" spans="1:22">
      <c r="A83" s="84" t="s">
        <v>231</v>
      </c>
      <c r="B83" s="84"/>
      <c r="C83" s="84" t="s">
        <v>230</v>
      </c>
      <c r="D83" s="84" t="s">
        <v>231</v>
      </c>
      <c r="E83" s="92">
        <v>54.26</v>
      </c>
      <c r="F83" s="105">
        <f>(E83*'Realized Pricing'!$L$2)/M83</f>
        <v>62.101167109421198</v>
      </c>
      <c r="G83" s="84" t="s">
        <v>229</v>
      </c>
      <c r="H83" s="84" t="s">
        <v>394</v>
      </c>
      <c r="I83" s="84" t="s">
        <v>231</v>
      </c>
      <c r="J83" s="225">
        <v>2.8439999999999999</v>
      </c>
      <c r="K83" s="236">
        <f>((J83-'Realized Pricing'!$B$32)/M83)*'Realized Pricing'!$L$7</f>
        <v>2.5336137603886408</v>
      </c>
      <c r="L83" s="19"/>
      <c r="M83" s="225">
        <v>0.82</v>
      </c>
      <c r="N83" s="84" t="s">
        <v>229</v>
      </c>
      <c r="O83" s="84"/>
      <c r="P83" s="229">
        <v>12.6</v>
      </c>
      <c r="Q83" s="229">
        <v>35.799999999999997</v>
      </c>
      <c r="R83" s="229">
        <v>59.5</v>
      </c>
      <c r="S83" s="106"/>
      <c r="T83" s="234">
        <f>SUMPRODUCT($P$4:$R$4,((P83:R83)/M83))*'Realized Pricing'!$L$12</f>
        <v>34.071585365853664</v>
      </c>
      <c r="U83" s="241">
        <f t="shared" si="4"/>
        <v>62.101167109421198</v>
      </c>
      <c r="V83" s="233">
        <f t="shared" si="3"/>
        <v>3.4682926829268292</v>
      </c>
    </row>
    <row r="84" spans="1:22">
      <c r="A84" s="84" t="s">
        <v>234</v>
      </c>
      <c r="B84" s="84"/>
      <c r="C84" s="84" t="s">
        <v>233</v>
      </c>
      <c r="D84" s="84" t="s">
        <v>234</v>
      </c>
      <c r="E84" s="92">
        <v>54.25</v>
      </c>
      <c r="F84" s="105">
        <f>(E84*'Realized Pricing'!$L$2)/M84</f>
        <v>62.089721999375236</v>
      </c>
      <c r="G84" s="84" t="s">
        <v>232</v>
      </c>
      <c r="H84" s="84" t="s">
        <v>395</v>
      </c>
      <c r="I84" s="84" t="s">
        <v>234</v>
      </c>
      <c r="J84" s="225">
        <v>2.8719999999999999</v>
      </c>
      <c r="K84" s="236">
        <f>((J84-'Realized Pricing'!$B$32)/M84)*'Realized Pricing'!$L$7</f>
        <v>2.5701999932258945</v>
      </c>
      <c r="L84" s="19"/>
      <c r="M84" s="225">
        <v>0.82</v>
      </c>
      <c r="N84" s="84" t="s">
        <v>232</v>
      </c>
      <c r="O84" s="84"/>
      <c r="P84" s="229">
        <v>12.6</v>
      </c>
      <c r="Q84" s="229">
        <v>35.799999999999997</v>
      </c>
      <c r="R84" s="229">
        <v>59.5</v>
      </c>
      <c r="S84" s="106"/>
      <c r="T84" s="234">
        <f>SUMPRODUCT($P$4:$R$4,((P84:R84)/M84))*'Realized Pricing'!$L$12</f>
        <v>34.071585365853664</v>
      </c>
      <c r="U84" s="241">
        <f t="shared" si="4"/>
        <v>62.089721999375236</v>
      </c>
      <c r="V84" s="233">
        <f t="shared" si="3"/>
        <v>3.5024390243902439</v>
      </c>
    </row>
    <row r="85" spans="1:22">
      <c r="A85" s="84" t="s">
        <v>237</v>
      </c>
      <c r="B85" s="84"/>
      <c r="C85" s="84" t="s">
        <v>236</v>
      </c>
      <c r="D85" s="84" t="s">
        <v>237</v>
      </c>
      <c r="E85" s="92">
        <v>54.3</v>
      </c>
      <c r="F85" s="105">
        <f>(E85*'Realized Pricing'!$L$2)/M85</f>
        <v>62.146947549605073</v>
      </c>
      <c r="G85" s="84" t="s">
        <v>235</v>
      </c>
      <c r="H85" s="84" t="s">
        <v>396</v>
      </c>
      <c r="I85" s="84" t="s">
        <v>237</v>
      </c>
      <c r="J85" s="225">
        <v>2.9380000000000002</v>
      </c>
      <c r="K85" s="236">
        <f>((J85-'Realized Pricing'!$B$32)/M85)*'Realized Pricing'!$L$7</f>
        <v>2.6564389706279932</v>
      </c>
      <c r="L85" s="19"/>
      <c r="M85" s="225">
        <v>0.82</v>
      </c>
      <c r="N85" s="84" t="s">
        <v>235</v>
      </c>
      <c r="O85" s="84"/>
      <c r="P85" s="229">
        <v>12.6</v>
      </c>
      <c r="Q85" s="229">
        <v>35.799999999999997</v>
      </c>
      <c r="R85" s="229">
        <v>59.5</v>
      </c>
      <c r="S85" s="106"/>
      <c r="T85" s="234">
        <f>SUMPRODUCT($P$4:$R$4,((P85:R85)/M85))*'Realized Pricing'!$L$12</f>
        <v>34.071585365853664</v>
      </c>
      <c r="U85" s="241">
        <f t="shared" si="4"/>
        <v>62.146947549605073</v>
      </c>
      <c r="V85" s="233">
        <f t="shared" si="3"/>
        <v>3.5829268292682932</v>
      </c>
    </row>
    <row r="86" spans="1:22">
      <c r="A86" s="84" t="s">
        <v>240</v>
      </c>
      <c r="B86" s="84"/>
      <c r="C86" s="84" t="s">
        <v>239</v>
      </c>
      <c r="D86" s="84" t="s">
        <v>240</v>
      </c>
      <c r="E86" s="92">
        <v>54.28</v>
      </c>
      <c r="F86" s="105">
        <f>(E86*'Realized Pricing'!$L$2)/M86</f>
        <v>62.124057329513143</v>
      </c>
      <c r="G86" s="84" t="s">
        <v>238</v>
      </c>
      <c r="H86" s="84" t="s">
        <v>397</v>
      </c>
      <c r="I86" s="84" t="s">
        <v>240</v>
      </c>
      <c r="J86" s="225">
        <v>3.09</v>
      </c>
      <c r="K86" s="236">
        <f>((J86-'Realized Pricing'!$B$32)/M86)*'Realized Pricing'!$L$7</f>
        <v>2.8550499488873702</v>
      </c>
      <c r="L86" s="19"/>
      <c r="M86" s="225">
        <v>0.82</v>
      </c>
      <c r="N86" s="84" t="s">
        <v>238</v>
      </c>
      <c r="O86" s="84"/>
      <c r="P86" s="229">
        <v>12.6</v>
      </c>
      <c r="Q86" s="229">
        <v>35.799999999999997</v>
      </c>
      <c r="R86" s="229">
        <v>59.5</v>
      </c>
      <c r="S86" s="106"/>
      <c r="T86" s="234">
        <f>SUMPRODUCT($P$4:$R$4,((P86:R86)/M86))*'Realized Pricing'!$L$12</f>
        <v>34.071585365853664</v>
      </c>
      <c r="U86" s="241">
        <f t="shared" si="4"/>
        <v>62.124057329513143</v>
      </c>
      <c r="V86" s="233">
        <f t="shared" si="3"/>
        <v>3.7682926829268295</v>
      </c>
    </row>
    <row r="87" spans="1:22">
      <c r="A87" s="84" t="s">
        <v>243</v>
      </c>
      <c r="B87" s="84"/>
      <c r="C87" s="84" t="s">
        <v>242</v>
      </c>
      <c r="D87" s="84" t="s">
        <v>243</v>
      </c>
      <c r="E87" s="92">
        <v>54.22</v>
      </c>
      <c r="F87" s="105">
        <f>(E87*'Realized Pricing'!$L$2)/M87</f>
        <v>60.838614381605225</v>
      </c>
      <c r="G87" s="84" t="s">
        <v>241</v>
      </c>
      <c r="H87" s="84" t="s">
        <v>398</v>
      </c>
      <c r="I87" s="84" t="s">
        <v>243</v>
      </c>
      <c r="J87" s="225">
        <v>3.2109999999999999</v>
      </c>
      <c r="K87" s="236">
        <f>((J87-'Realized Pricing'!$B$32)/M87)*'Realized Pricing'!$L$7</f>
        <v>2.9540732752855066</v>
      </c>
      <c r="L87" s="19"/>
      <c r="M87" s="226">
        <v>0.83639999999999992</v>
      </c>
      <c r="N87" s="84" t="s">
        <v>241</v>
      </c>
      <c r="O87" s="84"/>
      <c r="P87" s="226">
        <v>12.852</v>
      </c>
      <c r="Q87" s="226">
        <v>36.515999999999998</v>
      </c>
      <c r="R87" s="225">
        <v>60.69</v>
      </c>
      <c r="S87" s="106"/>
      <c r="T87" s="234">
        <f>SUMPRODUCT($P$4:$R$4,((P87:R87)/M87))*'Realized Pricing'!$L$12</f>
        <v>34.071585365853664</v>
      </c>
      <c r="U87" s="241">
        <f t="shared" si="4"/>
        <v>60.838614381605225</v>
      </c>
      <c r="V87" s="233">
        <f t="shared" si="3"/>
        <v>3.8390722142515545</v>
      </c>
    </row>
    <row r="88" spans="1:22">
      <c r="A88" s="84" t="s">
        <v>245</v>
      </c>
      <c r="B88" s="84"/>
      <c r="C88" s="84" t="s">
        <v>244</v>
      </c>
      <c r="D88" s="84" t="s">
        <v>245</v>
      </c>
      <c r="E88" s="92">
        <v>54.27</v>
      </c>
      <c r="F88" s="105">
        <f>(E88*'Realized Pricing'!$L$2)/M88</f>
        <v>60.89471786222272</v>
      </c>
      <c r="G88" s="84" t="s">
        <v>564</v>
      </c>
      <c r="H88" s="84" t="s">
        <v>399</v>
      </c>
      <c r="I88" s="84" t="s">
        <v>245</v>
      </c>
      <c r="J88" s="225">
        <v>3.1739999999999999</v>
      </c>
      <c r="K88" s="236">
        <f>((J88-'Realized Pricing'!$B$32)/M88)*'Realized Pricing'!$L$7</f>
        <v>2.9066751445089523</v>
      </c>
      <c r="L88" s="19"/>
      <c r="M88" s="226">
        <v>0.83639999999999992</v>
      </c>
      <c r="N88" s="84" t="s">
        <v>564</v>
      </c>
      <c r="O88" s="84"/>
      <c r="P88" s="226">
        <v>12.852</v>
      </c>
      <c r="Q88" s="226">
        <v>36.515999999999998</v>
      </c>
      <c r="R88" s="225">
        <v>60.69</v>
      </c>
      <c r="S88" s="106"/>
      <c r="T88" s="234">
        <f>SUMPRODUCT($P$4:$R$4,((P88:R88)/M88))*'Realized Pricing'!$L$12</f>
        <v>34.071585365853664</v>
      </c>
      <c r="U88" s="241">
        <f t="shared" si="4"/>
        <v>60.89471786222272</v>
      </c>
      <c r="V88" s="233">
        <f t="shared" si="3"/>
        <v>3.7948350071736012</v>
      </c>
    </row>
    <row r="89" spans="1:22">
      <c r="A89" s="84" t="s">
        <v>248</v>
      </c>
      <c r="B89" s="84"/>
      <c r="C89" s="84" t="s">
        <v>247</v>
      </c>
      <c r="D89" s="84" t="s">
        <v>248</v>
      </c>
      <c r="E89" s="92">
        <v>54.24</v>
      </c>
      <c r="F89" s="105">
        <f>(E89*'Realized Pricing'!$L$2)/M89</f>
        <v>60.861055773852229</v>
      </c>
      <c r="G89" s="84" t="s">
        <v>246</v>
      </c>
      <c r="H89" s="84" t="s">
        <v>400</v>
      </c>
      <c r="I89" s="84" t="s">
        <v>248</v>
      </c>
      <c r="J89" s="225">
        <v>3.109</v>
      </c>
      <c r="K89" s="236">
        <f>((J89-'Realized Pricing'!$B$32)/M89)*'Realized Pricing'!$L$7</f>
        <v>2.8234081580096002</v>
      </c>
      <c r="L89" s="19"/>
      <c r="M89" s="226">
        <v>0.83639999999999992</v>
      </c>
      <c r="N89" s="84" t="s">
        <v>246</v>
      </c>
      <c r="O89" s="84"/>
      <c r="P89" s="226">
        <v>12.852</v>
      </c>
      <c r="Q89" s="226">
        <v>36.515999999999998</v>
      </c>
      <c r="R89" s="225">
        <v>60.69</v>
      </c>
      <c r="S89" s="47"/>
      <c r="T89" s="234">
        <f>SUMPRODUCT($P$4:$R$4,((P89:R89)/M89))*'Realized Pricing'!$L$12</f>
        <v>34.071585365853664</v>
      </c>
      <c r="U89" s="241">
        <f t="shared" si="4"/>
        <v>60.861055773852229</v>
      </c>
      <c r="V89" s="233">
        <f t="shared" si="3"/>
        <v>3.7171209947393593</v>
      </c>
    </row>
    <row r="90" spans="1:22">
      <c r="A90" s="84" t="s">
        <v>251</v>
      </c>
      <c r="B90" s="84"/>
      <c r="C90" s="84" t="s">
        <v>250</v>
      </c>
      <c r="D90" s="84" t="s">
        <v>251</v>
      </c>
      <c r="E90" s="92">
        <v>54.28</v>
      </c>
      <c r="F90" s="105">
        <f>(E90*'Realized Pricing'!$L$2)/M90</f>
        <v>60.905938558346215</v>
      </c>
      <c r="G90" s="84" t="s">
        <v>249</v>
      </c>
      <c r="H90" s="84" t="s">
        <v>401</v>
      </c>
      <c r="I90" s="84" t="s">
        <v>251</v>
      </c>
      <c r="J90" s="225">
        <v>2.8839999999999999</v>
      </c>
      <c r="K90" s="236">
        <f>((J90-'Realized Pricing'!$B$32)/M90)*'Realized Pricing'!$L$7</f>
        <v>2.5351762816656898</v>
      </c>
      <c r="L90" s="19"/>
      <c r="M90" s="226">
        <v>0.83639999999999992</v>
      </c>
      <c r="N90" s="84" t="s">
        <v>249</v>
      </c>
      <c r="O90" s="84"/>
      <c r="P90" s="226">
        <v>12.852</v>
      </c>
      <c r="Q90" s="226">
        <v>36.515999999999998</v>
      </c>
      <c r="R90" s="225">
        <v>60.69</v>
      </c>
      <c r="S90" s="47"/>
      <c r="T90" s="234">
        <f>SUMPRODUCT($P$4:$R$4,((P90:R90)/M90))*'Realized Pricing'!$L$12</f>
        <v>34.071585365853664</v>
      </c>
      <c r="U90" s="241">
        <f t="shared" si="4"/>
        <v>60.905938558346215</v>
      </c>
      <c r="V90" s="233">
        <f t="shared" si="3"/>
        <v>3.4481109516977524</v>
      </c>
    </row>
    <row r="91" spans="1:22">
      <c r="A91" s="84" t="s">
        <v>254</v>
      </c>
      <c r="B91" s="84"/>
      <c r="C91" s="84" t="s">
        <v>253</v>
      </c>
      <c r="D91" s="84" t="s">
        <v>254</v>
      </c>
      <c r="E91" s="92">
        <v>54.28</v>
      </c>
      <c r="F91" s="105">
        <f>(E91*'Realized Pricing'!$L$2)/M91</f>
        <v>60.905938558346215</v>
      </c>
      <c r="G91" s="84" t="s">
        <v>252</v>
      </c>
      <c r="H91" s="84" t="s">
        <v>402</v>
      </c>
      <c r="I91" s="84" t="s">
        <v>254</v>
      </c>
      <c r="J91" s="225">
        <v>2.8660000000000001</v>
      </c>
      <c r="K91" s="236">
        <f>((J91-'Realized Pricing'!$B$32)/M91)*'Realized Pricing'!$L$7</f>
        <v>2.5121177315581771</v>
      </c>
      <c r="L91" s="19"/>
      <c r="M91" s="226">
        <v>0.83639999999999992</v>
      </c>
      <c r="N91" s="84" t="s">
        <v>252</v>
      </c>
      <c r="O91" s="84"/>
      <c r="P91" s="226">
        <v>12.852</v>
      </c>
      <c r="Q91" s="226">
        <v>36.515999999999998</v>
      </c>
      <c r="R91" s="225">
        <v>60.69</v>
      </c>
      <c r="S91" s="47"/>
      <c r="T91" s="234">
        <f>SUMPRODUCT($P$4:$R$4,((P91:R91)/M91))*'Realized Pricing'!$L$12</f>
        <v>34.071585365853664</v>
      </c>
      <c r="U91" s="241">
        <f t="shared" si="4"/>
        <v>60.905938558346215</v>
      </c>
      <c r="V91" s="233">
        <f t="shared" si="3"/>
        <v>3.4265901482544243</v>
      </c>
    </row>
    <row r="92" spans="1:22">
      <c r="A92" s="84" t="s">
        <v>257</v>
      </c>
      <c r="B92" s="84"/>
      <c r="C92" s="84" t="s">
        <v>256</v>
      </c>
      <c r="D92" s="84" t="s">
        <v>257</v>
      </c>
      <c r="E92" s="92">
        <v>54.27</v>
      </c>
      <c r="F92" s="105">
        <f>(E92*'Realized Pricing'!$L$2)/M92</f>
        <v>60.89471786222272</v>
      </c>
      <c r="G92" s="84" t="s">
        <v>255</v>
      </c>
      <c r="H92" s="84" t="s">
        <v>403</v>
      </c>
      <c r="I92" s="84" t="s">
        <v>257</v>
      </c>
      <c r="J92" s="225">
        <v>2.89</v>
      </c>
      <c r="K92" s="236">
        <f>((J92-'Realized Pricing'!$B$32)/M92)*'Realized Pricing'!$L$7</f>
        <v>2.5428624650348608</v>
      </c>
      <c r="L92" s="19"/>
      <c r="M92" s="226">
        <v>0.83639999999999992</v>
      </c>
      <c r="N92" s="84" t="s">
        <v>255</v>
      </c>
      <c r="O92" s="84"/>
      <c r="P92" s="226">
        <v>12.852</v>
      </c>
      <c r="Q92" s="226">
        <v>36.515999999999998</v>
      </c>
      <c r="R92" s="225">
        <v>60.69</v>
      </c>
      <c r="S92" s="47"/>
      <c r="T92" s="234">
        <f>SUMPRODUCT($P$4:$R$4,((P92:R92)/M92))*'Realized Pricing'!$L$12</f>
        <v>34.071585365853664</v>
      </c>
      <c r="U92" s="241">
        <f t="shared" si="4"/>
        <v>60.89471786222272</v>
      </c>
      <c r="V92" s="233">
        <f t="shared" si="3"/>
        <v>3.4552845528455287</v>
      </c>
    </row>
    <row r="93" spans="1:22">
      <c r="A93" s="84" t="s">
        <v>260</v>
      </c>
      <c r="B93" s="84"/>
      <c r="C93" s="84" t="s">
        <v>259</v>
      </c>
      <c r="D93" s="84" t="s">
        <v>260</v>
      </c>
      <c r="E93" s="92">
        <v>54.33</v>
      </c>
      <c r="F93" s="105">
        <f>(E93*'Realized Pricing'!$L$2)/M93</f>
        <v>60.962042038963702</v>
      </c>
      <c r="G93" s="84" t="s">
        <v>258</v>
      </c>
      <c r="H93" s="84" t="s">
        <v>404</v>
      </c>
      <c r="I93" s="84" t="s">
        <v>260</v>
      </c>
      <c r="J93" s="225">
        <v>2.9169999999999998</v>
      </c>
      <c r="K93" s="236">
        <f>((J93-'Realized Pricing'!$B$32)/M93)*'Realized Pricing'!$L$7</f>
        <v>2.57745029019613</v>
      </c>
      <c r="L93" s="19"/>
      <c r="M93" s="226">
        <v>0.83639999999999992</v>
      </c>
      <c r="N93" s="84" t="s">
        <v>258</v>
      </c>
      <c r="O93" s="84"/>
      <c r="P93" s="226">
        <v>12.852</v>
      </c>
      <c r="Q93" s="226">
        <v>36.515999999999998</v>
      </c>
      <c r="R93" s="225">
        <v>60.69</v>
      </c>
      <c r="S93" s="47"/>
      <c r="T93" s="234">
        <f>SUMPRODUCT($P$4:$R$4,((P93:R93)/M93))*'Realized Pricing'!$L$12</f>
        <v>34.071585365853664</v>
      </c>
      <c r="U93" s="241">
        <f t="shared" si="4"/>
        <v>60.962042038963702</v>
      </c>
      <c r="V93" s="233">
        <f t="shared" si="3"/>
        <v>3.4875657580105215</v>
      </c>
    </row>
    <row r="94" spans="1:22">
      <c r="A94" s="84" t="s">
        <v>263</v>
      </c>
      <c r="B94" s="84"/>
      <c r="C94" s="84" t="s">
        <v>262</v>
      </c>
      <c r="D94" s="84" t="s">
        <v>263</v>
      </c>
      <c r="E94" s="92">
        <v>54.33</v>
      </c>
      <c r="F94" s="105">
        <f>(E94*'Realized Pricing'!$L$2)/M94</f>
        <v>60.962042038963702</v>
      </c>
      <c r="G94" s="84" t="s">
        <v>261</v>
      </c>
      <c r="H94" s="84" t="s">
        <v>405</v>
      </c>
      <c r="I94" s="84" t="s">
        <v>263</v>
      </c>
      <c r="J94" s="225">
        <v>2.9369999999999998</v>
      </c>
      <c r="K94" s="236">
        <f>((J94-'Realized Pricing'!$B$32)/M94)*'Realized Pricing'!$L$7</f>
        <v>2.6030709014267002</v>
      </c>
      <c r="L94" s="19"/>
      <c r="M94" s="226">
        <v>0.83639999999999992</v>
      </c>
      <c r="N94" s="84" t="s">
        <v>261</v>
      </c>
      <c r="O94" s="84"/>
      <c r="P94" s="226">
        <v>12.852</v>
      </c>
      <c r="Q94" s="226">
        <v>36.515999999999998</v>
      </c>
      <c r="R94" s="225">
        <v>60.69</v>
      </c>
      <c r="S94" s="47"/>
      <c r="T94" s="234">
        <f>SUMPRODUCT($P$4:$R$4,((P94:R94)/M94))*'Realized Pricing'!$L$12</f>
        <v>34.071585365853664</v>
      </c>
      <c r="U94" s="241">
        <f t="shared" si="4"/>
        <v>60.962042038963702</v>
      </c>
      <c r="V94" s="233">
        <f t="shared" si="3"/>
        <v>3.5114777618364421</v>
      </c>
    </row>
    <row r="95" spans="1:22">
      <c r="A95" s="84" t="s">
        <v>266</v>
      </c>
      <c r="B95" s="84"/>
      <c r="C95" s="84" t="s">
        <v>265</v>
      </c>
      <c r="D95" s="84" t="s">
        <v>266</v>
      </c>
      <c r="E95" s="92">
        <v>54.34</v>
      </c>
      <c r="F95" s="105">
        <f>(E95*'Realized Pricing'!$L$2)/M95</f>
        <v>60.973262735087211</v>
      </c>
      <c r="G95" s="84" t="s">
        <v>264</v>
      </c>
      <c r="H95" s="84" t="s">
        <v>406</v>
      </c>
      <c r="I95" s="84" t="s">
        <v>266</v>
      </c>
      <c r="J95" s="225">
        <v>2.9409999999999998</v>
      </c>
      <c r="K95" s="236">
        <f>((J95-'Realized Pricing'!$B$32)/M95)*'Realized Pricing'!$L$7</f>
        <v>2.6081950236728138</v>
      </c>
      <c r="L95" s="19"/>
      <c r="M95" s="226">
        <v>0.83639999999999992</v>
      </c>
      <c r="N95" s="84" t="s">
        <v>264</v>
      </c>
      <c r="O95" s="84"/>
      <c r="P95" s="226">
        <v>12.852</v>
      </c>
      <c r="Q95" s="226">
        <v>36.515999999999998</v>
      </c>
      <c r="R95" s="225">
        <v>60.69</v>
      </c>
      <c r="S95" s="47"/>
      <c r="T95" s="234">
        <f>SUMPRODUCT($P$4:$R$4,((P95:R95)/M95))*'Realized Pricing'!$L$12</f>
        <v>34.071585365853664</v>
      </c>
      <c r="U95" s="241">
        <f t="shared" si="4"/>
        <v>60.973262735087211</v>
      </c>
      <c r="V95" s="233">
        <f t="shared" si="3"/>
        <v>3.5162601626016263</v>
      </c>
    </row>
    <row r="96" spans="1:22">
      <c r="A96" s="84" t="s">
        <v>269</v>
      </c>
      <c r="B96" s="84"/>
      <c r="C96" s="84" t="s">
        <v>268</v>
      </c>
      <c r="D96" s="84" t="s">
        <v>269</v>
      </c>
      <c r="E96" s="92">
        <v>54.36</v>
      </c>
      <c r="F96" s="105">
        <f>(E96*'Realized Pricing'!$L$2)/M96</f>
        <v>60.9957041273342</v>
      </c>
      <c r="G96" s="84" t="s">
        <v>267</v>
      </c>
      <c r="H96" s="84" t="s">
        <v>407</v>
      </c>
      <c r="I96" s="84" t="s">
        <v>269</v>
      </c>
      <c r="J96" s="225">
        <v>2.9689999999999999</v>
      </c>
      <c r="K96" s="236">
        <f>((J96-'Realized Pricing'!$B$32)/M96)*'Realized Pricing'!$L$7</f>
        <v>2.6440638793956115</v>
      </c>
      <c r="L96" s="19"/>
      <c r="M96" s="226">
        <v>0.83639999999999992</v>
      </c>
      <c r="N96" s="84" t="s">
        <v>267</v>
      </c>
      <c r="O96" s="84"/>
      <c r="P96" s="226">
        <v>12.852</v>
      </c>
      <c r="Q96" s="226">
        <v>36.515999999999998</v>
      </c>
      <c r="R96" s="225">
        <v>60.69</v>
      </c>
      <c r="S96" s="47"/>
      <c r="T96" s="234">
        <f>SUMPRODUCT($P$4:$R$4,((P96:R96)/M96))*'Realized Pricing'!$L$12</f>
        <v>34.071585365853664</v>
      </c>
      <c r="U96" s="241">
        <f t="shared" si="4"/>
        <v>60.9957041273342</v>
      </c>
      <c r="V96" s="233">
        <f t="shared" si="3"/>
        <v>3.5497369679579149</v>
      </c>
    </row>
    <row r="97" spans="1:22">
      <c r="A97" s="84" t="s">
        <v>272</v>
      </c>
      <c r="B97" s="84"/>
      <c r="C97" s="84" t="s">
        <v>271</v>
      </c>
      <c r="D97" s="84" t="s">
        <v>272</v>
      </c>
      <c r="E97" s="92">
        <v>54.42</v>
      </c>
      <c r="F97" s="105">
        <f>(E97*'Realized Pricing'!$L$2)/M97</f>
        <v>61.063028304075189</v>
      </c>
      <c r="G97" s="84" t="s">
        <v>270</v>
      </c>
      <c r="H97" s="84" t="s">
        <v>408</v>
      </c>
      <c r="I97" s="84" t="s">
        <v>272</v>
      </c>
      <c r="J97" s="225">
        <v>3.0350000000000001</v>
      </c>
      <c r="K97" s="236">
        <f>((J97-'Realized Pricing'!$B$32)/M97)*'Realized Pricing'!$L$7</f>
        <v>2.728611896456492</v>
      </c>
      <c r="L97" s="19"/>
      <c r="M97" s="226">
        <v>0.83639999999999992</v>
      </c>
      <c r="N97" s="84" t="s">
        <v>270</v>
      </c>
      <c r="O97" s="84"/>
      <c r="P97" s="226">
        <v>12.852</v>
      </c>
      <c r="Q97" s="226">
        <v>36.515999999999998</v>
      </c>
      <c r="R97" s="225">
        <v>60.69</v>
      </c>
      <c r="S97" s="47"/>
      <c r="T97" s="234">
        <f>SUMPRODUCT($P$4:$R$4,((P97:R97)/M97))*'Realized Pricing'!$L$12</f>
        <v>34.071585365853664</v>
      </c>
      <c r="U97" s="241">
        <f t="shared" si="4"/>
        <v>61.063028304075189</v>
      </c>
      <c r="V97" s="233">
        <f t="shared" si="3"/>
        <v>3.6286465805834536</v>
      </c>
    </row>
    <row r="98" spans="1:22">
      <c r="A98" s="84" t="s">
        <v>275</v>
      </c>
      <c r="B98" s="84"/>
      <c r="C98" s="84" t="s">
        <v>274</v>
      </c>
      <c r="D98" s="84" t="s">
        <v>275</v>
      </c>
      <c r="E98" s="92">
        <v>54.4</v>
      </c>
      <c r="F98" s="105">
        <f>(E98*'Realized Pricing'!$L$2)/M98</f>
        <v>61.040586911828193</v>
      </c>
      <c r="G98" s="84" t="s">
        <v>273</v>
      </c>
      <c r="H98" s="84" t="s">
        <v>409</v>
      </c>
      <c r="I98" s="84" t="s">
        <v>275</v>
      </c>
      <c r="J98" s="225">
        <v>3.1869999999999998</v>
      </c>
      <c r="K98" s="236">
        <f>((J98-'Realized Pricing'!$B$32)/M98)*'Realized Pricing'!$L$7</f>
        <v>2.9233285418088224</v>
      </c>
      <c r="L98" s="19"/>
      <c r="M98" s="226">
        <v>0.83639999999999992</v>
      </c>
      <c r="N98" s="84" t="s">
        <v>273</v>
      </c>
      <c r="O98" s="84"/>
      <c r="P98" s="226">
        <v>12.852</v>
      </c>
      <c r="Q98" s="226">
        <v>36.515999999999998</v>
      </c>
      <c r="R98" s="225">
        <v>60.69</v>
      </c>
      <c r="S98" s="47"/>
      <c r="T98" s="234">
        <f>SUMPRODUCT($P$4:$R$4,((P98:R98)/M98))*'Realized Pricing'!$L$12</f>
        <v>34.071585365853664</v>
      </c>
      <c r="U98" s="241">
        <f t="shared" si="4"/>
        <v>61.040586911828193</v>
      </c>
      <c r="V98" s="233">
        <f t="shared" si="3"/>
        <v>3.8103778096604497</v>
      </c>
    </row>
    <row r="99" spans="1:22">
      <c r="A99" s="84" t="s">
        <v>278</v>
      </c>
      <c r="B99" s="84"/>
      <c r="C99" s="84" t="s">
        <v>277</v>
      </c>
      <c r="D99" s="84" t="s">
        <v>278</v>
      </c>
      <c r="E99" s="92">
        <v>54.35</v>
      </c>
      <c r="F99" s="105">
        <f>(E99*'Realized Pricing'!$L$2)/M99</f>
        <v>63.75927742733078</v>
      </c>
      <c r="G99" s="84" t="s">
        <v>276</v>
      </c>
      <c r="H99" s="84" t="s">
        <v>410</v>
      </c>
      <c r="I99" s="84" t="s">
        <v>278</v>
      </c>
      <c r="J99" s="225">
        <v>3.3090000000000002</v>
      </c>
      <c r="K99" s="236">
        <f>((J99-'Realized Pricing'!$B$32)/M99)*'Realized Pricing'!$L$7</f>
        <v>3.219736719614644</v>
      </c>
      <c r="L99" s="19"/>
      <c r="M99" s="226">
        <v>0.8</v>
      </c>
      <c r="N99" s="84" t="s">
        <v>276</v>
      </c>
      <c r="O99" s="84"/>
      <c r="P99" s="231">
        <v>13.10904</v>
      </c>
      <c r="Q99" s="231">
        <v>37.246319999999997</v>
      </c>
      <c r="R99" s="231">
        <v>61.903799999999997</v>
      </c>
      <c r="S99" s="47"/>
      <c r="T99" s="234">
        <f>SUMPRODUCT($P$4:$R$4,((P99:R99)/M99))*'Realized Pricing'!$L$12</f>
        <v>36.334279349999996</v>
      </c>
      <c r="U99" s="241">
        <f t="shared" si="4"/>
        <v>63.75927742733078</v>
      </c>
      <c r="V99" s="233">
        <f t="shared" si="3"/>
        <v>4.1362499999999995</v>
      </c>
    </row>
    <row r="100" spans="1:22">
      <c r="A100" s="84" t="s">
        <v>280</v>
      </c>
      <c r="B100" s="84"/>
      <c r="C100" s="84" t="s">
        <v>279</v>
      </c>
      <c r="D100" s="84" t="s">
        <v>280</v>
      </c>
      <c r="E100" s="92">
        <v>54.36</v>
      </c>
      <c r="F100" s="105">
        <f>(E100*'Realized Pricing'!$L$2)/M100</f>
        <v>63.771008665127894</v>
      </c>
      <c r="G100" s="84" t="s">
        <v>565</v>
      </c>
      <c r="H100" s="84" t="s">
        <v>411</v>
      </c>
      <c r="I100" s="84" t="s">
        <v>280</v>
      </c>
      <c r="J100" s="225">
        <v>3.274</v>
      </c>
      <c r="K100" s="236">
        <f>((J100-'Realized Pricing'!$B$32)/M100)*'Realized Pricing'!$L$7</f>
        <v>3.1728606087919129</v>
      </c>
      <c r="L100" s="19"/>
      <c r="M100" s="226">
        <v>0.8</v>
      </c>
      <c r="N100" s="84" t="s">
        <v>565</v>
      </c>
      <c r="O100" s="84"/>
      <c r="P100" s="231">
        <v>13.10904</v>
      </c>
      <c r="Q100" s="231">
        <v>37.246319999999997</v>
      </c>
      <c r="R100" s="231">
        <v>61.903799999999997</v>
      </c>
      <c r="S100" s="47"/>
      <c r="T100" s="234">
        <f>SUMPRODUCT($P$4:$R$4,((P100:R100)/M100))*'Realized Pricing'!$L$12</f>
        <v>36.334279349999996</v>
      </c>
      <c r="U100" s="241">
        <f t="shared" si="4"/>
        <v>63.771008665127894</v>
      </c>
      <c r="V100" s="233">
        <f t="shared" si="3"/>
        <v>4.0924999999999994</v>
      </c>
    </row>
    <row r="101" spans="1:22">
      <c r="A101" s="84" t="s">
        <v>283</v>
      </c>
      <c r="B101" s="84"/>
      <c r="C101" s="84" t="s">
        <v>282</v>
      </c>
      <c r="D101" s="84" t="s">
        <v>283</v>
      </c>
      <c r="E101" s="92">
        <v>54.33</v>
      </c>
      <c r="F101" s="105">
        <f>(E101*'Realized Pricing'!$L$2)/M101</f>
        <v>63.735814951736543</v>
      </c>
      <c r="G101" s="84" t="s">
        <v>281</v>
      </c>
      <c r="H101" s="84" t="s">
        <v>412</v>
      </c>
      <c r="I101" s="84" t="s">
        <v>283</v>
      </c>
      <c r="J101" s="225">
        <v>3.2090000000000001</v>
      </c>
      <c r="K101" s="236">
        <f>((J101-'Realized Pricing'!$B$32)/M101)*'Realized Pricing'!$L$7</f>
        <v>3.0858049744068405</v>
      </c>
      <c r="L101" s="19"/>
      <c r="M101" s="226">
        <v>0.8</v>
      </c>
      <c r="N101" s="84" t="s">
        <v>281</v>
      </c>
      <c r="O101" s="84"/>
      <c r="P101" s="231">
        <v>13.10904</v>
      </c>
      <c r="Q101" s="231">
        <v>37.246319999999997</v>
      </c>
      <c r="R101" s="231">
        <v>61.903799999999997</v>
      </c>
      <c r="S101" s="47"/>
      <c r="T101" s="234">
        <f>SUMPRODUCT($P$4:$R$4,((P101:R101)/M101))*'Realized Pricing'!$L$12</f>
        <v>36.334279349999996</v>
      </c>
      <c r="U101" s="241">
        <f t="shared" si="4"/>
        <v>63.735814951736543</v>
      </c>
      <c r="V101" s="233">
        <f t="shared" ref="V101:V132" si="5">J101/M101</f>
        <v>4.0112499999999995</v>
      </c>
    </row>
    <row r="102" spans="1:22">
      <c r="A102" s="84" t="s">
        <v>286</v>
      </c>
      <c r="B102" s="84"/>
      <c r="C102" s="84" t="s">
        <v>285</v>
      </c>
      <c r="D102" s="84" t="s">
        <v>286</v>
      </c>
      <c r="E102" s="92">
        <v>54.33</v>
      </c>
      <c r="F102" s="105">
        <f>(E102*'Realized Pricing'!$L$2)/M102</f>
        <v>63.735814951736543</v>
      </c>
      <c r="G102" s="84" t="s">
        <v>284</v>
      </c>
      <c r="H102" s="84" t="s">
        <v>413</v>
      </c>
      <c r="I102" s="84" t="s">
        <v>286</v>
      </c>
      <c r="J102" s="225">
        <v>2.984</v>
      </c>
      <c r="K102" s="236">
        <f>((J102-'Realized Pricing'!$B$32)/M102)*'Realized Pricing'!$L$7</f>
        <v>2.7844585476892822</v>
      </c>
      <c r="L102" s="19"/>
      <c r="M102" s="226">
        <v>0.8</v>
      </c>
      <c r="N102" s="84" t="s">
        <v>284</v>
      </c>
      <c r="O102" s="84"/>
      <c r="P102" s="231">
        <v>13.10904</v>
      </c>
      <c r="Q102" s="231">
        <v>37.246319999999997</v>
      </c>
      <c r="R102" s="231">
        <v>61.903799999999997</v>
      </c>
      <c r="S102" s="47"/>
      <c r="T102" s="234">
        <f>SUMPRODUCT($P$4:$R$4,((P102:R102)/M102))*'Realized Pricing'!$L$12</f>
        <v>36.334279349999996</v>
      </c>
      <c r="U102" s="241">
        <f t="shared" si="4"/>
        <v>63.735814951736543</v>
      </c>
      <c r="V102" s="233">
        <f t="shared" si="5"/>
        <v>3.73</v>
      </c>
    </row>
    <row r="103" spans="1:22">
      <c r="A103" s="84" t="s">
        <v>289</v>
      </c>
      <c r="B103" s="84"/>
      <c r="C103" s="84" t="s">
        <v>288</v>
      </c>
      <c r="D103" s="84" t="s">
        <v>289</v>
      </c>
      <c r="E103" s="92">
        <v>54.31</v>
      </c>
      <c r="F103" s="105">
        <f>(E103*'Realized Pricing'!$L$2)/M103</f>
        <v>63.712352476142314</v>
      </c>
      <c r="G103" s="84" t="s">
        <v>287</v>
      </c>
      <c r="H103" s="84" t="s">
        <v>414</v>
      </c>
      <c r="I103" s="84" t="s">
        <v>289</v>
      </c>
      <c r="J103" s="225">
        <v>2.9660000000000002</v>
      </c>
      <c r="K103" s="236">
        <f>((J103-'Realized Pricing'!$B$32)/M103)*'Realized Pricing'!$L$7</f>
        <v>2.7603508335518776</v>
      </c>
      <c r="L103" s="19"/>
      <c r="M103" s="226">
        <v>0.8</v>
      </c>
      <c r="N103" s="84" t="s">
        <v>287</v>
      </c>
      <c r="O103" s="84"/>
      <c r="P103" s="231">
        <v>13.10904</v>
      </c>
      <c r="Q103" s="231">
        <v>37.246319999999997</v>
      </c>
      <c r="R103" s="231">
        <v>61.903799999999997</v>
      </c>
      <c r="S103" s="47"/>
      <c r="T103" s="234">
        <f>SUMPRODUCT($P$4:$R$4,((P103:R103)/M103))*'Realized Pricing'!$L$12</f>
        <v>36.334279349999996</v>
      </c>
      <c r="U103" s="241">
        <f t="shared" si="4"/>
        <v>63.712352476142314</v>
      </c>
      <c r="V103" s="233">
        <f t="shared" si="5"/>
        <v>3.7075</v>
      </c>
    </row>
    <row r="104" spans="1:22">
      <c r="A104" s="84" t="s">
        <v>292</v>
      </c>
      <c r="B104" s="84"/>
      <c r="C104" s="84" t="s">
        <v>291</v>
      </c>
      <c r="D104" s="84" t="s">
        <v>292</v>
      </c>
      <c r="E104" s="92">
        <v>54.28</v>
      </c>
      <c r="F104" s="105">
        <f>(E104*'Realized Pricing'!$L$2)/M104</f>
        <v>63.677158762750963</v>
      </c>
      <c r="G104" s="84" t="s">
        <v>290</v>
      </c>
      <c r="H104" s="84" t="s">
        <v>415</v>
      </c>
      <c r="I104" s="84" t="s">
        <v>292</v>
      </c>
      <c r="J104" s="225">
        <v>2.9929999999999999</v>
      </c>
      <c r="K104" s="236">
        <f>((J104-'Realized Pricing'!$B$32)/M104)*'Realized Pricing'!$L$7</f>
        <v>2.7965124047579843</v>
      </c>
      <c r="L104" s="19"/>
      <c r="M104" s="226">
        <v>0.8</v>
      </c>
      <c r="N104" s="84" t="s">
        <v>290</v>
      </c>
      <c r="O104" s="84"/>
      <c r="P104" s="231">
        <v>13.10904</v>
      </c>
      <c r="Q104" s="231">
        <v>37.246319999999997</v>
      </c>
      <c r="R104" s="231">
        <v>61.903799999999997</v>
      </c>
      <c r="S104" s="47"/>
      <c r="T104" s="234">
        <f>SUMPRODUCT($P$4:$R$4,((P104:R104)/M104))*'Realized Pricing'!$L$12</f>
        <v>36.334279349999996</v>
      </c>
      <c r="U104" s="241">
        <f t="shared" si="4"/>
        <v>63.677158762750963</v>
      </c>
      <c r="V104" s="233">
        <f t="shared" si="5"/>
        <v>3.7412499999999995</v>
      </c>
    </row>
    <row r="105" spans="1:22">
      <c r="A105" s="84" t="s">
        <v>295</v>
      </c>
      <c r="B105" s="84"/>
      <c r="C105" s="84" t="s">
        <v>294</v>
      </c>
      <c r="D105" s="84" t="s">
        <v>295</v>
      </c>
      <c r="E105" s="92">
        <v>54.31</v>
      </c>
      <c r="F105" s="105">
        <f>(E105*'Realized Pricing'!$L$2)/M105</f>
        <v>63.712352476142314</v>
      </c>
      <c r="G105" s="84" t="s">
        <v>293</v>
      </c>
      <c r="H105" s="84" t="s">
        <v>416</v>
      </c>
      <c r="I105" s="84" t="s">
        <v>295</v>
      </c>
      <c r="J105" s="225">
        <v>3.0219999999999998</v>
      </c>
      <c r="K105" s="236">
        <f>((J105-'Realized Pricing'!$B$32)/M105)*'Realized Pricing'!$L$7</f>
        <v>2.8353526108682474</v>
      </c>
      <c r="L105" s="19"/>
      <c r="M105" s="226">
        <v>0.8</v>
      </c>
      <c r="N105" s="84" t="s">
        <v>293</v>
      </c>
      <c r="O105" s="84"/>
      <c r="P105" s="231">
        <v>13.10904</v>
      </c>
      <c r="Q105" s="231">
        <v>37.246319999999997</v>
      </c>
      <c r="R105" s="231">
        <v>61.903799999999997</v>
      </c>
      <c r="S105" s="47"/>
      <c r="T105" s="234">
        <f>SUMPRODUCT($P$4:$R$4,((P105:R105)/M105))*'Realized Pricing'!$L$12</f>
        <v>36.334279349999996</v>
      </c>
      <c r="U105" s="241">
        <f t="shared" si="4"/>
        <v>63.712352476142314</v>
      </c>
      <c r="V105" s="233">
        <f t="shared" si="5"/>
        <v>3.7774999999999994</v>
      </c>
    </row>
    <row r="106" spans="1:22">
      <c r="A106" s="84" t="s">
        <v>298</v>
      </c>
      <c r="B106" s="84"/>
      <c r="C106" s="84" t="s">
        <v>297</v>
      </c>
      <c r="D106" s="84" t="s">
        <v>298</v>
      </c>
      <c r="E106" s="92">
        <v>54.3</v>
      </c>
      <c r="F106" s="105">
        <f>(E106*'Realized Pricing'!$L$2)/M106</f>
        <v>63.700621238345192</v>
      </c>
      <c r="G106" s="84" t="s">
        <v>296</v>
      </c>
      <c r="H106" s="84" t="s">
        <v>417</v>
      </c>
      <c r="I106" s="84" t="s">
        <v>298</v>
      </c>
      <c r="J106" s="225">
        <v>3.04</v>
      </c>
      <c r="K106" s="236">
        <f>((J106-'Realized Pricing'!$B$32)/M106)*'Realized Pricing'!$L$7</f>
        <v>2.8594603250056521</v>
      </c>
      <c r="L106" s="19"/>
      <c r="M106" s="226">
        <v>0.8</v>
      </c>
      <c r="N106" s="84" t="s">
        <v>296</v>
      </c>
      <c r="O106" s="84"/>
      <c r="P106" s="231">
        <v>13.10904</v>
      </c>
      <c r="Q106" s="231">
        <v>37.246319999999997</v>
      </c>
      <c r="R106" s="231">
        <v>61.903799999999997</v>
      </c>
      <c r="S106" s="47"/>
      <c r="T106" s="234">
        <f>SUMPRODUCT($P$4:$R$4,((P106:R106)/M106))*'Realized Pricing'!$L$12</f>
        <v>36.334279349999996</v>
      </c>
      <c r="U106" s="241">
        <f t="shared" si="4"/>
        <v>63.700621238345192</v>
      </c>
      <c r="V106" s="233">
        <f t="shared" si="5"/>
        <v>3.8</v>
      </c>
    </row>
    <row r="107" spans="1:22">
      <c r="A107" s="84" t="s">
        <v>301</v>
      </c>
      <c r="B107" s="84"/>
      <c r="C107" s="84" t="s">
        <v>300</v>
      </c>
      <c r="D107" s="84" t="s">
        <v>301</v>
      </c>
      <c r="E107" s="92">
        <v>54.28</v>
      </c>
      <c r="F107" s="105">
        <f>(E107*'Realized Pricing'!$L$2)/M107</f>
        <v>63.677158762750963</v>
      </c>
      <c r="G107" s="84" t="s">
        <v>299</v>
      </c>
      <c r="H107" s="84" t="s">
        <v>418</v>
      </c>
      <c r="I107" s="84" t="s">
        <v>301</v>
      </c>
      <c r="J107" s="225">
        <v>3.0449999999999999</v>
      </c>
      <c r="K107" s="236">
        <f>((J107-'Realized Pricing'!$B$32)/M107)*'Realized Pricing'!$L$7</f>
        <v>2.8661569122660424</v>
      </c>
      <c r="L107" s="19"/>
      <c r="M107" s="226">
        <v>0.8</v>
      </c>
      <c r="N107" s="84" t="s">
        <v>299</v>
      </c>
      <c r="O107" s="84"/>
      <c r="P107" s="231">
        <v>13.10904</v>
      </c>
      <c r="Q107" s="231">
        <v>37.246319999999997</v>
      </c>
      <c r="R107" s="231">
        <v>61.903799999999997</v>
      </c>
      <c r="S107" s="47"/>
      <c r="T107" s="234">
        <f>SUMPRODUCT($P$4:$R$4,((P107:R107)/M107))*'Realized Pricing'!$L$12</f>
        <v>36.334279349999996</v>
      </c>
      <c r="U107" s="241">
        <f t="shared" si="4"/>
        <v>63.677158762750963</v>
      </c>
      <c r="V107" s="233">
        <f t="shared" si="5"/>
        <v>3.8062499999999999</v>
      </c>
    </row>
    <row r="108" spans="1:22">
      <c r="A108" s="84" t="s">
        <v>304</v>
      </c>
      <c r="B108" s="84"/>
      <c r="C108" s="84" t="s">
        <v>303</v>
      </c>
      <c r="D108" s="84" t="s">
        <v>304</v>
      </c>
      <c r="E108" s="92">
        <v>54.28</v>
      </c>
      <c r="F108" s="105">
        <f>(E108*'Realized Pricing'!$L$2)/M108</f>
        <v>63.677158762750963</v>
      </c>
      <c r="G108" s="84" t="s">
        <v>302</v>
      </c>
      <c r="H108" s="84" t="s">
        <v>419</v>
      </c>
      <c r="I108" s="84" t="s">
        <v>304</v>
      </c>
      <c r="J108" s="225">
        <v>3.073</v>
      </c>
      <c r="K108" s="236">
        <f>((J108-'Realized Pricing'!$B$32)/M108)*'Realized Pricing'!$L$7</f>
        <v>2.9036578009242278</v>
      </c>
      <c r="L108" s="19"/>
      <c r="M108" s="226">
        <v>0.8</v>
      </c>
      <c r="N108" s="84" t="s">
        <v>302</v>
      </c>
      <c r="O108" s="84"/>
      <c r="P108" s="231">
        <v>13.10904</v>
      </c>
      <c r="Q108" s="231">
        <v>37.246319999999997</v>
      </c>
      <c r="R108" s="231">
        <v>61.903799999999997</v>
      </c>
      <c r="S108" s="47"/>
      <c r="T108" s="234">
        <f>SUMPRODUCT($P$4:$R$4,((P108:R108)/M108))*'Realized Pricing'!$L$12</f>
        <v>36.334279349999996</v>
      </c>
      <c r="U108" s="241">
        <f t="shared" si="4"/>
        <v>63.677158762750963</v>
      </c>
      <c r="V108" s="233">
        <f t="shared" si="5"/>
        <v>3.8412499999999996</v>
      </c>
    </row>
    <row r="109" spans="1:22">
      <c r="A109" s="84" t="s">
        <v>307</v>
      </c>
      <c r="B109" s="84"/>
      <c r="C109" s="84" t="s">
        <v>306</v>
      </c>
      <c r="D109" s="84" t="s">
        <v>307</v>
      </c>
      <c r="E109" s="92">
        <v>54.31</v>
      </c>
      <c r="F109" s="105">
        <f>(E109*'Realized Pricing'!$L$2)/M109</f>
        <v>63.712352476142314</v>
      </c>
      <c r="G109" s="84" t="s">
        <v>305</v>
      </c>
      <c r="H109" s="84" t="s">
        <v>420</v>
      </c>
      <c r="I109" s="84" t="s">
        <v>307</v>
      </c>
      <c r="J109" s="225">
        <v>3.1389999999999998</v>
      </c>
      <c r="K109" s="236">
        <f>((J109-'Realized Pricing'!$B$32)/M109)*'Realized Pricing'!$L$7</f>
        <v>2.9920527527613774</v>
      </c>
      <c r="L109" s="19"/>
      <c r="M109" s="226">
        <v>0.8</v>
      </c>
      <c r="N109" s="84" t="s">
        <v>305</v>
      </c>
      <c r="O109" s="84"/>
      <c r="P109" s="231">
        <v>13.10904</v>
      </c>
      <c r="Q109" s="231">
        <v>37.246319999999997</v>
      </c>
      <c r="R109" s="231">
        <v>61.903799999999997</v>
      </c>
      <c r="S109" s="47"/>
      <c r="T109" s="234">
        <f>SUMPRODUCT($P$4:$R$4,((P109:R109)/M109))*'Realized Pricing'!$L$12</f>
        <v>36.334279349999996</v>
      </c>
      <c r="U109" s="241">
        <f t="shared" si="4"/>
        <v>63.712352476142314</v>
      </c>
      <c r="V109" s="233">
        <f t="shared" si="5"/>
        <v>3.9237499999999996</v>
      </c>
    </row>
    <row r="110" spans="1:22">
      <c r="A110" s="84" t="s">
        <v>310</v>
      </c>
      <c r="B110" s="84"/>
      <c r="C110" s="84" t="s">
        <v>309</v>
      </c>
      <c r="D110" s="84" t="s">
        <v>310</v>
      </c>
      <c r="E110" s="92">
        <v>54.3</v>
      </c>
      <c r="F110" s="105">
        <f>(E110*'Realized Pricing'!$L$2)/M110</f>
        <v>63.700621238345192</v>
      </c>
      <c r="G110" s="84" t="s">
        <v>308</v>
      </c>
      <c r="H110" s="84" t="s">
        <v>421</v>
      </c>
      <c r="I110" s="84" t="s">
        <v>310</v>
      </c>
      <c r="J110" s="225">
        <v>3.29</v>
      </c>
      <c r="K110" s="236">
        <f>((J110-'Realized Pricing'!$B$32)/M110)*'Realized Pricing'!$L$7</f>
        <v>3.1942896880251612</v>
      </c>
      <c r="L110" s="19"/>
      <c r="M110" s="226">
        <v>0.8</v>
      </c>
      <c r="N110" s="84" t="s">
        <v>308</v>
      </c>
      <c r="O110" s="84"/>
      <c r="P110" s="231">
        <v>13.10904</v>
      </c>
      <c r="Q110" s="231">
        <v>37.246319999999997</v>
      </c>
      <c r="R110" s="231">
        <v>61.903799999999997</v>
      </c>
      <c r="S110" s="47"/>
      <c r="T110" s="234">
        <f>SUMPRODUCT($P$4:$R$4,((P110:R110)/M110))*'Realized Pricing'!$L$12</f>
        <v>36.334279349999996</v>
      </c>
      <c r="U110" s="241">
        <f t="shared" si="4"/>
        <v>63.700621238345192</v>
      </c>
      <c r="V110" s="233">
        <f t="shared" si="5"/>
        <v>4.1124999999999998</v>
      </c>
    </row>
    <row r="111" spans="1:22">
      <c r="A111" s="84" t="s">
        <v>313</v>
      </c>
      <c r="B111" s="84"/>
      <c r="C111" s="84" t="s">
        <v>312</v>
      </c>
      <c r="D111" s="84" t="s">
        <v>313</v>
      </c>
      <c r="E111" s="92">
        <v>54.22</v>
      </c>
      <c r="F111" s="105">
        <f>(E111*'Realized Pricing'!$L$2)/M111</f>
        <v>63.606771335968254</v>
      </c>
      <c r="G111" s="84" t="s">
        <v>311</v>
      </c>
      <c r="H111" s="84" t="s">
        <v>422</v>
      </c>
      <c r="I111" s="84" t="s">
        <v>313</v>
      </c>
      <c r="J111" s="225">
        <v>3.4119999999999999</v>
      </c>
      <c r="K111" s="236">
        <f>((J111-'Realized Pricing'!$B$32)/M111)*'Realized Pricing'!$L$7</f>
        <v>3.3576864171786815</v>
      </c>
      <c r="L111" s="19"/>
      <c r="M111" s="226">
        <v>0.8</v>
      </c>
      <c r="N111" s="84" t="s">
        <v>311</v>
      </c>
      <c r="O111" s="84"/>
      <c r="P111" s="231">
        <v>13.3712208</v>
      </c>
      <c r="Q111" s="231">
        <v>37.991246399999994</v>
      </c>
      <c r="R111" s="231">
        <v>63.141875999999996</v>
      </c>
      <c r="S111" s="47"/>
      <c r="T111" s="234">
        <f>SUMPRODUCT($P$4:$R$4,((P111:R111)/M111))*'Realized Pricing'!$L$12</f>
        <v>37.060964937000001</v>
      </c>
      <c r="U111" s="241">
        <f t="shared" si="4"/>
        <v>63.606771335968254</v>
      </c>
      <c r="V111" s="233">
        <f t="shared" si="5"/>
        <v>4.2649999999999997</v>
      </c>
    </row>
    <row r="112" spans="1:22">
      <c r="A112" s="84" t="s">
        <v>315</v>
      </c>
      <c r="B112" s="84"/>
      <c r="C112" s="84" t="s">
        <v>314</v>
      </c>
      <c r="D112" s="84" t="s">
        <v>315</v>
      </c>
      <c r="E112" s="92">
        <v>54.23</v>
      </c>
      <c r="F112" s="105">
        <f>(E112*'Realized Pricing'!$L$2)/M112</f>
        <v>63.618502573765369</v>
      </c>
      <c r="G112" s="84" t="s">
        <v>566</v>
      </c>
      <c r="H112" s="84" t="s">
        <v>423</v>
      </c>
      <c r="I112" s="84" t="s">
        <v>315</v>
      </c>
      <c r="J112" s="225">
        <v>3.3769999999999998</v>
      </c>
      <c r="K112" s="236">
        <f>((J112-'Realized Pricing'!$B$32)/M112)*'Realized Pricing'!$L$7</f>
        <v>3.3108103063559504</v>
      </c>
      <c r="L112" s="19"/>
      <c r="M112" s="226">
        <v>0.8</v>
      </c>
      <c r="N112" s="84" t="s">
        <v>566</v>
      </c>
      <c r="O112" s="84"/>
      <c r="P112" s="231">
        <v>13.3712208</v>
      </c>
      <c r="Q112" s="231">
        <v>37.991246399999994</v>
      </c>
      <c r="R112" s="231">
        <v>63.141875999999996</v>
      </c>
      <c r="S112" s="47"/>
      <c r="T112" s="234">
        <f>SUMPRODUCT($P$4:$R$4,((P112:R112)/M112))*'Realized Pricing'!$L$12</f>
        <v>37.060964937000001</v>
      </c>
      <c r="U112" s="241">
        <f t="shared" si="4"/>
        <v>63.618502573765369</v>
      </c>
      <c r="V112" s="233">
        <f t="shared" si="5"/>
        <v>4.2212499999999995</v>
      </c>
    </row>
    <row r="113" spans="1:22">
      <c r="A113" s="84" t="s">
        <v>426</v>
      </c>
      <c r="B113" s="84">
        <v>0</v>
      </c>
      <c r="C113" s="84"/>
      <c r="D113" s="84" t="s">
        <v>426</v>
      </c>
      <c r="E113" s="93">
        <f t="shared" ref="E113:E176" si="6">$X$3*(1+$AB$3)^B113</f>
        <v>60</v>
      </c>
      <c r="F113" s="105">
        <f>(E113*'Realized Pricing'!$L$2)/M113</f>
        <v>70.387426782701866</v>
      </c>
      <c r="G113" s="84" t="s">
        <v>424</v>
      </c>
      <c r="H113" s="84" t="s">
        <v>425</v>
      </c>
      <c r="I113" s="84" t="s">
        <v>426</v>
      </c>
      <c r="J113" s="225">
        <v>3.3119999999999998</v>
      </c>
      <c r="K113" s="236">
        <f>((J113-'Realized Pricing'!$B$32)/M113)*'Realized Pricing'!$L$7</f>
        <v>3.2237546719708781</v>
      </c>
      <c r="L113" s="19"/>
      <c r="M113" s="226">
        <v>0.8</v>
      </c>
      <c r="N113" s="84" t="s">
        <v>424</v>
      </c>
      <c r="O113" s="84"/>
      <c r="P113" s="231">
        <v>13.3712208</v>
      </c>
      <c r="Q113" s="231">
        <v>37.991246399999994</v>
      </c>
      <c r="R113" s="231">
        <v>63.141875999999996</v>
      </c>
      <c r="S113" s="47"/>
      <c r="T113" s="234">
        <f>SUMPRODUCT($P$4:$R$4,((P113:R113)/M113))*'Realized Pricing'!$L$12</f>
        <v>37.060964937000001</v>
      </c>
      <c r="U113" s="241">
        <f t="shared" si="4"/>
        <v>70.387426782701866</v>
      </c>
      <c r="V113" s="233">
        <f t="shared" si="5"/>
        <v>4.1399999999999997</v>
      </c>
    </row>
    <row r="114" spans="1:22">
      <c r="A114" s="84" t="s">
        <v>429</v>
      </c>
      <c r="B114" s="84">
        <v>0</v>
      </c>
      <c r="C114" s="84"/>
      <c r="D114" s="84" t="s">
        <v>429</v>
      </c>
      <c r="E114" s="93">
        <f t="shared" si="6"/>
        <v>60</v>
      </c>
      <c r="F114" s="105">
        <f>(E114*'Realized Pricing'!$L$2)/M114</f>
        <v>70.387426782701866</v>
      </c>
      <c r="G114" s="84" t="s">
        <v>427</v>
      </c>
      <c r="H114" s="84" t="s">
        <v>428</v>
      </c>
      <c r="I114" s="84" t="s">
        <v>429</v>
      </c>
      <c r="J114" s="225">
        <v>3.056</v>
      </c>
      <c r="K114" s="236">
        <f>((J114-'Realized Pricing'!$B$32)/M114)*'Realized Pricing'!$L$7</f>
        <v>2.8808894042389008</v>
      </c>
      <c r="L114" s="19"/>
      <c r="M114" s="226">
        <v>0.8</v>
      </c>
      <c r="N114" s="84" t="s">
        <v>427</v>
      </c>
      <c r="O114" s="84"/>
      <c r="P114" s="231">
        <v>13.3712208</v>
      </c>
      <c r="Q114" s="231">
        <v>37.991246399999994</v>
      </c>
      <c r="R114" s="231">
        <v>63.141875999999996</v>
      </c>
      <c r="S114" s="47"/>
      <c r="T114" s="234">
        <f>SUMPRODUCT($P$4:$R$4,((P114:R114)/M114))*'Realized Pricing'!$L$12</f>
        <v>37.060964937000001</v>
      </c>
      <c r="U114" s="241">
        <f t="shared" si="4"/>
        <v>70.387426782701866</v>
      </c>
      <c r="V114" s="233">
        <f t="shared" si="5"/>
        <v>3.82</v>
      </c>
    </row>
    <row r="115" spans="1:22">
      <c r="A115" s="84" t="s">
        <v>432</v>
      </c>
      <c r="B115" s="84">
        <v>0</v>
      </c>
      <c r="C115" s="84"/>
      <c r="D115" s="84" t="s">
        <v>432</v>
      </c>
      <c r="E115" s="93">
        <f t="shared" si="6"/>
        <v>60</v>
      </c>
      <c r="F115" s="105">
        <f>(E115*'Realized Pricing'!$L$2)/M115</f>
        <v>70.387426782701866</v>
      </c>
      <c r="G115" s="84" t="s">
        <v>430</v>
      </c>
      <c r="H115" s="84" t="s">
        <v>431</v>
      </c>
      <c r="I115" s="84" t="s">
        <v>432</v>
      </c>
      <c r="J115" s="225">
        <v>3.036</v>
      </c>
      <c r="K115" s="236">
        <f>((J115-'Realized Pricing'!$B$32)/M115)*'Realized Pricing'!$L$7</f>
        <v>2.8541030551973399</v>
      </c>
      <c r="L115" s="19"/>
      <c r="M115" s="226">
        <v>0.8</v>
      </c>
      <c r="N115" s="84" t="s">
        <v>430</v>
      </c>
      <c r="O115" s="84"/>
      <c r="P115" s="231">
        <v>13.3712208</v>
      </c>
      <c r="Q115" s="231">
        <v>37.991246399999994</v>
      </c>
      <c r="R115" s="231">
        <v>63.141875999999996</v>
      </c>
      <c r="S115" s="47"/>
      <c r="T115" s="234">
        <f>SUMPRODUCT($P$4:$R$4,((P115:R115)/M115))*'Realized Pricing'!$L$12</f>
        <v>37.060964937000001</v>
      </c>
      <c r="U115" s="241">
        <f t="shared" si="4"/>
        <v>70.387426782701866</v>
      </c>
      <c r="V115" s="233">
        <f t="shared" si="5"/>
        <v>3.7949999999999999</v>
      </c>
    </row>
    <row r="116" spans="1:22">
      <c r="A116" s="84" t="s">
        <v>435</v>
      </c>
      <c r="B116" s="84">
        <v>0</v>
      </c>
      <c r="C116" s="84"/>
      <c r="D116" s="84" t="s">
        <v>435</v>
      </c>
      <c r="E116" s="93">
        <f t="shared" si="6"/>
        <v>60</v>
      </c>
      <c r="F116" s="105">
        <f>(E116*'Realized Pricing'!$L$2)/M116</f>
        <v>70.387426782701866</v>
      </c>
      <c r="G116" s="84" t="s">
        <v>433</v>
      </c>
      <c r="H116" s="84" t="s">
        <v>434</v>
      </c>
      <c r="I116" s="84" t="s">
        <v>435</v>
      </c>
      <c r="J116" s="225">
        <v>3.0659999999999998</v>
      </c>
      <c r="K116" s="236">
        <f>((J116-'Realized Pricing'!$B$32)/M116)*'Realized Pricing'!$L$7</f>
        <v>2.8942825787596806</v>
      </c>
      <c r="L116" s="19"/>
      <c r="M116" s="226">
        <v>0.8</v>
      </c>
      <c r="N116" s="84" t="s">
        <v>433</v>
      </c>
      <c r="O116" s="84"/>
      <c r="P116" s="231">
        <v>13.3712208</v>
      </c>
      <c r="Q116" s="231">
        <v>37.991246399999994</v>
      </c>
      <c r="R116" s="231">
        <v>63.141875999999996</v>
      </c>
      <c r="S116" s="47"/>
      <c r="T116" s="234">
        <f>SUMPRODUCT($P$4:$R$4,((P116:R116)/M116))*'Realized Pricing'!$L$12</f>
        <v>37.060964937000001</v>
      </c>
      <c r="U116" s="241">
        <f t="shared" si="4"/>
        <v>70.387426782701866</v>
      </c>
      <c r="V116" s="233">
        <f t="shared" si="5"/>
        <v>3.8324999999999996</v>
      </c>
    </row>
    <row r="117" spans="1:22">
      <c r="A117" s="84" t="s">
        <v>438</v>
      </c>
      <c r="B117" s="84">
        <v>0</v>
      </c>
      <c r="C117" s="84"/>
      <c r="D117" s="84" t="s">
        <v>438</v>
      </c>
      <c r="E117" s="93">
        <f t="shared" si="6"/>
        <v>60</v>
      </c>
      <c r="F117" s="105">
        <f>(E117*'Realized Pricing'!$L$2)/M117</f>
        <v>70.387426782701866</v>
      </c>
      <c r="G117" s="84" t="s">
        <v>436</v>
      </c>
      <c r="H117" s="84" t="s">
        <v>437</v>
      </c>
      <c r="I117" s="84" t="s">
        <v>438</v>
      </c>
      <c r="J117" s="225">
        <v>3.1059999999999999</v>
      </c>
      <c r="K117" s="236">
        <f>((J117-'Realized Pricing'!$B$32)/M117)*'Realized Pricing'!$L$7</f>
        <v>2.9478552768428026</v>
      </c>
      <c r="L117" s="19"/>
      <c r="M117" s="226">
        <v>0.8</v>
      </c>
      <c r="N117" s="84" t="s">
        <v>436</v>
      </c>
      <c r="O117" s="84"/>
      <c r="P117" s="231">
        <v>13.3712208</v>
      </c>
      <c r="Q117" s="231">
        <v>37.991246399999994</v>
      </c>
      <c r="R117" s="231">
        <v>63.141875999999996</v>
      </c>
      <c r="S117" s="47"/>
      <c r="T117" s="234">
        <f>SUMPRODUCT($P$4:$R$4,((P117:R117)/M117))*'Realized Pricing'!$L$12</f>
        <v>37.060964937000001</v>
      </c>
      <c r="U117" s="241">
        <f t="shared" si="4"/>
        <v>70.387426782701866</v>
      </c>
      <c r="V117" s="233">
        <f t="shared" si="5"/>
        <v>3.8824999999999998</v>
      </c>
    </row>
    <row r="118" spans="1:22">
      <c r="A118" s="84" t="s">
        <v>441</v>
      </c>
      <c r="B118" s="84">
        <v>0</v>
      </c>
      <c r="C118" s="84"/>
      <c r="D118" s="84" t="s">
        <v>441</v>
      </c>
      <c r="E118" s="93">
        <f t="shared" si="6"/>
        <v>60</v>
      </c>
      <c r="F118" s="105">
        <f>(E118*'Realized Pricing'!$L$2)/M118</f>
        <v>70.387426782701866</v>
      </c>
      <c r="G118" s="84" t="s">
        <v>439</v>
      </c>
      <c r="H118" s="84" t="s">
        <v>440</v>
      </c>
      <c r="I118" s="84" t="s">
        <v>441</v>
      </c>
      <c r="J118" s="225">
        <v>3.1459999999999999</v>
      </c>
      <c r="K118" s="236">
        <f>((J118-'Realized Pricing'!$B$32)/M118)*'Realized Pricing'!$L$7</f>
        <v>3.0014279749259241</v>
      </c>
      <c r="L118" s="19"/>
      <c r="M118" s="226">
        <v>0.8</v>
      </c>
      <c r="N118" s="84" t="s">
        <v>439</v>
      </c>
      <c r="O118" s="84"/>
      <c r="P118" s="231">
        <v>13.3712208</v>
      </c>
      <c r="Q118" s="231">
        <v>37.991246399999994</v>
      </c>
      <c r="R118" s="231">
        <v>63.141875999999996</v>
      </c>
      <c r="S118" s="47"/>
      <c r="T118" s="234">
        <f>SUMPRODUCT($P$4:$R$4,((P118:R118)/M118))*'Realized Pricing'!$L$12</f>
        <v>37.060964937000001</v>
      </c>
      <c r="U118" s="241">
        <f t="shared" si="4"/>
        <v>70.387426782701866</v>
      </c>
      <c r="V118" s="233">
        <f t="shared" si="5"/>
        <v>3.9324999999999997</v>
      </c>
    </row>
    <row r="119" spans="1:22">
      <c r="A119" s="84" t="s">
        <v>444</v>
      </c>
      <c r="B119" s="84">
        <v>0</v>
      </c>
      <c r="C119" s="84"/>
      <c r="D119" s="84" t="s">
        <v>444</v>
      </c>
      <c r="E119" s="93">
        <f t="shared" si="6"/>
        <v>60</v>
      </c>
      <c r="F119" s="105">
        <f>(E119*'Realized Pricing'!$L$2)/M119</f>
        <v>70.387426782701866</v>
      </c>
      <c r="G119" s="84" t="s">
        <v>442</v>
      </c>
      <c r="H119" s="84" t="s">
        <v>443</v>
      </c>
      <c r="I119" s="84" t="s">
        <v>444</v>
      </c>
      <c r="J119" s="225">
        <v>3.1589999999999998</v>
      </c>
      <c r="K119" s="236">
        <f>((J119-'Realized Pricing'!$B$32)/M119)*'Realized Pricing'!$L$7</f>
        <v>3.0188391018029384</v>
      </c>
      <c r="L119" s="19"/>
      <c r="M119" s="226">
        <v>0.8</v>
      </c>
      <c r="N119" s="84" t="s">
        <v>442</v>
      </c>
      <c r="O119" s="84"/>
      <c r="P119" s="231">
        <v>13.3712208</v>
      </c>
      <c r="Q119" s="231">
        <v>37.991246399999994</v>
      </c>
      <c r="R119" s="231">
        <v>63.141875999999996</v>
      </c>
      <c r="S119" s="47"/>
      <c r="T119" s="234">
        <f>SUMPRODUCT($P$4:$R$4,((P119:R119)/M119))*'Realized Pricing'!$L$12</f>
        <v>37.060964937000001</v>
      </c>
      <c r="U119" s="241">
        <f t="shared" si="4"/>
        <v>70.387426782701866</v>
      </c>
      <c r="V119" s="233">
        <f t="shared" si="5"/>
        <v>3.9487499999999995</v>
      </c>
    </row>
    <row r="120" spans="1:22">
      <c r="A120" s="84" t="s">
        <v>447</v>
      </c>
      <c r="B120" s="84">
        <v>0</v>
      </c>
      <c r="C120" s="84"/>
      <c r="D120" s="84" t="s">
        <v>447</v>
      </c>
      <c r="E120" s="93">
        <f t="shared" si="6"/>
        <v>60</v>
      </c>
      <c r="F120" s="105">
        <f>(E120*'Realized Pricing'!$L$2)/M120</f>
        <v>70.387426782701866</v>
      </c>
      <c r="G120" s="84" t="s">
        <v>445</v>
      </c>
      <c r="H120" s="84" t="s">
        <v>446</v>
      </c>
      <c r="I120" s="84" t="s">
        <v>447</v>
      </c>
      <c r="J120" s="225">
        <v>3.2050000000000001</v>
      </c>
      <c r="K120" s="236">
        <f>((J120-'Realized Pricing'!$B$32)/M120)*'Realized Pricing'!$L$7</f>
        <v>3.0804477045985283</v>
      </c>
      <c r="L120" s="19"/>
      <c r="M120" s="226">
        <v>0.8</v>
      </c>
      <c r="N120" s="84" t="s">
        <v>445</v>
      </c>
      <c r="O120" s="84"/>
      <c r="P120" s="231">
        <v>13.3712208</v>
      </c>
      <c r="Q120" s="231">
        <v>37.991246399999994</v>
      </c>
      <c r="R120" s="231">
        <v>63.141875999999996</v>
      </c>
      <c r="S120" s="47"/>
      <c r="T120" s="234">
        <f>SUMPRODUCT($P$4:$R$4,((P120:R120)/M120))*'Realized Pricing'!$L$12</f>
        <v>37.060964937000001</v>
      </c>
      <c r="U120" s="241">
        <f t="shared" si="4"/>
        <v>70.387426782701866</v>
      </c>
      <c r="V120" s="233">
        <f t="shared" si="5"/>
        <v>4.0062499999999996</v>
      </c>
    </row>
    <row r="121" spans="1:22">
      <c r="A121" s="84" t="s">
        <v>450</v>
      </c>
      <c r="B121" s="84">
        <v>0</v>
      </c>
      <c r="C121" s="84"/>
      <c r="D121" s="84" t="s">
        <v>450</v>
      </c>
      <c r="E121" s="93">
        <f t="shared" si="6"/>
        <v>60</v>
      </c>
      <c r="F121" s="105">
        <f>(E121*'Realized Pricing'!$L$2)/M121</f>
        <v>70.387426782701866</v>
      </c>
      <c r="G121" s="84" t="s">
        <v>448</v>
      </c>
      <c r="H121" s="84" t="s">
        <v>449</v>
      </c>
      <c r="I121" s="84" t="s">
        <v>450</v>
      </c>
      <c r="J121" s="225">
        <v>3.2709999999999999</v>
      </c>
      <c r="K121" s="236">
        <f>((J121-'Realized Pricing'!$B$32)/M121)*'Realized Pricing'!$L$7</f>
        <v>3.1688426564356784</v>
      </c>
      <c r="L121" s="19"/>
      <c r="M121" s="226">
        <v>0.8</v>
      </c>
      <c r="N121" s="84" t="s">
        <v>448</v>
      </c>
      <c r="O121" s="84"/>
      <c r="P121" s="231">
        <v>13.3712208</v>
      </c>
      <c r="Q121" s="231">
        <v>37.991246399999994</v>
      </c>
      <c r="R121" s="231">
        <v>63.141875999999996</v>
      </c>
      <c r="S121" s="47"/>
      <c r="T121" s="234">
        <f>SUMPRODUCT($P$4:$R$4,((P121:R121)/M121))*'Realized Pricing'!$L$12</f>
        <v>37.060964937000001</v>
      </c>
      <c r="U121" s="241">
        <f t="shared" si="4"/>
        <v>70.387426782701866</v>
      </c>
      <c r="V121" s="233">
        <f t="shared" si="5"/>
        <v>4.0887499999999992</v>
      </c>
    </row>
    <row r="122" spans="1:22">
      <c r="A122" s="84" t="s">
        <v>453</v>
      </c>
      <c r="B122" s="84">
        <v>0</v>
      </c>
      <c r="C122" s="84"/>
      <c r="D122" s="84" t="s">
        <v>453</v>
      </c>
      <c r="E122" s="93">
        <f t="shared" si="6"/>
        <v>60</v>
      </c>
      <c r="F122" s="105">
        <f>(E122*'Realized Pricing'!$L$2)/M122</f>
        <v>70.387426782701866</v>
      </c>
      <c r="G122" s="84" t="s">
        <v>451</v>
      </c>
      <c r="H122" s="84" t="s">
        <v>452</v>
      </c>
      <c r="I122" s="84" t="s">
        <v>453</v>
      </c>
      <c r="J122" s="225">
        <v>3.4220000000000002</v>
      </c>
      <c r="K122" s="236">
        <f>((J122-'Realized Pricing'!$B$32)/M122)*'Realized Pricing'!$L$7</f>
        <v>3.3710795916994627</v>
      </c>
      <c r="L122" s="19"/>
      <c r="M122" s="226">
        <v>0.8</v>
      </c>
      <c r="N122" s="84" t="s">
        <v>451</v>
      </c>
      <c r="O122" s="84"/>
      <c r="P122" s="231">
        <v>13.3712208</v>
      </c>
      <c r="Q122" s="231">
        <v>37.991246399999994</v>
      </c>
      <c r="R122" s="231">
        <v>63.141875999999996</v>
      </c>
      <c r="S122" s="47"/>
      <c r="T122" s="234">
        <f>SUMPRODUCT($P$4:$R$4,((P122:R122)/M122))*'Realized Pricing'!$L$12</f>
        <v>37.060964937000001</v>
      </c>
      <c r="U122" s="241">
        <f t="shared" si="4"/>
        <v>70.387426782701866</v>
      </c>
      <c r="V122" s="233">
        <f t="shared" si="5"/>
        <v>4.2774999999999999</v>
      </c>
    </row>
    <row r="123" spans="1:22">
      <c r="A123" s="84" t="s">
        <v>456</v>
      </c>
      <c r="B123" s="84">
        <v>0</v>
      </c>
      <c r="C123" s="84"/>
      <c r="D123" s="84" t="s">
        <v>456</v>
      </c>
      <c r="E123" s="93">
        <f t="shared" si="6"/>
        <v>60</v>
      </c>
      <c r="F123" s="105">
        <f>(E123*'Realized Pricing'!$L$2)/M123</f>
        <v>70.387426782701866</v>
      </c>
      <c r="G123" s="84" t="s">
        <v>454</v>
      </c>
      <c r="H123" s="84" t="s">
        <v>455</v>
      </c>
      <c r="I123" s="84" t="s">
        <v>456</v>
      </c>
      <c r="J123" s="225">
        <v>3.5430000000000001</v>
      </c>
      <c r="K123" s="236">
        <f>((J123-'Realized Pricing'!$B$32)/M123)*'Realized Pricing'!$L$7</f>
        <v>3.5331370034009049</v>
      </c>
      <c r="L123" s="19"/>
      <c r="M123" s="226">
        <v>0.8</v>
      </c>
      <c r="N123" s="84" t="s">
        <v>454</v>
      </c>
      <c r="O123" s="84"/>
      <c r="P123" s="231">
        <v>13.3712208</v>
      </c>
      <c r="Q123" s="231">
        <v>37.991246399999994</v>
      </c>
      <c r="R123" s="231">
        <v>63.141875999999996</v>
      </c>
      <c r="S123" s="47"/>
      <c r="T123" s="234">
        <f>SUMPRODUCT($P$4:$R$4,((P123:R123)/M123))*'Realized Pricing'!$L$12</f>
        <v>37.060964937000001</v>
      </c>
      <c r="U123" s="241">
        <f t="shared" si="4"/>
        <v>70.387426782701866</v>
      </c>
      <c r="V123" s="233">
        <f t="shared" si="5"/>
        <v>4.42875</v>
      </c>
    </row>
    <row r="124" spans="1:22">
      <c r="A124" s="84" t="s">
        <v>458</v>
      </c>
      <c r="B124" s="84">
        <v>0</v>
      </c>
      <c r="C124" s="84"/>
      <c r="D124" s="84" t="s">
        <v>458</v>
      </c>
      <c r="E124" s="93">
        <f t="shared" si="6"/>
        <v>60</v>
      </c>
      <c r="F124" s="105">
        <f>(E124*'Realized Pricing'!$L$2)/M124</f>
        <v>70.387426782701866</v>
      </c>
      <c r="G124" s="84" t="s">
        <v>577</v>
      </c>
      <c r="H124" s="84" t="s">
        <v>457</v>
      </c>
      <c r="I124" s="84" t="s">
        <v>458</v>
      </c>
      <c r="J124" s="225">
        <v>3.508</v>
      </c>
      <c r="K124" s="236">
        <f>((J124-'Realized Pricing'!$B$32)/M124)*'Realized Pricing'!$L$7</f>
        <v>3.4862608925781733</v>
      </c>
      <c r="L124" s="19"/>
      <c r="M124" s="226">
        <v>0.8</v>
      </c>
      <c r="N124" s="84" t="s">
        <v>577</v>
      </c>
      <c r="O124" s="84"/>
      <c r="P124" s="231">
        <v>13.3712208</v>
      </c>
      <c r="Q124" s="231">
        <v>37.991246399999994</v>
      </c>
      <c r="R124" s="231">
        <v>63.141875999999996</v>
      </c>
      <c r="S124" s="47"/>
      <c r="T124" s="234">
        <f>SUMPRODUCT($P$4:$R$4,((P124:R124)/M124))*'Realized Pricing'!$L$12</f>
        <v>37.060964937000001</v>
      </c>
      <c r="U124" s="241">
        <f t="shared" si="4"/>
        <v>70.387426782701866</v>
      </c>
      <c r="V124" s="233">
        <f t="shared" si="5"/>
        <v>4.3849999999999998</v>
      </c>
    </row>
    <row r="125" spans="1:22">
      <c r="A125" s="84" t="s">
        <v>461</v>
      </c>
      <c r="B125" s="84">
        <f>B113+1</f>
        <v>1</v>
      </c>
      <c r="C125" s="84"/>
      <c r="D125" s="84" t="s">
        <v>461</v>
      </c>
      <c r="E125" s="93">
        <f t="shared" si="6"/>
        <v>60.899999999999991</v>
      </c>
      <c r="F125" s="105">
        <f>(E125*'Realized Pricing'!$L$2)/M125</f>
        <v>71.443238184442393</v>
      </c>
      <c r="G125" s="84" t="s">
        <v>459</v>
      </c>
      <c r="H125" s="84" t="s">
        <v>460</v>
      </c>
      <c r="I125" s="84" t="s">
        <v>461</v>
      </c>
      <c r="J125" s="225">
        <v>3.4430000000000001</v>
      </c>
      <c r="K125" s="236">
        <f>((J125-'Realized Pricing'!$B$32)/M125)*'Realized Pricing'!$L$7</f>
        <v>3.3992052581931014</v>
      </c>
      <c r="L125" s="19"/>
      <c r="M125" s="226">
        <v>0.8</v>
      </c>
      <c r="N125" s="84" t="s">
        <v>459</v>
      </c>
      <c r="O125" s="84"/>
      <c r="P125" s="231">
        <v>13.3712208</v>
      </c>
      <c r="Q125" s="231">
        <v>37.991246399999994</v>
      </c>
      <c r="R125" s="231">
        <v>63.141875999999996</v>
      </c>
      <c r="S125" s="47"/>
      <c r="T125" s="234">
        <f>SUMPRODUCT($P$4:$R$4,((P125:R125)/M125))*'Realized Pricing'!$L$12</f>
        <v>37.060964937000001</v>
      </c>
      <c r="U125" s="241">
        <f t="shared" si="4"/>
        <v>71.443238184442393</v>
      </c>
      <c r="V125" s="233">
        <f t="shared" si="5"/>
        <v>4.30375</v>
      </c>
    </row>
    <row r="126" spans="1:22">
      <c r="A126" s="84" t="s">
        <v>464</v>
      </c>
      <c r="B126" s="84">
        <f t="shared" ref="B126:B136" si="7">B114+1</f>
        <v>1</v>
      </c>
      <c r="C126" s="84"/>
      <c r="D126" s="84" t="s">
        <v>464</v>
      </c>
      <c r="E126" s="93">
        <f t="shared" si="6"/>
        <v>60.899999999999991</v>
      </c>
      <c r="F126" s="105">
        <f>(E126*'Realized Pricing'!$L$2)/M126</f>
        <v>71.443238184442393</v>
      </c>
      <c r="G126" s="84" t="s">
        <v>462</v>
      </c>
      <c r="H126" s="84" t="s">
        <v>463</v>
      </c>
      <c r="I126" s="84" t="s">
        <v>464</v>
      </c>
      <c r="J126" s="225">
        <v>3.1480000000000001</v>
      </c>
      <c r="K126" s="236">
        <f>((J126-'Realized Pricing'!$B$32)/M126)*'Realized Pricing'!$L$7</f>
        <v>3.0041066098300804</v>
      </c>
      <c r="L126" s="19"/>
      <c r="M126" s="226">
        <v>0.8</v>
      </c>
      <c r="N126" s="84" t="s">
        <v>462</v>
      </c>
      <c r="O126" s="84"/>
      <c r="P126" s="231">
        <v>13.3712208</v>
      </c>
      <c r="Q126" s="231">
        <v>37.991246399999994</v>
      </c>
      <c r="R126" s="231">
        <v>63.141875999999996</v>
      </c>
      <c r="S126" s="47"/>
      <c r="T126" s="234">
        <f>SUMPRODUCT($P$4:$R$4,((P126:R126)/M126))*'Realized Pricing'!$L$12</f>
        <v>37.060964937000001</v>
      </c>
      <c r="U126" s="241">
        <f t="shared" si="4"/>
        <v>71.443238184442393</v>
      </c>
      <c r="V126" s="233">
        <f t="shared" si="5"/>
        <v>3.9350000000000001</v>
      </c>
    </row>
    <row r="127" spans="1:22">
      <c r="A127" s="84" t="s">
        <v>467</v>
      </c>
      <c r="B127" s="84">
        <f t="shared" si="7"/>
        <v>1</v>
      </c>
      <c r="C127" s="84"/>
      <c r="D127" s="84" t="s">
        <v>467</v>
      </c>
      <c r="E127" s="93">
        <f t="shared" si="6"/>
        <v>60.899999999999991</v>
      </c>
      <c r="F127" s="105">
        <f>(E127*'Realized Pricing'!$L$2)/M127</f>
        <v>71.443238184442393</v>
      </c>
      <c r="G127" s="84" t="s">
        <v>465</v>
      </c>
      <c r="H127" s="84" t="s">
        <v>466</v>
      </c>
      <c r="I127" s="84" t="s">
        <v>467</v>
      </c>
      <c r="J127" s="225">
        <v>3.1259999999999999</v>
      </c>
      <c r="K127" s="236">
        <f>((J127-'Realized Pricing'!$B$32)/M127)*'Realized Pricing'!$L$7</f>
        <v>2.9746416258843631</v>
      </c>
      <c r="L127" s="19"/>
      <c r="M127" s="226">
        <v>0.8</v>
      </c>
      <c r="N127" s="84" t="s">
        <v>465</v>
      </c>
      <c r="O127" s="84"/>
      <c r="P127" s="231">
        <v>13.3712208</v>
      </c>
      <c r="Q127" s="231">
        <v>37.991246399999994</v>
      </c>
      <c r="R127" s="231">
        <v>63.141875999999996</v>
      </c>
      <c r="S127" s="47"/>
      <c r="T127" s="234">
        <f>SUMPRODUCT($P$4:$R$4,((P127:R127)/M127))*'Realized Pricing'!$L$12</f>
        <v>37.060964937000001</v>
      </c>
      <c r="U127" s="241">
        <f t="shared" si="4"/>
        <v>71.443238184442393</v>
      </c>
      <c r="V127" s="233">
        <f t="shared" si="5"/>
        <v>3.9074999999999998</v>
      </c>
    </row>
    <row r="128" spans="1:22">
      <c r="A128" s="84" t="s">
        <v>470</v>
      </c>
      <c r="B128" s="84">
        <f t="shared" si="7"/>
        <v>1</v>
      </c>
      <c r="C128" s="84"/>
      <c r="D128" s="84" t="s">
        <v>470</v>
      </c>
      <c r="E128" s="93">
        <f t="shared" si="6"/>
        <v>60.899999999999991</v>
      </c>
      <c r="F128" s="105">
        <f>(E128*'Realized Pricing'!$L$2)/M128</f>
        <v>71.443238184442393</v>
      </c>
      <c r="G128" s="84" t="s">
        <v>468</v>
      </c>
      <c r="H128" s="84" t="s">
        <v>469</v>
      </c>
      <c r="I128" s="84" t="s">
        <v>470</v>
      </c>
      <c r="J128" s="225">
        <v>3.1560000000000001</v>
      </c>
      <c r="K128" s="236">
        <f>((J128-'Realized Pricing'!$B$32)/M128)*'Realized Pricing'!$L$7</f>
        <v>3.0148211494467048</v>
      </c>
      <c r="L128" s="19"/>
      <c r="M128" s="226">
        <v>0.8</v>
      </c>
      <c r="N128" s="84" t="s">
        <v>468</v>
      </c>
      <c r="O128" s="84"/>
      <c r="P128" s="231">
        <v>13.3712208</v>
      </c>
      <c r="Q128" s="231">
        <v>37.991246399999994</v>
      </c>
      <c r="R128" s="231">
        <v>63.141875999999996</v>
      </c>
      <c r="S128" s="47"/>
      <c r="T128" s="234">
        <f>SUMPRODUCT($P$4:$R$4,((P128:R128)/M128))*'Realized Pricing'!$L$12</f>
        <v>37.060964937000001</v>
      </c>
      <c r="U128" s="241">
        <f t="shared" si="4"/>
        <v>71.443238184442393</v>
      </c>
      <c r="V128" s="233">
        <f t="shared" si="5"/>
        <v>3.9449999999999998</v>
      </c>
    </row>
    <row r="129" spans="1:22">
      <c r="A129" s="84" t="s">
        <v>473</v>
      </c>
      <c r="B129" s="84">
        <f t="shared" si="7"/>
        <v>1</v>
      </c>
      <c r="C129" s="84"/>
      <c r="D129" s="84" t="s">
        <v>473</v>
      </c>
      <c r="E129" s="93">
        <f t="shared" si="6"/>
        <v>60.899999999999991</v>
      </c>
      <c r="F129" s="105">
        <f>(E129*'Realized Pricing'!$L$2)/M129</f>
        <v>71.443238184442393</v>
      </c>
      <c r="G129" s="84" t="s">
        <v>471</v>
      </c>
      <c r="H129" s="84" t="s">
        <v>472</v>
      </c>
      <c r="I129" s="84" t="s">
        <v>473</v>
      </c>
      <c r="J129" s="225">
        <v>3.1960000000000002</v>
      </c>
      <c r="K129" s="236">
        <f>((J129-'Realized Pricing'!$B$32)/M129)*'Realized Pricing'!$L$7</f>
        <v>3.0683938475298262</v>
      </c>
      <c r="L129" s="19"/>
      <c r="M129" s="226">
        <v>0.8</v>
      </c>
      <c r="N129" s="84" t="s">
        <v>471</v>
      </c>
      <c r="O129" s="84"/>
      <c r="P129" s="231">
        <v>13.3712208</v>
      </c>
      <c r="Q129" s="231">
        <v>37.991246399999994</v>
      </c>
      <c r="R129" s="231">
        <v>63.141875999999996</v>
      </c>
      <c r="S129" s="47"/>
      <c r="T129" s="234">
        <f>SUMPRODUCT($P$4:$R$4,((P129:R129)/M129))*'Realized Pricing'!$L$12</f>
        <v>37.060964937000001</v>
      </c>
      <c r="U129" s="241">
        <f t="shared" si="4"/>
        <v>71.443238184442393</v>
      </c>
      <c r="V129" s="233">
        <f t="shared" si="5"/>
        <v>3.9950000000000001</v>
      </c>
    </row>
    <row r="130" spans="1:22">
      <c r="A130" s="84" t="s">
        <v>476</v>
      </c>
      <c r="B130" s="84">
        <f t="shared" si="7"/>
        <v>1</v>
      </c>
      <c r="C130" s="84"/>
      <c r="D130" s="84" t="s">
        <v>476</v>
      </c>
      <c r="E130" s="93">
        <f t="shared" si="6"/>
        <v>60.899999999999991</v>
      </c>
      <c r="F130" s="105">
        <f>(E130*'Realized Pricing'!$L$2)/M130</f>
        <v>71.443238184442393</v>
      </c>
      <c r="G130" s="84" t="s">
        <v>474</v>
      </c>
      <c r="H130" s="84" t="s">
        <v>475</v>
      </c>
      <c r="I130" s="84" t="s">
        <v>476</v>
      </c>
      <c r="J130" s="225">
        <v>3.2360000000000002</v>
      </c>
      <c r="K130" s="236">
        <f>((J130-'Realized Pricing'!$B$32)/M130)*'Realized Pricing'!$L$7</f>
        <v>3.1219665456129477</v>
      </c>
      <c r="L130" s="19"/>
      <c r="M130" s="226">
        <v>0.8</v>
      </c>
      <c r="N130" s="84" t="s">
        <v>474</v>
      </c>
      <c r="O130" s="84"/>
      <c r="P130" s="231">
        <v>13.3712208</v>
      </c>
      <c r="Q130" s="231">
        <v>37.991246399999994</v>
      </c>
      <c r="R130" s="231">
        <v>63.141875999999996</v>
      </c>
      <c r="S130" s="47"/>
      <c r="T130" s="234">
        <f>SUMPRODUCT($P$4:$R$4,((P130:R130)/M130))*'Realized Pricing'!$L$12</f>
        <v>37.060964937000001</v>
      </c>
      <c r="U130" s="241">
        <f t="shared" si="4"/>
        <v>71.443238184442393</v>
      </c>
      <c r="V130" s="233">
        <f t="shared" si="5"/>
        <v>4.0449999999999999</v>
      </c>
    </row>
    <row r="131" spans="1:22">
      <c r="A131" s="84" t="s">
        <v>479</v>
      </c>
      <c r="B131" s="84">
        <f t="shared" si="7"/>
        <v>1</v>
      </c>
      <c r="C131" s="84"/>
      <c r="D131" s="84" t="s">
        <v>479</v>
      </c>
      <c r="E131" s="93">
        <f t="shared" si="6"/>
        <v>60.899999999999991</v>
      </c>
      <c r="F131" s="105">
        <f>(E131*'Realized Pricing'!$L$2)/M131</f>
        <v>71.443238184442393</v>
      </c>
      <c r="G131" s="84" t="s">
        <v>477</v>
      </c>
      <c r="H131" s="84" t="s">
        <v>478</v>
      </c>
      <c r="I131" s="84" t="s">
        <v>479</v>
      </c>
      <c r="J131" s="225">
        <v>3.2509999999999999</v>
      </c>
      <c r="K131" s="236">
        <f>((J131-'Realized Pricing'!$B$32)/M131)*'Realized Pricing'!$L$7</f>
        <v>3.1420563073941179</v>
      </c>
      <c r="L131" s="19"/>
      <c r="M131" s="226">
        <v>0.8</v>
      </c>
      <c r="N131" s="84" t="s">
        <v>477</v>
      </c>
      <c r="O131" s="84"/>
      <c r="P131" s="231">
        <v>13.3712208</v>
      </c>
      <c r="Q131" s="231">
        <v>37.991246399999994</v>
      </c>
      <c r="R131" s="231">
        <v>63.141875999999996</v>
      </c>
      <c r="S131" s="47"/>
      <c r="T131" s="234">
        <f>SUMPRODUCT($P$4:$R$4,((P131:R131)/M131))*'Realized Pricing'!$L$12</f>
        <v>37.060964937000001</v>
      </c>
      <c r="U131" s="241">
        <f t="shared" si="4"/>
        <v>71.443238184442393</v>
      </c>
      <c r="V131" s="233">
        <f t="shared" si="5"/>
        <v>4.0637499999999998</v>
      </c>
    </row>
    <row r="132" spans="1:22">
      <c r="A132" s="84" t="s">
        <v>482</v>
      </c>
      <c r="B132" s="84">
        <f t="shared" si="7"/>
        <v>1</v>
      </c>
      <c r="C132" s="84"/>
      <c r="D132" s="84" t="s">
        <v>482</v>
      </c>
      <c r="E132" s="93">
        <f t="shared" si="6"/>
        <v>60.899999999999991</v>
      </c>
      <c r="F132" s="105">
        <f>(E132*'Realized Pricing'!$L$2)/M132</f>
        <v>71.443238184442393</v>
      </c>
      <c r="G132" s="84" t="s">
        <v>480</v>
      </c>
      <c r="H132" s="84" t="s">
        <v>481</v>
      </c>
      <c r="I132" s="84" t="s">
        <v>482</v>
      </c>
      <c r="J132" s="225">
        <v>3.2970000000000002</v>
      </c>
      <c r="K132" s="236">
        <f>((J132-'Realized Pricing'!$B$32)/M132)*'Realized Pricing'!$L$7</f>
        <v>3.2036649101897083</v>
      </c>
      <c r="L132" s="19"/>
      <c r="M132" s="226">
        <v>0.8</v>
      </c>
      <c r="N132" s="84" t="s">
        <v>480</v>
      </c>
      <c r="O132" s="84"/>
      <c r="P132" s="231">
        <v>13.3712208</v>
      </c>
      <c r="Q132" s="231">
        <v>37.991246399999994</v>
      </c>
      <c r="R132" s="231">
        <v>63.141875999999996</v>
      </c>
      <c r="S132" s="47"/>
      <c r="T132" s="234">
        <f>SUMPRODUCT($P$4:$R$4,((P132:R132)/M132))*'Realized Pricing'!$L$12</f>
        <v>37.060964937000001</v>
      </c>
      <c r="U132" s="241">
        <f t="shared" si="4"/>
        <v>71.443238184442393</v>
      </c>
      <c r="V132" s="233">
        <f t="shared" si="5"/>
        <v>4.1212499999999999</v>
      </c>
    </row>
    <row r="133" spans="1:22">
      <c r="A133" s="84" t="s">
        <v>485</v>
      </c>
      <c r="B133" s="84">
        <f t="shared" si="7"/>
        <v>1</v>
      </c>
      <c r="C133" s="84"/>
      <c r="D133" s="84" t="s">
        <v>485</v>
      </c>
      <c r="E133" s="93">
        <f t="shared" si="6"/>
        <v>60.899999999999991</v>
      </c>
      <c r="F133" s="105">
        <f>(E133*'Realized Pricing'!$L$2)/M133</f>
        <v>71.443238184442393</v>
      </c>
      <c r="G133" s="84" t="s">
        <v>483</v>
      </c>
      <c r="H133" s="84" t="s">
        <v>484</v>
      </c>
      <c r="I133" s="84" t="s">
        <v>485</v>
      </c>
      <c r="J133" s="225">
        <v>3.3690000000000002</v>
      </c>
      <c r="K133" s="236">
        <f>((J133-'Realized Pricing'!$B$32)/M133)*'Realized Pricing'!$L$7</f>
        <v>3.3000957667393265</v>
      </c>
      <c r="L133" s="19"/>
      <c r="M133" s="226">
        <v>0.8</v>
      </c>
      <c r="N133" s="84" t="s">
        <v>483</v>
      </c>
      <c r="O133" s="84"/>
      <c r="P133" s="231">
        <v>13.3712208</v>
      </c>
      <c r="Q133" s="231">
        <v>37.991246399999994</v>
      </c>
      <c r="R133" s="231">
        <v>63.141875999999996</v>
      </c>
      <c r="S133" s="47"/>
      <c r="T133" s="234">
        <f>SUMPRODUCT($P$4:$R$4,((P133:R133)/M133))*'Realized Pricing'!$L$12</f>
        <v>37.060964937000001</v>
      </c>
      <c r="U133" s="241">
        <f t="shared" si="4"/>
        <v>71.443238184442393</v>
      </c>
      <c r="V133" s="233">
        <f t="shared" ref="V133:V158" si="8">J133/M133</f>
        <v>4.2112499999999997</v>
      </c>
    </row>
    <row r="134" spans="1:22">
      <c r="A134" s="84" t="s">
        <v>488</v>
      </c>
      <c r="B134" s="84">
        <f t="shared" si="7"/>
        <v>1</v>
      </c>
      <c r="C134" s="84"/>
      <c r="D134" s="84" t="s">
        <v>488</v>
      </c>
      <c r="E134" s="93">
        <f t="shared" si="6"/>
        <v>60.899999999999991</v>
      </c>
      <c r="F134" s="105">
        <f>(E134*'Realized Pricing'!$L$2)/M134</f>
        <v>71.443238184442393</v>
      </c>
      <c r="G134" s="84" t="s">
        <v>486</v>
      </c>
      <c r="H134" s="84" t="s">
        <v>487</v>
      </c>
      <c r="I134" s="84" t="s">
        <v>488</v>
      </c>
      <c r="J134" s="225">
        <v>3.5209999999999999</v>
      </c>
      <c r="K134" s="236">
        <f>((J134-'Realized Pricing'!$B$32)/M134)*'Realized Pricing'!$L$7</f>
        <v>3.5036720194551876</v>
      </c>
      <c r="L134" s="19"/>
      <c r="M134" s="226">
        <v>0.8</v>
      </c>
      <c r="N134" s="84" t="s">
        <v>486</v>
      </c>
      <c r="O134" s="84"/>
      <c r="P134" s="231">
        <v>13.3712208</v>
      </c>
      <c r="Q134" s="231">
        <v>37.991246399999994</v>
      </c>
      <c r="R134" s="231">
        <v>63.141875999999996</v>
      </c>
      <c r="S134" s="47"/>
      <c r="T134" s="234">
        <f>SUMPRODUCT($P$4:$R$4,((P134:R134)/M134))*'Realized Pricing'!$L$12</f>
        <v>37.060964937000001</v>
      </c>
      <c r="U134" s="241">
        <f t="shared" ref="U134:U197" si="9">F134</f>
        <v>71.443238184442393</v>
      </c>
      <c r="V134" s="233">
        <f t="shared" si="8"/>
        <v>4.4012499999999992</v>
      </c>
    </row>
    <row r="135" spans="1:22">
      <c r="A135" s="84" t="s">
        <v>491</v>
      </c>
      <c r="B135" s="84">
        <f t="shared" si="7"/>
        <v>1</v>
      </c>
      <c r="C135" s="84"/>
      <c r="D135" s="84" t="s">
        <v>491</v>
      </c>
      <c r="E135" s="93">
        <f t="shared" si="6"/>
        <v>60.899999999999991</v>
      </c>
      <c r="F135" s="105">
        <f>(E135*'Realized Pricing'!$L$2)/M135</f>
        <v>71.443238184442393</v>
      </c>
      <c r="G135" s="84" t="s">
        <v>489</v>
      </c>
      <c r="H135" s="84" t="s">
        <v>490</v>
      </c>
      <c r="I135" s="84" t="s">
        <v>491</v>
      </c>
      <c r="J135" s="225">
        <v>3.6509999999999998</v>
      </c>
      <c r="K135" s="236">
        <f>((J135-'Realized Pricing'!$B$32)/M135)*'Realized Pricing'!$L$7</f>
        <v>3.6777832882253327</v>
      </c>
      <c r="L135" s="19"/>
      <c r="M135" s="226">
        <v>0.8</v>
      </c>
      <c r="N135" s="84" t="s">
        <v>489</v>
      </c>
      <c r="O135" s="84"/>
      <c r="P135" s="231">
        <v>13.3712208</v>
      </c>
      <c r="Q135" s="231">
        <v>37.991246399999994</v>
      </c>
      <c r="R135" s="231">
        <v>63.141875999999996</v>
      </c>
      <c r="S135" s="47"/>
      <c r="T135" s="234">
        <f>SUMPRODUCT($P$4:$R$4,((P135:R135)/M135))*'Realized Pricing'!$L$12</f>
        <v>37.060964937000001</v>
      </c>
      <c r="U135" s="241">
        <f t="shared" si="9"/>
        <v>71.443238184442393</v>
      </c>
      <c r="V135" s="233">
        <f t="shared" si="8"/>
        <v>4.5637499999999998</v>
      </c>
    </row>
    <row r="136" spans="1:22">
      <c r="A136" s="84" t="s">
        <v>493</v>
      </c>
      <c r="B136" s="84">
        <f t="shared" si="7"/>
        <v>1</v>
      </c>
      <c r="C136" s="84"/>
      <c r="D136" s="84" t="s">
        <v>493</v>
      </c>
      <c r="E136" s="93">
        <f t="shared" si="6"/>
        <v>60.899999999999991</v>
      </c>
      <c r="F136" s="105">
        <f>(E136*'Realized Pricing'!$L$2)/M136</f>
        <v>71.443238184442393</v>
      </c>
      <c r="G136" s="84" t="s">
        <v>578</v>
      </c>
      <c r="H136" s="84" t="s">
        <v>492</v>
      </c>
      <c r="I136" s="84" t="s">
        <v>493</v>
      </c>
      <c r="J136" s="225">
        <v>3.6160000000000001</v>
      </c>
      <c r="K136" s="236">
        <f>((J136-'Realized Pricing'!$B$32)/M136)*'Realized Pricing'!$L$7</f>
        <v>3.6309071774026016</v>
      </c>
      <c r="L136" s="19"/>
      <c r="M136" s="226">
        <v>0.8</v>
      </c>
      <c r="N136" s="84" t="s">
        <v>578</v>
      </c>
      <c r="O136" s="84"/>
      <c r="P136" s="231">
        <v>13.3712208</v>
      </c>
      <c r="Q136" s="231">
        <v>37.991246399999994</v>
      </c>
      <c r="R136" s="231">
        <v>63.141875999999996</v>
      </c>
      <c r="S136" s="47"/>
      <c r="T136" s="234">
        <f>SUMPRODUCT($P$4:$R$4,((P136:R136)/M136))*'Realized Pricing'!$L$12</f>
        <v>37.060964937000001</v>
      </c>
      <c r="U136" s="241">
        <f t="shared" si="9"/>
        <v>71.443238184442393</v>
      </c>
      <c r="V136" s="233">
        <f t="shared" si="8"/>
        <v>4.5199999999999996</v>
      </c>
    </row>
    <row r="137" spans="1:22">
      <c r="A137" s="84" t="s">
        <v>496</v>
      </c>
      <c r="B137" s="84">
        <f>B125+1</f>
        <v>2</v>
      </c>
      <c r="C137" s="84"/>
      <c r="D137" s="84" t="s">
        <v>496</v>
      </c>
      <c r="E137" s="93">
        <f t="shared" si="6"/>
        <v>61.813499999999983</v>
      </c>
      <c r="F137" s="105">
        <f>(E137*'Realized Pricing'!$L$2)/M137</f>
        <v>72.514886757209013</v>
      </c>
      <c r="G137" s="84" t="s">
        <v>494</v>
      </c>
      <c r="H137" s="84" t="s">
        <v>495</v>
      </c>
      <c r="I137" s="84" t="s">
        <v>496</v>
      </c>
      <c r="J137" s="225">
        <v>3.5510000000000002</v>
      </c>
      <c r="K137" s="236">
        <f>((J137-'Realized Pricing'!$B$32)/M137)*'Realized Pricing'!$L$7</f>
        <v>3.5438515430175292</v>
      </c>
      <c r="L137" s="19"/>
      <c r="M137" s="226">
        <v>0.8</v>
      </c>
      <c r="N137" s="84" t="s">
        <v>494</v>
      </c>
      <c r="O137" s="84"/>
      <c r="P137" s="231">
        <v>13.3712208</v>
      </c>
      <c r="Q137" s="231">
        <v>37.991246399999994</v>
      </c>
      <c r="R137" s="231">
        <v>63.141875999999996</v>
      </c>
      <c r="S137" s="47"/>
      <c r="T137" s="234">
        <f>SUMPRODUCT($P$4:$R$4,((P137:R137)/M137))*'Realized Pricing'!$L$12</f>
        <v>37.060964937000001</v>
      </c>
      <c r="U137" s="241">
        <f t="shared" si="9"/>
        <v>72.514886757209013</v>
      </c>
      <c r="V137" s="233">
        <f t="shared" si="8"/>
        <v>4.4387499999999998</v>
      </c>
    </row>
    <row r="138" spans="1:22">
      <c r="A138" s="84" t="s">
        <v>499</v>
      </c>
      <c r="B138" s="84">
        <f t="shared" ref="B138:B148" si="10">B126+1</f>
        <v>2</v>
      </c>
      <c r="C138" s="84"/>
      <c r="D138" s="84" t="s">
        <v>499</v>
      </c>
      <c r="E138" s="93">
        <f t="shared" si="6"/>
        <v>61.813499999999983</v>
      </c>
      <c r="F138" s="105">
        <f>(E138*'Realized Pricing'!$L$2)/M138</f>
        <v>72.514886757209013</v>
      </c>
      <c r="G138" s="84" t="s">
        <v>497</v>
      </c>
      <c r="H138" s="84" t="s">
        <v>498</v>
      </c>
      <c r="I138" s="84" t="s">
        <v>499</v>
      </c>
      <c r="J138" s="225">
        <v>3.2440000000000002</v>
      </c>
      <c r="K138" s="236">
        <f>((J138-'Realized Pricing'!$B$32)/M138)*'Realized Pricing'!$L$7</f>
        <v>3.1326810852295721</v>
      </c>
      <c r="L138" s="19"/>
      <c r="M138" s="226">
        <v>0.8</v>
      </c>
      <c r="N138" s="84" t="s">
        <v>497</v>
      </c>
      <c r="O138" s="84"/>
      <c r="P138" s="231">
        <v>13.3712208</v>
      </c>
      <c r="Q138" s="231">
        <v>37.991246399999994</v>
      </c>
      <c r="R138" s="231">
        <v>63.141875999999996</v>
      </c>
      <c r="S138" s="47"/>
      <c r="T138" s="234">
        <f>SUMPRODUCT($P$4:$R$4,((P138:R138)/M138))*'Realized Pricing'!$L$12</f>
        <v>37.060964937000001</v>
      </c>
      <c r="U138" s="241">
        <f t="shared" si="9"/>
        <v>72.514886757209013</v>
      </c>
      <c r="V138" s="233">
        <f t="shared" si="8"/>
        <v>4.0549999999999997</v>
      </c>
    </row>
    <row r="139" spans="1:22">
      <c r="A139" s="84" t="s">
        <v>502</v>
      </c>
      <c r="B139" s="84">
        <f t="shared" si="10"/>
        <v>2</v>
      </c>
      <c r="C139" s="84"/>
      <c r="D139" s="84" t="s">
        <v>502</v>
      </c>
      <c r="E139" s="93">
        <f t="shared" si="6"/>
        <v>61.813499999999983</v>
      </c>
      <c r="F139" s="105">
        <f>(E139*'Realized Pricing'!$L$2)/M139</f>
        <v>72.514886757209013</v>
      </c>
      <c r="G139" s="84" t="s">
        <v>500</v>
      </c>
      <c r="H139" s="84" t="s">
        <v>501</v>
      </c>
      <c r="I139" s="84" t="s">
        <v>502</v>
      </c>
      <c r="J139" s="225">
        <v>3.222</v>
      </c>
      <c r="K139" s="236">
        <f>((J139-'Realized Pricing'!$B$32)/M139)*'Realized Pricing'!$L$7</f>
        <v>3.1032161012838548</v>
      </c>
      <c r="L139" s="19"/>
      <c r="M139" s="226">
        <v>0.8</v>
      </c>
      <c r="N139" s="84" t="s">
        <v>500</v>
      </c>
      <c r="O139" s="84"/>
      <c r="P139" s="231">
        <v>13.3712208</v>
      </c>
      <c r="Q139" s="231">
        <v>37.991246399999994</v>
      </c>
      <c r="R139" s="231">
        <v>63.141875999999996</v>
      </c>
      <c r="S139" s="47"/>
      <c r="T139" s="234">
        <f>SUMPRODUCT($P$4:$R$4,((P139:R139)/M139))*'Realized Pricing'!$L$12</f>
        <v>37.060964937000001</v>
      </c>
      <c r="U139" s="241">
        <f t="shared" si="9"/>
        <v>72.514886757209013</v>
      </c>
      <c r="V139" s="233">
        <f t="shared" si="8"/>
        <v>4.0274999999999999</v>
      </c>
    </row>
    <row r="140" spans="1:22">
      <c r="A140" s="84" t="s">
        <v>505</v>
      </c>
      <c r="B140" s="84">
        <f t="shared" si="10"/>
        <v>2</v>
      </c>
      <c r="C140" s="84"/>
      <c r="D140" s="84" t="s">
        <v>505</v>
      </c>
      <c r="E140" s="93">
        <f t="shared" si="6"/>
        <v>61.813499999999983</v>
      </c>
      <c r="F140" s="105">
        <f>(E140*'Realized Pricing'!$L$2)/M140</f>
        <v>72.514886757209013</v>
      </c>
      <c r="G140" s="84" t="s">
        <v>503</v>
      </c>
      <c r="H140" s="84" t="s">
        <v>504</v>
      </c>
      <c r="I140" s="84" t="s">
        <v>505</v>
      </c>
      <c r="J140" s="225">
        <v>3.2570000000000001</v>
      </c>
      <c r="K140" s="236">
        <f>((J140-'Realized Pricing'!$B$32)/M140)*'Realized Pricing'!$L$7</f>
        <v>3.1500922121065864</v>
      </c>
      <c r="L140" s="19"/>
      <c r="M140" s="226">
        <v>0.8</v>
      </c>
      <c r="N140" s="84" t="s">
        <v>503</v>
      </c>
      <c r="O140" s="84"/>
      <c r="P140" s="231">
        <v>13.3712208</v>
      </c>
      <c r="Q140" s="231">
        <v>37.991246399999994</v>
      </c>
      <c r="R140" s="231">
        <v>63.141875999999996</v>
      </c>
      <c r="S140" s="47"/>
      <c r="T140" s="234">
        <f>SUMPRODUCT($P$4:$R$4,((P140:R140)/M140))*'Realized Pricing'!$L$12</f>
        <v>37.060964937000001</v>
      </c>
      <c r="U140" s="241">
        <f t="shared" si="9"/>
        <v>72.514886757209013</v>
      </c>
      <c r="V140" s="233">
        <f t="shared" si="8"/>
        <v>4.07125</v>
      </c>
    </row>
    <row r="141" spans="1:22">
      <c r="A141" s="84" t="s">
        <v>508</v>
      </c>
      <c r="B141" s="84">
        <f t="shared" si="10"/>
        <v>2</v>
      </c>
      <c r="C141" s="84"/>
      <c r="D141" s="84" t="s">
        <v>508</v>
      </c>
      <c r="E141" s="93">
        <f t="shared" si="6"/>
        <v>61.813499999999983</v>
      </c>
      <c r="F141" s="105">
        <f>(E141*'Realized Pricing'!$L$2)/M141</f>
        <v>72.514886757209013</v>
      </c>
      <c r="G141" s="84" t="s">
        <v>506</v>
      </c>
      <c r="H141" s="84" t="s">
        <v>507</v>
      </c>
      <c r="I141" s="84" t="s">
        <v>508</v>
      </c>
      <c r="J141" s="225">
        <v>3.2970000000000002</v>
      </c>
      <c r="K141" s="236">
        <f>((J141-'Realized Pricing'!$B$32)/M141)*'Realized Pricing'!$L$7</f>
        <v>3.2036649101897083</v>
      </c>
      <c r="L141" s="19"/>
      <c r="M141" s="226">
        <v>0.8</v>
      </c>
      <c r="N141" s="84" t="s">
        <v>506</v>
      </c>
      <c r="O141" s="84"/>
      <c r="P141" s="231">
        <v>13.3712208</v>
      </c>
      <c r="Q141" s="231">
        <v>37.991246399999994</v>
      </c>
      <c r="R141" s="231">
        <v>63.141875999999996</v>
      </c>
      <c r="S141" s="47"/>
      <c r="T141" s="234">
        <f>SUMPRODUCT($P$4:$R$4,((P141:R141)/M141))*'Realized Pricing'!$L$12</f>
        <v>37.060964937000001</v>
      </c>
      <c r="U141" s="241">
        <f t="shared" si="9"/>
        <v>72.514886757209013</v>
      </c>
      <c r="V141" s="233">
        <f t="shared" si="8"/>
        <v>4.1212499999999999</v>
      </c>
    </row>
    <row r="142" spans="1:22">
      <c r="A142" s="84" t="s">
        <v>511</v>
      </c>
      <c r="B142" s="84">
        <f t="shared" si="10"/>
        <v>2</v>
      </c>
      <c r="C142" s="84"/>
      <c r="D142" s="84" t="s">
        <v>511</v>
      </c>
      <c r="E142" s="93">
        <f t="shared" si="6"/>
        <v>61.813499999999983</v>
      </c>
      <c r="F142" s="105">
        <f>(E142*'Realized Pricing'!$L$2)/M142</f>
        <v>72.514886757209013</v>
      </c>
      <c r="G142" s="84" t="s">
        <v>509</v>
      </c>
      <c r="H142" s="84" t="s">
        <v>510</v>
      </c>
      <c r="I142" s="84" t="s">
        <v>511</v>
      </c>
      <c r="J142" s="225">
        <v>3.3370000000000002</v>
      </c>
      <c r="K142" s="236">
        <f>((J142-'Realized Pricing'!$B$32)/M142)*'Realized Pricing'!$L$7</f>
        <v>3.2572376082728294</v>
      </c>
      <c r="L142" s="19"/>
      <c r="M142" s="226">
        <v>0.8</v>
      </c>
      <c r="N142" s="84" t="s">
        <v>509</v>
      </c>
      <c r="O142" s="84"/>
      <c r="P142" s="231">
        <v>13.3712208</v>
      </c>
      <c r="Q142" s="231">
        <v>37.991246399999994</v>
      </c>
      <c r="R142" s="231">
        <v>63.141875999999996</v>
      </c>
      <c r="S142" s="47"/>
      <c r="T142" s="234">
        <f>SUMPRODUCT($P$4:$R$4,((P142:R142)/M142))*'Realized Pricing'!$L$12</f>
        <v>37.060964937000001</v>
      </c>
      <c r="U142" s="241">
        <f t="shared" si="9"/>
        <v>72.514886757209013</v>
      </c>
      <c r="V142" s="233">
        <f t="shared" si="8"/>
        <v>4.1712499999999997</v>
      </c>
    </row>
    <row r="143" spans="1:22">
      <c r="A143" s="84" t="s">
        <v>514</v>
      </c>
      <c r="B143" s="84">
        <f t="shared" si="10"/>
        <v>2</v>
      </c>
      <c r="C143" s="84"/>
      <c r="D143" s="84" t="s">
        <v>514</v>
      </c>
      <c r="E143" s="93">
        <f t="shared" si="6"/>
        <v>61.813499999999983</v>
      </c>
      <c r="F143" s="105">
        <f>(E143*'Realized Pricing'!$L$2)/M143</f>
        <v>72.514886757209013</v>
      </c>
      <c r="G143" s="84" t="s">
        <v>512</v>
      </c>
      <c r="H143" s="84" t="s">
        <v>513</v>
      </c>
      <c r="I143" s="84" t="s">
        <v>514</v>
      </c>
      <c r="J143" s="225">
        <v>3.3519999999999999</v>
      </c>
      <c r="K143" s="236">
        <f>((J143-'Realized Pricing'!$B$32)/M143)*'Realized Pricing'!$L$7</f>
        <v>3.277327370054</v>
      </c>
      <c r="L143" s="19"/>
      <c r="M143" s="226">
        <v>0.8</v>
      </c>
      <c r="N143" s="84" t="s">
        <v>512</v>
      </c>
      <c r="O143" s="84"/>
      <c r="P143" s="231">
        <v>13.3712208</v>
      </c>
      <c r="Q143" s="231">
        <v>37.991246399999994</v>
      </c>
      <c r="R143" s="231">
        <v>63.141875999999996</v>
      </c>
      <c r="S143" s="47"/>
      <c r="T143" s="234">
        <f>SUMPRODUCT($P$4:$R$4,((P143:R143)/M143))*'Realized Pricing'!$L$12</f>
        <v>37.060964937000001</v>
      </c>
      <c r="U143" s="241">
        <f t="shared" si="9"/>
        <v>72.514886757209013</v>
      </c>
      <c r="V143" s="233">
        <f t="shared" si="8"/>
        <v>4.1899999999999995</v>
      </c>
    </row>
    <row r="144" spans="1:22">
      <c r="A144" s="84" t="s">
        <v>517</v>
      </c>
      <c r="B144" s="84">
        <f t="shared" si="10"/>
        <v>2</v>
      </c>
      <c r="C144" s="84"/>
      <c r="D144" s="84" t="s">
        <v>517</v>
      </c>
      <c r="E144" s="93">
        <f t="shared" si="6"/>
        <v>61.813499999999983</v>
      </c>
      <c r="F144" s="105">
        <f>(E144*'Realized Pricing'!$L$2)/M144</f>
        <v>72.514886757209013</v>
      </c>
      <c r="G144" s="84" t="s">
        <v>515</v>
      </c>
      <c r="H144" s="84" t="s">
        <v>516</v>
      </c>
      <c r="I144" s="84" t="s">
        <v>517</v>
      </c>
      <c r="J144" s="225">
        <v>3.3980000000000001</v>
      </c>
      <c r="K144" s="236">
        <f>((J144-'Realized Pricing'!$B$32)/M144)*'Realized Pricing'!$L$7</f>
        <v>3.3389359728495895</v>
      </c>
      <c r="L144" s="19"/>
      <c r="M144" s="226">
        <v>0.8</v>
      </c>
      <c r="N144" s="84" t="s">
        <v>515</v>
      </c>
      <c r="O144" s="84"/>
      <c r="P144" s="231">
        <v>13.3712208</v>
      </c>
      <c r="Q144" s="231">
        <v>37.991246399999994</v>
      </c>
      <c r="R144" s="231">
        <v>63.141875999999996</v>
      </c>
      <c r="S144" s="47"/>
      <c r="T144" s="234">
        <f>SUMPRODUCT($P$4:$R$4,((P144:R144)/M144))*'Realized Pricing'!$L$12</f>
        <v>37.060964937000001</v>
      </c>
      <c r="U144" s="241">
        <f t="shared" si="9"/>
        <v>72.514886757209013</v>
      </c>
      <c r="V144" s="233">
        <f t="shared" si="8"/>
        <v>4.2474999999999996</v>
      </c>
    </row>
    <row r="145" spans="1:28">
      <c r="A145" s="84" t="s">
        <v>520</v>
      </c>
      <c r="B145" s="84">
        <f t="shared" si="10"/>
        <v>2</v>
      </c>
      <c r="C145" s="84"/>
      <c r="D145" s="84" t="s">
        <v>520</v>
      </c>
      <c r="E145" s="93">
        <f t="shared" si="6"/>
        <v>61.813499999999983</v>
      </c>
      <c r="F145" s="105">
        <f>(E145*'Realized Pricing'!$L$2)/M145</f>
        <v>72.514886757209013</v>
      </c>
      <c r="G145" s="84" t="s">
        <v>518</v>
      </c>
      <c r="H145" s="84" t="s">
        <v>519</v>
      </c>
      <c r="I145" s="84" t="s">
        <v>520</v>
      </c>
      <c r="J145" s="225">
        <v>3.47</v>
      </c>
      <c r="K145" s="236">
        <f>((J145-'Realized Pricing'!$B$32)/M145)*'Realized Pricing'!$L$7</f>
        <v>3.4353668293992086</v>
      </c>
      <c r="L145" s="19"/>
      <c r="M145" s="226">
        <v>0.8</v>
      </c>
      <c r="N145" s="84" t="s">
        <v>518</v>
      </c>
      <c r="O145" s="84"/>
      <c r="P145" s="231">
        <v>13.3712208</v>
      </c>
      <c r="Q145" s="231">
        <v>37.991246399999994</v>
      </c>
      <c r="R145" s="231">
        <v>63.141875999999996</v>
      </c>
      <c r="S145" s="47"/>
      <c r="T145" s="234">
        <f>SUMPRODUCT($P$4:$R$4,((P145:R145)/M145))*'Realized Pricing'!$L$12</f>
        <v>37.060964937000001</v>
      </c>
      <c r="U145" s="241">
        <f t="shared" si="9"/>
        <v>72.514886757209013</v>
      </c>
      <c r="V145" s="233">
        <f t="shared" si="8"/>
        <v>4.3375000000000004</v>
      </c>
    </row>
    <row r="146" spans="1:28">
      <c r="A146" s="84" t="s">
        <v>523</v>
      </c>
      <c r="B146" s="84">
        <f>B134+1</f>
        <v>2</v>
      </c>
      <c r="C146" s="84"/>
      <c r="D146" s="84" t="s">
        <v>523</v>
      </c>
      <c r="E146" s="93">
        <f t="shared" si="6"/>
        <v>61.813499999999983</v>
      </c>
      <c r="F146" s="105">
        <f>(E146*'Realized Pricing'!$L$2)/M146</f>
        <v>72.514886757209013</v>
      </c>
      <c r="G146" s="84" t="s">
        <v>521</v>
      </c>
      <c r="H146" s="84" t="s">
        <v>522</v>
      </c>
      <c r="I146" s="84" t="s">
        <v>523</v>
      </c>
      <c r="J146" s="225">
        <v>3.625</v>
      </c>
      <c r="K146" s="236">
        <f>((J146-'Realized Pricing'!$B$32)/M146)*'Realized Pricing'!$L$7</f>
        <v>3.6429610344713041</v>
      </c>
      <c r="L146" s="19"/>
      <c r="M146" s="226">
        <v>0.8</v>
      </c>
      <c r="N146" s="84" t="s">
        <v>521</v>
      </c>
      <c r="O146" s="84"/>
      <c r="P146" s="231">
        <v>13.3712208</v>
      </c>
      <c r="Q146" s="231">
        <v>37.991246399999994</v>
      </c>
      <c r="R146" s="231">
        <v>63.141875999999996</v>
      </c>
      <c r="S146" s="47"/>
      <c r="T146" s="234">
        <f>SUMPRODUCT($P$4:$R$4,((P146:R146)/M146))*'Realized Pricing'!$L$12</f>
        <v>37.060964937000001</v>
      </c>
      <c r="U146" s="241">
        <f t="shared" si="9"/>
        <v>72.514886757209013</v>
      </c>
      <c r="V146" s="233">
        <f t="shared" si="8"/>
        <v>4.53125</v>
      </c>
    </row>
    <row r="147" spans="1:28">
      <c r="A147" s="84" t="s">
        <v>526</v>
      </c>
      <c r="B147" s="84">
        <f t="shared" si="10"/>
        <v>2</v>
      </c>
      <c r="C147" s="84"/>
      <c r="D147" s="84" t="s">
        <v>526</v>
      </c>
      <c r="E147" s="93">
        <f t="shared" si="6"/>
        <v>61.813499999999983</v>
      </c>
      <c r="F147" s="105">
        <f>(E147*'Realized Pricing'!$L$2)/M147</f>
        <v>72.514886757209013</v>
      </c>
      <c r="G147" s="84" t="s">
        <v>524</v>
      </c>
      <c r="H147" s="84" t="s">
        <v>525</v>
      </c>
      <c r="I147" s="84" t="s">
        <v>526</v>
      </c>
      <c r="J147" s="225">
        <v>3.7549999999999999</v>
      </c>
      <c r="K147" s="236">
        <f>((J147-'Realized Pricing'!$B$32)/M147)*'Realized Pricing'!$L$7</f>
        <v>3.8170723032414484</v>
      </c>
      <c r="L147" s="19"/>
      <c r="M147" s="226">
        <v>0.8</v>
      </c>
      <c r="N147" s="84" t="s">
        <v>524</v>
      </c>
      <c r="O147" s="84"/>
      <c r="P147" s="231">
        <v>13.3712208</v>
      </c>
      <c r="Q147" s="231">
        <v>37.991246399999994</v>
      </c>
      <c r="R147" s="231">
        <v>63.141875999999996</v>
      </c>
      <c r="S147" s="47"/>
      <c r="T147" s="234">
        <f>SUMPRODUCT($P$4:$R$4,((P147:R147)/M147))*'Realized Pricing'!$L$12</f>
        <v>37.060964937000001</v>
      </c>
      <c r="U147" s="241">
        <f t="shared" si="9"/>
        <v>72.514886757209013</v>
      </c>
      <c r="V147" s="233">
        <f t="shared" si="8"/>
        <v>4.6937499999999996</v>
      </c>
    </row>
    <row r="148" spans="1:28">
      <c r="A148" s="84" t="s">
        <v>528</v>
      </c>
      <c r="B148" s="84">
        <f t="shared" si="10"/>
        <v>2</v>
      </c>
      <c r="C148" s="84"/>
      <c r="D148" s="84" t="s">
        <v>528</v>
      </c>
      <c r="E148" s="93">
        <f t="shared" si="6"/>
        <v>61.813499999999983</v>
      </c>
      <c r="F148" s="105">
        <f>(E148*'Realized Pricing'!$L$2)/M148</f>
        <v>72.514886757209013</v>
      </c>
      <c r="G148" s="84" t="s">
        <v>579</v>
      </c>
      <c r="H148" s="84" t="s">
        <v>527</v>
      </c>
      <c r="I148" s="84" t="s">
        <v>528</v>
      </c>
      <c r="J148" s="225">
        <v>3.72</v>
      </c>
      <c r="K148" s="236">
        <f>((J148-'Realized Pricing'!$B$32)/M148)*'Realized Pricing'!$L$7</f>
        <v>3.7701961924187177</v>
      </c>
      <c r="L148" s="19"/>
      <c r="M148" s="226">
        <v>0.8</v>
      </c>
      <c r="N148" s="84" t="s">
        <v>579</v>
      </c>
      <c r="O148" s="84"/>
      <c r="P148" s="231">
        <v>13.3712208</v>
      </c>
      <c r="Q148" s="231">
        <v>37.991246399999994</v>
      </c>
      <c r="R148" s="231">
        <v>63.141875999999996</v>
      </c>
      <c r="S148" s="47"/>
      <c r="T148" s="234">
        <f>SUMPRODUCT($P$4:$R$4,((P148:R148)/M148))*'Realized Pricing'!$L$12</f>
        <v>37.060964937000001</v>
      </c>
      <c r="U148" s="241">
        <f t="shared" si="9"/>
        <v>72.514886757209013</v>
      </c>
      <c r="V148" s="233">
        <f t="shared" si="8"/>
        <v>4.6500000000000004</v>
      </c>
    </row>
    <row r="149" spans="1:28">
      <c r="A149" s="84" t="s">
        <v>531</v>
      </c>
      <c r="B149" s="84">
        <f>B137+1</f>
        <v>3</v>
      </c>
      <c r="C149" s="84"/>
      <c r="D149" s="84" t="s">
        <v>531</v>
      </c>
      <c r="E149" s="93">
        <f t="shared" si="6"/>
        <v>62.740702499999976</v>
      </c>
      <c r="F149" s="105">
        <f>(E149*'Realized Pricing'!$L$2)/M149</f>
        <v>73.602610058567137</v>
      </c>
      <c r="G149" s="84" t="s">
        <v>529</v>
      </c>
      <c r="H149" s="84" t="s">
        <v>530</v>
      </c>
      <c r="I149" s="84" t="s">
        <v>531</v>
      </c>
      <c r="J149" s="225">
        <v>3.6549999999999998</v>
      </c>
      <c r="K149" s="236">
        <f>((J149-'Realized Pricing'!$B$32)/M149)*'Realized Pricing'!$L$7</f>
        <v>3.6831405580336445</v>
      </c>
      <c r="L149" s="19"/>
      <c r="M149" s="226">
        <v>0.8</v>
      </c>
      <c r="N149" s="84" t="s">
        <v>529</v>
      </c>
      <c r="O149" s="84"/>
      <c r="P149" s="231">
        <v>13.3712208</v>
      </c>
      <c r="Q149" s="231">
        <v>37.991246399999994</v>
      </c>
      <c r="R149" s="231">
        <v>63.141875999999996</v>
      </c>
      <c r="S149" s="47"/>
      <c r="T149" s="234">
        <f>SUMPRODUCT($P$4:$R$4,((P149:R149)/M149))*'Realized Pricing'!$L$12</f>
        <v>37.060964937000001</v>
      </c>
      <c r="U149" s="241">
        <f t="shared" si="9"/>
        <v>73.602610058567137</v>
      </c>
      <c r="V149" s="233">
        <f t="shared" si="8"/>
        <v>4.5687499999999996</v>
      </c>
    </row>
    <row r="150" spans="1:28">
      <c r="A150" s="84" t="s">
        <v>534</v>
      </c>
      <c r="B150" s="84">
        <f t="shared" ref="B150:B160" si="11">B138+1</f>
        <v>3</v>
      </c>
      <c r="C150" s="84"/>
      <c r="D150" s="84" t="s">
        <v>534</v>
      </c>
      <c r="E150" s="93">
        <f t="shared" si="6"/>
        <v>62.740702499999976</v>
      </c>
      <c r="F150" s="105">
        <f>(E150*'Realized Pricing'!$L$2)/M150</f>
        <v>73.602610058567137</v>
      </c>
      <c r="G150" s="84" t="s">
        <v>532</v>
      </c>
      <c r="H150" s="84" t="s">
        <v>533</v>
      </c>
      <c r="I150" s="84" t="s">
        <v>534</v>
      </c>
      <c r="J150" s="225">
        <v>3.3450000000000002</v>
      </c>
      <c r="K150" s="236">
        <f>((J150-'Realized Pricing'!$B$32)/M150)*'Realized Pricing'!$L$7</f>
        <v>3.2679521478894538</v>
      </c>
      <c r="L150" s="19"/>
      <c r="M150" s="226">
        <v>0.8</v>
      </c>
      <c r="N150" s="84" t="s">
        <v>532</v>
      </c>
      <c r="O150" s="84"/>
      <c r="P150" s="231">
        <v>13.3712208</v>
      </c>
      <c r="Q150" s="231">
        <v>37.991246399999994</v>
      </c>
      <c r="R150" s="231">
        <v>63.141875999999996</v>
      </c>
      <c r="S150" s="47"/>
      <c r="T150" s="234">
        <f>SUMPRODUCT($P$4:$R$4,((P150:R150)/M150))*'Realized Pricing'!$L$12</f>
        <v>37.060964937000001</v>
      </c>
      <c r="U150" s="241">
        <f t="shared" si="9"/>
        <v>73.602610058567137</v>
      </c>
      <c r="V150" s="233">
        <f t="shared" si="8"/>
        <v>4.1812500000000004</v>
      </c>
    </row>
    <row r="151" spans="1:28">
      <c r="A151" s="84" t="s">
        <v>537</v>
      </c>
      <c r="B151" s="84">
        <f t="shared" si="11"/>
        <v>3</v>
      </c>
      <c r="C151" s="84"/>
      <c r="D151" s="84" t="s">
        <v>537</v>
      </c>
      <c r="E151" s="93">
        <f t="shared" si="6"/>
        <v>62.740702499999976</v>
      </c>
      <c r="F151" s="105">
        <f>(E151*'Realized Pricing'!$L$2)/M151</f>
        <v>73.602610058567137</v>
      </c>
      <c r="G151" s="84" t="s">
        <v>535</v>
      </c>
      <c r="H151" s="84" t="s">
        <v>536</v>
      </c>
      <c r="I151" s="84" t="s">
        <v>537</v>
      </c>
      <c r="J151" s="225">
        <v>3.323</v>
      </c>
      <c r="K151" s="236">
        <f>((J151-'Realized Pricing'!$B$32)/M151)*'Realized Pricing'!$L$7</f>
        <v>3.2384871639437369</v>
      </c>
      <c r="L151" s="19"/>
      <c r="M151" s="226">
        <v>0.8</v>
      </c>
      <c r="N151" s="84" t="s">
        <v>535</v>
      </c>
      <c r="O151" s="84"/>
      <c r="P151" s="231">
        <v>13.3712208</v>
      </c>
      <c r="Q151" s="231">
        <v>37.991246399999994</v>
      </c>
      <c r="R151" s="231">
        <v>63.141875999999996</v>
      </c>
      <c r="S151" s="47"/>
      <c r="T151" s="234">
        <f>SUMPRODUCT($P$4:$R$4,((P151:R151)/M151))*'Realized Pricing'!$L$12</f>
        <v>37.060964937000001</v>
      </c>
      <c r="U151" s="241">
        <f t="shared" si="9"/>
        <v>73.602610058567137</v>
      </c>
      <c r="V151" s="233">
        <f t="shared" si="8"/>
        <v>4.1537499999999996</v>
      </c>
    </row>
    <row r="152" spans="1:28">
      <c r="A152" s="84" t="s">
        <v>540</v>
      </c>
      <c r="B152" s="84">
        <f t="shared" si="11"/>
        <v>3</v>
      </c>
      <c r="C152" s="84"/>
      <c r="D152" s="84" t="s">
        <v>540</v>
      </c>
      <c r="E152" s="93">
        <f t="shared" si="6"/>
        <v>62.740702499999976</v>
      </c>
      <c r="F152" s="105">
        <f>(E152*'Realized Pricing'!$L$2)/M152</f>
        <v>73.602610058567137</v>
      </c>
      <c r="G152" s="84" t="s">
        <v>538</v>
      </c>
      <c r="H152" s="84" t="s">
        <v>539</v>
      </c>
      <c r="I152" s="84" t="s">
        <v>540</v>
      </c>
      <c r="J152" s="225">
        <v>3.3580000000000001</v>
      </c>
      <c r="K152" s="236">
        <f>((J152-'Realized Pricing'!$B$32)/M152)*'Realized Pricing'!$L$7</f>
        <v>3.2853632747664685</v>
      </c>
      <c r="L152" s="19"/>
      <c r="M152" s="226">
        <v>0.8</v>
      </c>
      <c r="N152" s="84" t="s">
        <v>538</v>
      </c>
      <c r="O152" s="84"/>
      <c r="P152" s="231">
        <v>13.3712208</v>
      </c>
      <c r="Q152" s="231">
        <v>37.991246399999994</v>
      </c>
      <c r="R152" s="231">
        <v>63.141875999999996</v>
      </c>
      <c r="S152" s="47"/>
      <c r="T152" s="234">
        <f>SUMPRODUCT($P$4:$R$4,((P152:R152)/M152))*'Realized Pricing'!$L$12</f>
        <v>37.060964937000001</v>
      </c>
      <c r="U152" s="241">
        <f t="shared" si="9"/>
        <v>73.602610058567137</v>
      </c>
      <c r="V152" s="233">
        <f t="shared" si="8"/>
        <v>4.1974999999999998</v>
      </c>
    </row>
    <row r="153" spans="1:28">
      <c r="A153" s="84" t="s">
        <v>543</v>
      </c>
      <c r="B153" s="84">
        <f t="shared" si="11"/>
        <v>3</v>
      </c>
      <c r="C153" s="84"/>
      <c r="D153" s="84" t="s">
        <v>543</v>
      </c>
      <c r="E153" s="93">
        <f t="shared" si="6"/>
        <v>62.740702499999976</v>
      </c>
      <c r="F153" s="105">
        <f>(E153*'Realized Pricing'!$L$2)/M153</f>
        <v>73.602610058567137</v>
      </c>
      <c r="G153" s="84" t="s">
        <v>541</v>
      </c>
      <c r="H153" s="84" t="s">
        <v>542</v>
      </c>
      <c r="I153" s="84" t="s">
        <v>543</v>
      </c>
      <c r="J153" s="225">
        <v>3.3980000000000001</v>
      </c>
      <c r="K153" s="236">
        <f>((J153-'Realized Pricing'!$B$32)/M153)*'Realized Pricing'!$L$7</f>
        <v>3.3389359728495895</v>
      </c>
      <c r="L153" s="19"/>
      <c r="M153" s="226">
        <v>0.8</v>
      </c>
      <c r="N153" s="84" t="s">
        <v>541</v>
      </c>
      <c r="O153" s="84"/>
      <c r="P153" s="231">
        <v>13.3712208</v>
      </c>
      <c r="Q153" s="231">
        <v>37.991246399999994</v>
      </c>
      <c r="R153" s="231">
        <v>63.141875999999996</v>
      </c>
      <c r="S153" s="47"/>
      <c r="T153" s="234">
        <f>SUMPRODUCT($P$4:$R$4,((P153:R153)/M153))*'Realized Pricing'!$L$12</f>
        <v>37.060964937000001</v>
      </c>
      <c r="U153" s="241">
        <f t="shared" si="9"/>
        <v>73.602610058567137</v>
      </c>
      <c r="V153" s="233">
        <f t="shared" si="8"/>
        <v>4.2474999999999996</v>
      </c>
    </row>
    <row r="154" spans="1:28">
      <c r="A154" s="84" t="s">
        <v>546</v>
      </c>
      <c r="B154" s="84">
        <f t="shared" si="11"/>
        <v>3</v>
      </c>
      <c r="C154" s="84"/>
      <c r="D154" s="84" t="s">
        <v>546</v>
      </c>
      <c r="E154" s="93">
        <f t="shared" si="6"/>
        <v>62.740702499999976</v>
      </c>
      <c r="F154" s="105">
        <f>(E154*'Realized Pricing'!$L$2)/M154</f>
        <v>73.602610058567137</v>
      </c>
      <c r="G154" s="84" t="s">
        <v>544</v>
      </c>
      <c r="H154" s="84" t="s">
        <v>545</v>
      </c>
      <c r="I154" s="84" t="s">
        <v>546</v>
      </c>
      <c r="J154" s="225">
        <v>3.4380000000000002</v>
      </c>
      <c r="K154" s="236">
        <f>((J154-'Realized Pricing'!$B$32)/M154)*'Realized Pricing'!$L$7</f>
        <v>3.3925086709327115</v>
      </c>
      <c r="L154" s="19"/>
      <c r="M154" s="226">
        <v>0.8</v>
      </c>
      <c r="N154" s="84" t="s">
        <v>544</v>
      </c>
      <c r="O154" s="84"/>
      <c r="P154" s="231">
        <v>13.3712208</v>
      </c>
      <c r="Q154" s="231">
        <v>37.991246399999994</v>
      </c>
      <c r="R154" s="231">
        <v>63.141875999999996</v>
      </c>
      <c r="S154" s="47"/>
      <c r="T154" s="234">
        <f>SUMPRODUCT($P$4:$R$4,((P154:R154)/M154))*'Realized Pricing'!$L$12</f>
        <v>37.060964937000001</v>
      </c>
      <c r="U154" s="241">
        <f t="shared" si="9"/>
        <v>73.602610058567137</v>
      </c>
      <c r="V154" s="233">
        <f t="shared" si="8"/>
        <v>4.2975000000000003</v>
      </c>
    </row>
    <row r="155" spans="1:28">
      <c r="A155" s="84" t="s">
        <v>549</v>
      </c>
      <c r="B155" s="84">
        <f t="shared" si="11"/>
        <v>3</v>
      </c>
      <c r="C155" s="84"/>
      <c r="D155" s="84" t="s">
        <v>549</v>
      </c>
      <c r="E155" s="93">
        <f t="shared" si="6"/>
        <v>62.740702499999976</v>
      </c>
      <c r="F155" s="105">
        <f>(E155*'Realized Pricing'!$L$2)/M155</f>
        <v>73.602610058567137</v>
      </c>
      <c r="G155" s="84" t="s">
        <v>547</v>
      </c>
      <c r="H155" s="84" t="s">
        <v>548</v>
      </c>
      <c r="I155" s="84" t="s">
        <v>549</v>
      </c>
      <c r="J155" s="225">
        <v>3.4529999999999998</v>
      </c>
      <c r="K155" s="236">
        <f>((J155-'Realized Pricing'!$B$32)/M155)*'Realized Pricing'!$L$7</f>
        <v>3.4125984327138812</v>
      </c>
      <c r="L155" s="19"/>
      <c r="M155" s="226">
        <v>0.8</v>
      </c>
      <c r="N155" s="84" t="s">
        <v>547</v>
      </c>
      <c r="O155" s="84"/>
      <c r="P155" s="231">
        <v>13.3712208</v>
      </c>
      <c r="Q155" s="231">
        <v>37.991246399999994</v>
      </c>
      <c r="R155" s="231">
        <v>63.141875999999996</v>
      </c>
      <c r="S155" s="47"/>
      <c r="T155" s="234">
        <f>SUMPRODUCT($P$4:$R$4,((P155:R155)/M155))*'Realized Pricing'!$L$12</f>
        <v>37.060964937000001</v>
      </c>
      <c r="U155" s="241">
        <f t="shared" si="9"/>
        <v>73.602610058567137</v>
      </c>
      <c r="V155" s="233">
        <f t="shared" si="8"/>
        <v>4.3162499999999993</v>
      </c>
    </row>
    <row r="156" spans="1:28">
      <c r="A156" s="84" t="s">
        <v>552</v>
      </c>
      <c r="B156" s="84">
        <f t="shared" si="11"/>
        <v>3</v>
      </c>
      <c r="C156" s="84"/>
      <c r="D156" s="84" t="s">
        <v>552</v>
      </c>
      <c r="E156" s="93">
        <f t="shared" si="6"/>
        <v>62.740702499999976</v>
      </c>
      <c r="F156" s="105">
        <f>(E156*'Realized Pricing'!$L$2)/M156</f>
        <v>73.602610058567137</v>
      </c>
      <c r="G156" s="84" t="s">
        <v>550</v>
      </c>
      <c r="H156" s="84" t="s">
        <v>551</v>
      </c>
      <c r="I156" s="84" t="s">
        <v>552</v>
      </c>
      <c r="J156" s="225">
        <v>3.4990000000000001</v>
      </c>
      <c r="K156" s="236">
        <f>((J156-'Realized Pricing'!$B$32)/M156)*'Realized Pricing'!$L$7</f>
        <v>3.4742070355094716</v>
      </c>
      <c r="L156" s="19"/>
      <c r="M156" s="226">
        <v>0.8</v>
      </c>
      <c r="N156" s="84" t="s">
        <v>550</v>
      </c>
      <c r="O156" s="84"/>
      <c r="P156" s="231">
        <v>13.3712208</v>
      </c>
      <c r="Q156" s="231">
        <v>37.991246399999994</v>
      </c>
      <c r="R156" s="231">
        <v>63.141875999999996</v>
      </c>
      <c r="S156" s="47"/>
      <c r="T156" s="234">
        <f>SUMPRODUCT($P$4:$R$4,((P156:R156)/M156))*'Realized Pricing'!$L$12</f>
        <v>37.060964937000001</v>
      </c>
      <c r="U156" s="241">
        <f t="shared" si="9"/>
        <v>73.602610058567137</v>
      </c>
      <c r="V156" s="233">
        <f t="shared" si="8"/>
        <v>4.3737500000000002</v>
      </c>
    </row>
    <row r="157" spans="1:28">
      <c r="A157" s="84" t="s">
        <v>555</v>
      </c>
      <c r="B157" s="84">
        <f t="shared" si="11"/>
        <v>3</v>
      </c>
      <c r="C157" s="84"/>
      <c r="D157" s="84" t="s">
        <v>555</v>
      </c>
      <c r="E157" s="93">
        <f t="shared" si="6"/>
        <v>62.740702499999976</v>
      </c>
      <c r="F157" s="105">
        <f>(E157*'Realized Pricing'!$L$2)/M157</f>
        <v>73.602610058567137</v>
      </c>
      <c r="G157" s="84" t="s">
        <v>553</v>
      </c>
      <c r="H157" s="84" t="s">
        <v>554</v>
      </c>
      <c r="I157" s="84" t="s">
        <v>555</v>
      </c>
      <c r="J157" s="225">
        <v>3.5710000000000002</v>
      </c>
      <c r="K157" s="236">
        <f>((J157-'Realized Pricing'!$B$32)/M157)*'Realized Pricing'!$L$7</f>
        <v>3.5706378920590902</v>
      </c>
      <c r="L157" s="19"/>
      <c r="M157" s="226">
        <v>0.8</v>
      </c>
      <c r="N157" s="84" t="s">
        <v>553</v>
      </c>
      <c r="O157" s="84"/>
      <c r="P157" s="231">
        <v>13.3712208</v>
      </c>
      <c r="Q157" s="231">
        <v>37.991246399999994</v>
      </c>
      <c r="R157" s="231">
        <v>63.141875999999996</v>
      </c>
      <c r="S157" s="47"/>
      <c r="T157" s="234">
        <f>SUMPRODUCT($P$4:$R$4,((P157:R157)/M157))*'Realized Pricing'!$L$12</f>
        <v>37.060964937000001</v>
      </c>
      <c r="U157" s="241">
        <f t="shared" si="9"/>
        <v>73.602610058567137</v>
      </c>
      <c r="V157" s="233">
        <f t="shared" si="8"/>
        <v>4.4637500000000001</v>
      </c>
    </row>
    <row r="158" spans="1:28">
      <c r="A158" s="84" t="s">
        <v>558</v>
      </c>
      <c r="B158" s="84">
        <f t="shared" si="11"/>
        <v>3</v>
      </c>
      <c r="C158" s="84"/>
      <c r="D158" s="84" t="s">
        <v>558</v>
      </c>
      <c r="E158" s="93">
        <f t="shared" si="6"/>
        <v>62.740702499999976</v>
      </c>
      <c r="F158" s="105">
        <f>(E158*'Realized Pricing'!$L$2)/M158</f>
        <v>73.602610058567137</v>
      </c>
      <c r="G158" s="84" t="s">
        <v>556</v>
      </c>
      <c r="H158" s="84" t="s">
        <v>557</v>
      </c>
      <c r="I158" s="84" t="s">
        <v>558</v>
      </c>
      <c r="J158" s="225">
        <v>3.726</v>
      </c>
      <c r="K158" s="236">
        <f>((J158-'Realized Pricing'!$B$32)/M158)*'Realized Pricing'!$L$7</f>
        <v>3.7782320971311854</v>
      </c>
      <c r="L158" s="19"/>
      <c r="M158" s="226">
        <v>0.8</v>
      </c>
      <c r="N158" s="84" t="s">
        <v>556</v>
      </c>
      <c r="O158" s="84"/>
      <c r="P158" s="231">
        <v>13.3712208</v>
      </c>
      <c r="Q158" s="231">
        <v>37.991246399999994</v>
      </c>
      <c r="R158" s="231">
        <v>63.141875999999996</v>
      </c>
      <c r="S158" s="47"/>
      <c r="T158" s="234">
        <f>SUMPRODUCT($P$4:$R$4,((P158:R158)/M158))*'Realized Pricing'!$L$12</f>
        <v>37.060964937000001</v>
      </c>
      <c r="U158" s="241">
        <f t="shared" si="9"/>
        <v>73.602610058567137</v>
      </c>
      <c r="V158" s="233">
        <f t="shared" si="8"/>
        <v>4.6574999999999998</v>
      </c>
      <c r="W158" s="2"/>
    </row>
    <row r="159" spans="1:28">
      <c r="A159" s="84" t="s">
        <v>590</v>
      </c>
      <c r="B159" s="84">
        <f t="shared" si="11"/>
        <v>3</v>
      </c>
      <c r="C159" s="47"/>
      <c r="D159" s="47" t="str">
        <f>A159</f>
        <v>01/2032</v>
      </c>
      <c r="E159" s="93">
        <f t="shared" si="6"/>
        <v>62.740702499999976</v>
      </c>
      <c r="F159" s="105">
        <f>(E159*'Realized Pricing'!$L$2)/M159</f>
        <v>73.602610058567137</v>
      </c>
      <c r="G159" s="47"/>
      <c r="H159" s="47"/>
      <c r="I159" s="47"/>
      <c r="J159" s="228">
        <f t="shared" ref="J159:J190" si="12">$Y$3*(1+$AB$3)^B113</f>
        <v>3.5</v>
      </c>
      <c r="K159" s="236">
        <f>((J159-'Realized Pricing'!$B$32)/M159)*'Realized Pricing'!$L$7</f>
        <v>3.4755463529615493</v>
      </c>
      <c r="L159" s="107"/>
      <c r="M159" s="227">
        <v>0.8</v>
      </c>
      <c r="N159" s="47"/>
      <c r="O159" s="47"/>
      <c r="P159" s="232">
        <f t="shared" ref="P159:P190" si="13">$P$158 * (1+$AB$3)^B113</f>
        <v>13.3712208</v>
      </c>
      <c r="Q159" s="232">
        <f t="shared" ref="Q159:Q190" si="14">$Q$158 * (1+$AB$3)^B113</f>
        <v>37.991246399999994</v>
      </c>
      <c r="R159" s="232">
        <f t="shared" ref="R159:R190" si="15">$R$158 * (1+$AB$3)^B113</f>
        <v>63.141875999999996</v>
      </c>
      <c r="S159" s="47"/>
      <c r="T159" s="234">
        <f>SUMPRODUCT($P$4:$R$4,((P159:R159)/M159))*'Realized Pricing'!$L$12</f>
        <v>37.060964937000001</v>
      </c>
      <c r="U159" s="241">
        <f>F159</f>
        <v>73.602610058567137</v>
      </c>
      <c r="V159" s="233">
        <f t="shared" ref="V159:V222" si="16">J159/M159</f>
        <v>4.375</v>
      </c>
      <c r="AB159" s="62"/>
    </row>
    <row r="160" spans="1:28">
      <c r="A160" s="84" t="s">
        <v>591</v>
      </c>
      <c r="B160" s="84">
        <f t="shared" si="11"/>
        <v>3</v>
      </c>
      <c r="C160" s="47"/>
      <c r="D160" s="47" t="str">
        <f t="shared" ref="D160:D223" si="17">A160</f>
        <v>02/2032</v>
      </c>
      <c r="E160" s="93">
        <f t="shared" si="6"/>
        <v>62.740702499999976</v>
      </c>
      <c r="F160" s="105">
        <f>(E160*'Realized Pricing'!$L$2)/M160</f>
        <v>73.602610058567137</v>
      </c>
      <c r="G160" s="47"/>
      <c r="H160" s="47"/>
      <c r="I160" s="47"/>
      <c r="J160" s="228">
        <f t="shared" si="12"/>
        <v>3.5</v>
      </c>
      <c r="K160" s="236">
        <f>((J160-'Realized Pricing'!$B$32)/M160)*'Realized Pricing'!$L$7</f>
        <v>3.4755463529615493</v>
      </c>
      <c r="L160" s="107"/>
      <c r="M160" s="227">
        <v>0.8</v>
      </c>
      <c r="N160" s="47"/>
      <c r="O160" s="47"/>
      <c r="P160" s="232">
        <f t="shared" si="13"/>
        <v>13.3712208</v>
      </c>
      <c r="Q160" s="232">
        <f t="shared" si="14"/>
        <v>37.991246399999994</v>
      </c>
      <c r="R160" s="232">
        <f t="shared" si="15"/>
        <v>63.141875999999996</v>
      </c>
      <c r="S160" s="47"/>
      <c r="T160" s="234">
        <f>SUMPRODUCT($P$4:$R$4,((P160:R160)/M160))*'Realized Pricing'!$L$12</f>
        <v>37.060964937000001</v>
      </c>
      <c r="U160" s="241">
        <f t="shared" si="9"/>
        <v>73.602610058567137</v>
      </c>
      <c r="V160" s="233">
        <f t="shared" si="16"/>
        <v>4.375</v>
      </c>
    </row>
    <row r="161" spans="1:22">
      <c r="A161" s="84" t="s">
        <v>592</v>
      </c>
      <c r="B161" s="84">
        <f>B149+1</f>
        <v>4</v>
      </c>
      <c r="C161" s="47"/>
      <c r="D161" s="47" t="str">
        <f t="shared" si="17"/>
        <v>03/2032</v>
      </c>
      <c r="E161" s="93">
        <f t="shared" si="6"/>
        <v>63.681813037499964</v>
      </c>
      <c r="F161" s="105">
        <f>(E161*'Realized Pricing'!$L$2)/M161</f>
        <v>74.706649209445644</v>
      </c>
      <c r="G161" s="47"/>
      <c r="H161" s="47"/>
      <c r="I161" s="47"/>
      <c r="J161" s="228">
        <f t="shared" si="12"/>
        <v>3.5</v>
      </c>
      <c r="K161" s="236">
        <f>((J161-'Realized Pricing'!$B$32)/M161)*'Realized Pricing'!$L$7</f>
        <v>3.4755463529615493</v>
      </c>
      <c r="L161" s="107"/>
      <c r="M161" s="227">
        <v>0.8</v>
      </c>
      <c r="N161" s="47"/>
      <c r="O161" s="47"/>
      <c r="P161" s="232">
        <f t="shared" si="13"/>
        <v>13.3712208</v>
      </c>
      <c r="Q161" s="232">
        <f t="shared" si="14"/>
        <v>37.991246399999994</v>
      </c>
      <c r="R161" s="232">
        <f t="shared" si="15"/>
        <v>63.141875999999996</v>
      </c>
      <c r="S161" s="47"/>
      <c r="T161" s="234">
        <f>SUMPRODUCT($P$4:$R$4,((P161:R161)/M161))*'Realized Pricing'!$L$12</f>
        <v>37.060964937000001</v>
      </c>
      <c r="U161" s="241">
        <f t="shared" si="9"/>
        <v>74.706649209445644</v>
      </c>
      <c r="V161" s="233">
        <f t="shared" si="16"/>
        <v>4.375</v>
      </c>
    </row>
    <row r="162" spans="1:22">
      <c r="A162" s="84" t="s">
        <v>593</v>
      </c>
      <c r="B162" s="84">
        <f t="shared" ref="B162:B171" si="18">B150+1</f>
        <v>4</v>
      </c>
      <c r="C162" s="47"/>
      <c r="D162" s="47" t="str">
        <f t="shared" si="17"/>
        <v>04/2032</v>
      </c>
      <c r="E162" s="93">
        <f t="shared" si="6"/>
        <v>63.681813037499964</v>
      </c>
      <c r="F162" s="105">
        <f>(E162*'Realized Pricing'!$L$2)/M162</f>
        <v>74.706649209445644</v>
      </c>
      <c r="G162" s="47"/>
      <c r="H162" s="47"/>
      <c r="I162" s="47"/>
      <c r="J162" s="228">
        <f t="shared" si="12"/>
        <v>3.5</v>
      </c>
      <c r="K162" s="236">
        <f>((J162-'Realized Pricing'!$B$32)/M162)*'Realized Pricing'!$L$7</f>
        <v>3.4755463529615493</v>
      </c>
      <c r="L162" s="107"/>
      <c r="M162" s="227">
        <v>0.8</v>
      </c>
      <c r="N162" s="47"/>
      <c r="O162" s="47"/>
      <c r="P162" s="232">
        <f t="shared" si="13"/>
        <v>13.3712208</v>
      </c>
      <c r="Q162" s="232">
        <f t="shared" si="14"/>
        <v>37.991246399999994</v>
      </c>
      <c r="R162" s="232">
        <f t="shared" si="15"/>
        <v>63.141875999999996</v>
      </c>
      <c r="S162" s="47"/>
      <c r="T162" s="234">
        <f>SUMPRODUCT($P$4:$R$4,((P162:R162)/M162))*'Realized Pricing'!$L$12</f>
        <v>37.060964937000001</v>
      </c>
      <c r="U162" s="241">
        <f t="shared" si="9"/>
        <v>74.706649209445644</v>
      </c>
      <c r="V162" s="233">
        <f t="shared" si="16"/>
        <v>4.375</v>
      </c>
    </row>
    <row r="163" spans="1:22">
      <c r="A163" s="84" t="s">
        <v>594</v>
      </c>
      <c r="B163" s="84">
        <f t="shared" si="18"/>
        <v>4</v>
      </c>
      <c r="C163" s="47"/>
      <c r="D163" s="47" t="str">
        <f t="shared" si="17"/>
        <v>05/2032</v>
      </c>
      <c r="E163" s="93">
        <f t="shared" si="6"/>
        <v>63.681813037499964</v>
      </c>
      <c r="F163" s="105">
        <f>(E163*'Realized Pricing'!$L$2)/M163</f>
        <v>74.706649209445644</v>
      </c>
      <c r="G163" s="47"/>
      <c r="H163" s="47"/>
      <c r="I163" s="47"/>
      <c r="J163" s="228">
        <f t="shared" si="12"/>
        <v>3.5</v>
      </c>
      <c r="K163" s="236">
        <f>((J163-'Realized Pricing'!$B$32)/M163)*'Realized Pricing'!$L$7</f>
        <v>3.4755463529615493</v>
      </c>
      <c r="L163" s="107"/>
      <c r="M163" s="227">
        <v>0.8</v>
      </c>
      <c r="N163" s="47"/>
      <c r="O163" s="47"/>
      <c r="P163" s="232">
        <f t="shared" si="13"/>
        <v>13.3712208</v>
      </c>
      <c r="Q163" s="232">
        <f t="shared" si="14"/>
        <v>37.991246399999994</v>
      </c>
      <c r="R163" s="232">
        <f t="shared" si="15"/>
        <v>63.141875999999996</v>
      </c>
      <c r="S163" s="47"/>
      <c r="T163" s="234">
        <f>SUMPRODUCT($P$4:$R$4,((P163:R163)/M163))*'Realized Pricing'!$L$12</f>
        <v>37.060964937000001</v>
      </c>
      <c r="U163" s="241">
        <f t="shared" si="9"/>
        <v>74.706649209445644</v>
      </c>
      <c r="V163" s="233">
        <f t="shared" si="16"/>
        <v>4.375</v>
      </c>
    </row>
    <row r="164" spans="1:22">
      <c r="A164" s="84" t="s">
        <v>595</v>
      </c>
      <c r="B164" s="84">
        <f t="shared" si="18"/>
        <v>4</v>
      </c>
      <c r="C164" s="47"/>
      <c r="D164" s="47" t="str">
        <f t="shared" si="17"/>
        <v>06/2032</v>
      </c>
      <c r="E164" s="93">
        <f t="shared" si="6"/>
        <v>63.681813037499964</v>
      </c>
      <c r="F164" s="105">
        <f>(E164*'Realized Pricing'!$L$2)/M164</f>
        <v>74.706649209445644</v>
      </c>
      <c r="G164" s="47"/>
      <c r="H164" s="47"/>
      <c r="I164" s="47"/>
      <c r="J164" s="228">
        <f>$Y$3*(1+$AB$3)^B118</f>
        <v>3.5</v>
      </c>
      <c r="K164" s="236">
        <f>((J164-'Realized Pricing'!$B$32)/M164)*'Realized Pricing'!$L$7</f>
        <v>3.4755463529615493</v>
      </c>
      <c r="L164" s="107"/>
      <c r="M164" s="227">
        <v>0.8</v>
      </c>
      <c r="N164" s="47"/>
      <c r="O164" s="47"/>
      <c r="P164" s="232">
        <f t="shared" si="13"/>
        <v>13.3712208</v>
      </c>
      <c r="Q164" s="232">
        <f t="shared" si="14"/>
        <v>37.991246399999994</v>
      </c>
      <c r="R164" s="232">
        <f t="shared" si="15"/>
        <v>63.141875999999996</v>
      </c>
      <c r="S164" s="47"/>
      <c r="T164" s="234">
        <f>SUMPRODUCT($P$4:$R$4,((P164:R164)/M164))*'Realized Pricing'!$L$12</f>
        <v>37.060964937000001</v>
      </c>
      <c r="U164" s="241">
        <f t="shared" si="9"/>
        <v>74.706649209445644</v>
      </c>
      <c r="V164" s="233">
        <f t="shared" si="16"/>
        <v>4.375</v>
      </c>
    </row>
    <row r="165" spans="1:22">
      <c r="A165" s="84" t="s">
        <v>596</v>
      </c>
      <c r="B165" s="84">
        <f t="shared" si="18"/>
        <v>4</v>
      </c>
      <c r="C165" s="47"/>
      <c r="D165" s="47" t="str">
        <f t="shared" si="17"/>
        <v>07/2032</v>
      </c>
      <c r="E165" s="93">
        <f t="shared" si="6"/>
        <v>63.681813037499964</v>
      </c>
      <c r="F165" s="105">
        <f>(E165*'Realized Pricing'!$L$2)/M165</f>
        <v>74.706649209445644</v>
      </c>
      <c r="G165" s="47"/>
      <c r="H165" s="47"/>
      <c r="I165" s="47"/>
      <c r="J165" s="228">
        <f t="shared" si="12"/>
        <v>3.5</v>
      </c>
      <c r="K165" s="236">
        <f>((J165-'Realized Pricing'!$B$32)/M165)*'Realized Pricing'!$L$7</f>
        <v>3.4755463529615493</v>
      </c>
      <c r="L165" s="107"/>
      <c r="M165" s="227">
        <v>0.8</v>
      </c>
      <c r="N165" s="47"/>
      <c r="O165" s="47"/>
      <c r="P165" s="232">
        <f t="shared" si="13"/>
        <v>13.3712208</v>
      </c>
      <c r="Q165" s="232">
        <f t="shared" si="14"/>
        <v>37.991246399999994</v>
      </c>
      <c r="R165" s="232">
        <f t="shared" si="15"/>
        <v>63.141875999999996</v>
      </c>
      <c r="S165" s="47"/>
      <c r="T165" s="234">
        <f>SUMPRODUCT($P$4:$R$4,((P165:R165)/M165))*'Realized Pricing'!$L$12</f>
        <v>37.060964937000001</v>
      </c>
      <c r="U165" s="241">
        <f t="shared" si="9"/>
        <v>74.706649209445644</v>
      </c>
      <c r="V165" s="233">
        <f t="shared" si="16"/>
        <v>4.375</v>
      </c>
    </row>
    <row r="166" spans="1:22">
      <c r="A166" s="84" t="s">
        <v>597</v>
      </c>
      <c r="B166" s="84">
        <f t="shared" si="18"/>
        <v>4</v>
      </c>
      <c r="C166" s="47"/>
      <c r="D166" s="47" t="str">
        <f t="shared" si="17"/>
        <v>08/2032</v>
      </c>
      <c r="E166" s="93">
        <f t="shared" si="6"/>
        <v>63.681813037499964</v>
      </c>
      <c r="F166" s="105">
        <f>(E166*'Realized Pricing'!$L$2)/M166</f>
        <v>74.706649209445644</v>
      </c>
      <c r="G166" s="47"/>
      <c r="H166" s="47"/>
      <c r="I166" s="47"/>
      <c r="J166" s="228">
        <f t="shared" si="12"/>
        <v>3.5</v>
      </c>
      <c r="K166" s="236">
        <f>((J166-'Realized Pricing'!$B$32)/M166)*'Realized Pricing'!$L$7</f>
        <v>3.4755463529615493</v>
      </c>
      <c r="L166" s="107"/>
      <c r="M166" s="227">
        <v>0.8</v>
      </c>
      <c r="N166" s="47"/>
      <c r="O166" s="47"/>
      <c r="P166" s="232">
        <f t="shared" si="13"/>
        <v>13.3712208</v>
      </c>
      <c r="Q166" s="232">
        <f t="shared" si="14"/>
        <v>37.991246399999994</v>
      </c>
      <c r="R166" s="232">
        <f t="shared" si="15"/>
        <v>63.141875999999996</v>
      </c>
      <c r="S166" s="47"/>
      <c r="T166" s="234">
        <f>SUMPRODUCT($P$4:$R$4,((P166:R166)/M166))*'Realized Pricing'!$L$12</f>
        <v>37.060964937000001</v>
      </c>
      <c r="U166" s="241">
        <f t="shared" si="9"/>
        <v>74.706649209445644</v>
      </c>
      <c r="V166" s="233">
        <f t="shared" si="16"/>
        <v>4.375</v>
      </c>
    </row>
    <row r="167" spans="1:22">
      <c r="A167" s="84" t="s">
        <v>598</v>
      </c>
      <c r="B167" s="84">
        <f t="shared" si="18"/>
        <v>4</v>
      </c>
      <c r="C167" s="47"/>
      <c r="D167" s="47" t="str">
        <f t="shared" si="17"/>
        <v>09/2032</v>
      </c>
      <c r="E167" s="93">
        <f t="shared" si="6"/>
        <v>63.681813037499964</v>
      </c>
      <c r="F167" s="105">
        <f>(E167*'Realized Pricing'!$L$2)/M167</f>
        <v>74.706649209445644</v>
      </c>
      <c r="G167" s="47"/>
      <c r="H167" s="47"/>
      <c r="I167" s="47"/>
      <c r="J167" s="228">
        <f t="shared" si="12"/>
        <v>3.5</v>
      </c>
      <c r="K167" s="236">
        <f>((J167-'Realized Pricing'!$B$32)/M167)*'Realized Pricing'!$L$7</f>
        <v>3.4755463529615493</v>
      </c>
      <c r="L167" s="107"/>
      <c r="M167" s="227">
        <v>0.8</v>
      </c>
      <c r="N167" s="47"/>
      <c r="O167" s="47"/>
      <c r="P167" s="232">
        <f t="shared" si="13"/>
        <v>13.3712208</v>
      </c>
      <c r="Q167" s="232">
        <f t="shared" si="14"/>
        <v>37.991246399999994</v>
      </c>
      <c r="R167" s="232">
        <f t="shared" si="15"/>
        <v>63.141875999999996</v>
      </c>
      <c r="S167" s="47"/>
      <c r="T167" s="234">
        <f>SUMPRODUCT($P$4:$R$4,((P167:R167)/M167))*'Realized Pricing'!$L$12</f>
        <v>37.060964937000001</v>
      </c>
      <c r="U167" s="241">
        <f t="shared" si="9"/>
        <v>74.706649209445644</v>
      </c>
      <c r="V167" s="233">
        <f t="shared" si="16"/>
        <v>4.375</v>
      </c>
    </row>
    <row r="168" spans="1:22">
      <c r="A168" s="84" t="s">
        <v>599</v>
      </c>
      <c r="B168" s="84">
        <f t="shared" si="18"/>
        <v>4</v>
      </c>
      <c r="C168" s="47"/>
      <c r="D168" s="47" t="str">
        <f t="shared" si="17"/>
        <v>10/2032</v>
      </c>
      <c r="E168" s="93">
        <f t="shared" si="6"/>
        <v>63.681813037499964</v>
      </c>
      <c r="F168" s="105">
        <f>(E168*'Realized Pricing'!$L$2)/M168</f>
        <v>74.706649209445644</v>
      </c>
      <c r="G168" s="47"/>
      <c r="H168" s="47"/>
      <c r="I168" s="47"/>
      <c r="J168" s="228">
        <f t="shared" si="12"/>
        <v>3.5</v>
      </c>
      <c r="K168" s="236">
        <f>((J168-'Realized Pricing'!$B$32)/M168)*'Realized Pricing'!$L$7</f>
        <v>3.4755463529615493</v>
      </c>
      <c r="L168" s="107"/>
      <c r="M168" s="227">
        <v>0.8</v>
      </c>
      <c r="N168" s="47"/>
      <c r="O168" s="47"/>
      <c r="P168" s="232">
        <f t="shared" si="13"/>
        <v>13.3712208</v>
      </c>
      <c r="Q168" s="232">
        <f t="shared" si="14"/>
        <v>37.991246399999994</v>
      </c>
      <c r="R168" s="232">
        <f t="shared" si="15"/>
        <v>63.141875999999996</v>
      </c>
      <c r="S168" s="47"/>
      <c r="T168" s="234">
        <f>SUMPRODUCT($P$4:$R$4,((P168:R168)/M168))*'Realized Pricing'!$L$12</f>
        <v>37.060964937000001</v>
      </c>
      <c r="U168" s="241">
        <f t="shared" si="9"/>
        <v>74.706649209445644</v>
      </c>
      <c r="V168" s="233">
        <f t="shared" si="16"/>
        <v>4.375</v>
      </c>
    </row>
    <row r="169" spans="1:22">
      <c r="A169" s="84" t="s">
        <v>587</v>
      </c>
      <c r="B169" s="84">
        <f t="shared" si="18"/>
        <v>4</v>
      </c>
      <c r="C169" s="47"/>
      <c r="D169" s="47" t="str">
        <f t="shared" si="17"/>
        <v>11/2032</v>
      </c>
      <c r="E169" s="93">
        <f t="shared" si="6"/>
        <v>63.681813037499964</v>
      </c>
      <c r="F169" s="105">
        <f>(E169*'Realized Pricing'!$L$2)/M169</f>
        <v>74.706649209445644</v>
      </c>
      <c r="G169" s="47"/>
      <c r="H169" s="47"/>
      <c r="I169" s="47"/>
      <c r="J169" s="228">
        <f t="shared" si="12"/>
        <v>3.5</v>
      </c>
      <c r="K169" s="236">
        <f>((J169-'Realized Pricing'!$B$32)/M169)*'Realized Pricing'!$L$7</f>
        <v>3.4755463529615493</v>
      </c>
      <c r="L169" s="107"/>
      <c r="M169" s="227">
        <v>0.8</v>
      </c>
      <c r="N169" s="47"/>
      <c r="O169" s="47"/>
      <c r="P169" s="232">
        <f t="shared" si="13"/>
        <v>13.3712208</v>
      </c>
      <c r="Q169" s="232">
        <f t="shared" si="14"/>
        <v>37.991246399999994</v>
      </c>
      <c r="R169" s="232">
        <f t="shared" si="15"/>
        <v>63.141875999999996</v>
      </c>
      <c r="S169" s="47"/>
      <c r="T169" s="234">
        <f>SUMPRODUCT($P$4:$R$4,((P169:R169)/M169))*'Realized Pricing'!$L$12</f>
        <v>37.060964937000001</v>
      </c>
      <c r="U169" s="241">
        <f t="shared" si="9"/>
        <v>74.706649209445644</v>
      </c>
      <c r="V169" s="233">
        <f t="shared" si="16"/>
        <v>4.375</v>
      </c>
    </row>
    <row r="170" spans="1:22">
      <c r="A170" s="84" t="s">
        <v>590</v>
      </c>
      <c r="B170" s="84">
        <f t="shared" si="18"/>
        <v>4</v>
      </c>
      <c r="C170" s="47"/>
      <c r="D170" s="47" t="str">
        <f t="shared" si="17"/>
        <v>01/2032</v>
      </c>
      <c r="E170" s="93">
        <f t="shared" si="6"/>
        <v>63.681813037499964</v>
      </c>
      <c r="F170" s="105">
        <f>(E170*'Realized Pricing'!$L$2)/M170</f>
        <v>74.706649209445644</v>
      </c>
      <c r="G170" s="47"/>
      <c r="H170" s="47"/>
      <c r="I170" s="47"/>
      <c r="J170" s="228">
        <f t="shared" si="12"/>
        <v>3.5</v>
      </c>
      <c r="K170" s="236">
        <f>((J170-'Realized Pricing'!$B$32)/M170)*'Realized Pricing'!$L$7</f>
        <v>3.4755463529615493</v>
      </c>
      <c r="L170" s="107"/>
      <c r="M170" s="227">
        <v>0.8</v>
      </c>
      <c r="N170" s="47"/>
      <c r="O170" s="47"/>
      <c r="P170" s="232">
        <f t="shared" si="13"/>
        <v>13.3712208</v>
      </c>
      <c r="Q170" s="232">
        <f t="shared" si="14"/>
        <v>37.991246399999994</v>
      </c>
      <c r="R170" s="232">
        <f t="shared" si="15"/>
        <v>63.141875999999996</v>
      </c>
      <c r="S170" s="47"/>
      <c r="T170" s="234">
        <f>SUMPRODUCT($P$4:$R$4,((P170:R170)/M170))*'Realized Pricing'!$L$12</f>
        <v>37.060964937000001</v>
      </c>
      <c r="U170" s="241">
        <f t="shared" si="9"/>
        <v>74.706649209445644</v>
      </c>
      <c r="V170" s="233">
        <f t="shared" si="16"/>
        <v>4.375</v>
      </c>
    </row>
    <row r="171" spans="1:22">
      <c r="A171" s="84" t="s">
        <v>591</v>
      </c>
      <c r="B171" s="84">
        <f t="shared" si="18"/>
        <v>4</v>
      </c>
      <c r="C171" s="47"/>
      <c r="D171" s="47" t="str">
        <f t="shared" si="17"/>
        <v>02/2032</v>
      </c>
      <c r="E171" s="93">
        <f t="shared" si="6"/>
        <v>63.681813037499964</v>
      </c>
      <c r="F171" s="105">
        <f>(E171*'Realized Pricing'!$L$2)/M171</f>
        <v>74.706649209445644</v>
      </c>
      <c r="G171" s="47"/>
      <c r="H171" s="47"/>
      <c r="I171" s="47"/>
      <c r="J171" s="228">
        <f t="shared" si="12"/>
        <v>3.5524999999999998</v>
      </c>
      <c r="K171" s="236">
        <f>((J171-'Realized Pricing'!$B$32)/M171)*'Realized Pricing'!$L$7</f>
        <v>3.5458605191956463</v>
      </c>
      <c r="L171" s="107"/>
      <c r="M171" s="227">
        <v>0.8</v>
      </c>
      <c r="N171" s="47"/>
      <c r="O171" s="47"/>
      <c r="P171" s="232">
        <f t="shared" si="13"/>
        <v>13.571789111999998</v>
      </c>
      <c r="Q171" s="232">
        <f t="shared" si="14"/>
        <v>38.561115095999988</v>
      </c>
      <c r="R171" s="232">
        <f t="shared" si="15"/>
        <v>64.089004139999986</v>
      </c>
      <c r="S171" s="47"/>
      <c r="T171" s="234">
        <f>SUMPRODUCT($P$4:$R$4,((P171:R171)/M171))*'Realized Pricing'!$L$12</f>
        <v>37.616879411054988</v>
      </c>
      <c r="U171" s="241">
        <f t="shared" si="9"/>
        <v>74.706649209445644</v>
      </c>
      <c r="V171" s="233">
        <f t="shared" si="16"/>
        <v>4.4406249999999998</v>
      </c>
    </row>
    <row r="172" spans="1:22">
      <c r="A172" s="84" t="s">
        <v>592</v>
      </c>
      <c r="B172" s="84">
        <f>B161+1</f>
        <v>5</v>
      </c>
      <c r="C172" s="47"/>
      <c r="D172" s="47" t="str">
        <f t="shared" si="17"/>
        <v>03/2032</v>
      </c>
      <c r="E172" s="93">
        <f t="shared" si="6"/>
        <v>64.637040233062464</v>
      </c>
      <c r="F172" s="105">
        <f>(E172*'Realized Pricing'!$L$2)/M172</f>
        <v>75.827248947587321</v>
      </c>
      <c r="G172" s="47"/>
      <c r="H172" s="47"/>
      <c r="I172" s="47"/>
      <c r="J172" s="228">
        <f t="shared" si="12"/>
        <v>3.5524999999999998</v>
      </c>
      <c r="K172" s="236">
        <f>((J172-'Realized Pricing'!$B$32)/M172)*'Realized Pricing'!$L$7</f>
        <v>3.5458605191956463</v>
      </c>
      <c r="L172" s="107"/>
      <c r="M172" s="227">
        <v>0.8</v>
      </c>
      <c r="N172" s="47"/>
      <c r="O172" s="47"/>
      <c r="P172" s="232">
        <f t="shared" si="13"/>
        <v>13.571789111999998</v>
      </c>
      <c r="Q172" s="232">
        <f t="shared" si="14"/>
        <v>38.561115095999988</v>
      </c>
      <c r="R172" s="232">
        <f t="shared" si="15"/>
        <v>64.089004139999986</v>
      </c>
      <c r="S172" s="47"/>
      <c r="T172" s="234">
        <f>SUMPRODUCT($P$4:$R$4,((P172:R172)/M172))*'Realized Pricing'!$L$12</f>
        <v>37.616879411054988</v>
      </c>
      <c r="U172" s="241">
        <f t="shared" si="9"/>
        <v>75.827248947587321</v>
      </c>
      <c r="V172" s="233">
        <f t="shared" si="16"/>
        <v>4.4406249999999998</v>
      </c>
    </row>
    <row r="173" spans="1:22">
      <c r="A173" s="84" t="s">
        <v>593</v>
      </c>
      <c r="B173" s="84">
        <f t="shared" ref="B173:B183" si="19">B162+1</f>
        <v>5</v>
      </c>
      <c r="C173" s="47"/>
      <c r="D173" s="47" t="str">
        <f t="shared" si="17"/>
        <v>04/2032</v>
      </c>
      <c r="E173" s="93">
        <f t="shared" si="6"/>
        <v>64.637040233062464</v>
      </c>
      <c r="F173" s="105">
        <f>(E173*'Realized Pricing'!$L$2)/M173</f>
        <v>75.827248947587321</v>
      </c>
      <c r="G173" s="47"/>
      <c r="H173" s="47"/>
      <c r="I173" s="47"/>
      <c r="J173" s="228">
        <f t="shared" si="12"/>
        <v>3.5524999999999998</v>
      </c>
      <c r="K173" s="236">
        <f>((J173-'Realized Pricing'!$B$32)/M173)*'Realized Pricing'!$L$7</f>
        <v>3.5458605191956463</v>
      </c>
      <c r="L173" s="107"/>
      <c r="M173" s="227">
        <v>0.8</v>
      </c>
      <c r="N173" s="47"/>
      <c r="O173" s="47"/>
      <c r="P173" s="232">
        <f t="shared" si="13"/>
        <v>13.571789111999998</v>
      </c>
      <c r="Q173" s="232">
        <f t="shared" si="14"/>
        <v>38.561115095999988</v>
      </c>
      <c r="R173" s="232">
        <f t="shared" si="15"/>
        <v>64.089004139999986</v>
      </c>
      <c r="S173" s="47"/>
      <c r="T173" s="234">
        <f>SUMPRODUCT($P$4:$R$4,((P173:R173)/M173))*'Realized Pricing'!$L$12</f>
        <v>37.616879411054988</v>
      </c>
      <c r="U173" s="241">
        <f t="shared" si="9"/>
        <v>75.827248947587321</v>
      </c>
      <c r="V173" s="233">
        <f t="shared" si="16"/>
        <v>4.4406249999999998</v>
      </c>
    </row>
    <row r="174" spans="1:22">
      <c r="A174" s="84" t="s">
        <v>594</v>
      </c>
      <c r="B174" s="84">
        <f t="shared" si="19"/>
        <v>5</v>
      </c>
      <c r="C174" s="47"/>
      <c r="D174" s="47" t="str">
        <f t="shared" si="17"/>
        <v>05/2032</v>
      </c>
      <c r="E174" s="93">
        <f t="shared" si="6"/>
        <v>64.637040233062464</v>
      </c>
      <c r="F174" s="105">
        <f>(E174*'Realized Pricing'!$L$2)/M174</f>
        <v>75.827248947587321</v>
      </c>
      <c r="G174" s="47"/>
      <c r="H174" s="47"/>
      <c r="I174" s="47"/>
      <c r="J174" s="228">
        <f t="shared" si="12"/>
        <v>3.5524999999999998</v>
      </c>
      <c r="K174" s="236">
        <f>((J174-'Realized Pricing'!$B$32)/M174)*'Realized Pricing'!$L$7</f>
        <v>3.5458605191956463</v>
      </c>
      <c r="L174" s="107"/>
      <c r="M174" s="227">
        <v>0.8</v>
      </c>
      <c r="N174" s="47"/>
      <c r="O174" s="47"/>
      <c r="P174" s="232">
        <f t="shared" si="13"/>
        <v>13.571789111999998</v>
      </c>
      <c r="Q174" s="232">
        <f t="shared" si="14"/>
        <v>38.561115095999988</v>
      </c>
      <c r="R174" s="232">
        <f t="shared" si="15"/>
        <v>64.089004139999986</v>
      </c>
      <c r="S174" s="47"/>
      <c r="T174" s="234">
        <f>SUMPRODUCT($P$4:$R$4,((P174:R174)/M174))*'Realized Pricing'!$L$12</f>
        <v>37.616879411054988</v>
      </c>
      <c r="U174" s="241">
        <f t="shared" si="9"/>
        <v>75.827248947587321</v>
      </c>
      <c r="V174" s="233">
        <f t="shared" si="16"/>
        <v>4.4406249999999998</v>
      </c>
    </row>
    <row r="175" spans="1:22">
      <c r="A175" s="84" t="s">
        <v>595</v>
      </c>
      <c r="B175" s="84">
        <f t="shared" si="19"/>
        <v>5</v>
      </c>
      <c r="C175" s="47"/>
      <c r="D175" s="47" t="str">
        <f t="shared" si="17"/>
        <v>06/2032</v>
      </c>
      <c r="E175" s="93">
        <f t="shared" si="6"/>
        <v>64.637040233062464</v>
      </c>
      <c r="F175" s="105">
        <f>(E175*'Realized Pricing'!$L$2)/M175</f>
        <v>75.827248947587321</v>
      </c>
      <c r="G175" s="47"/>
      <c r="H175" s="47"/>
      <c r="I175" s="47"/>
      <c r="J175" s="228">
        <f t="shared" si="12"/>
        <v>3.5524999999999998</v>
      </c>
      <c r="K175" s="236">
        <f>((J175-'Realized Pricing'!$B$32)/M175)*'Realized Pricing'!$L$7</f>
        <v>3.5458605191956463</v>
      </c>
      <c r="L175" s="107"/>
      <c r="M175" s="227">
        <v>0.8</v>
      </c>
      <c r="N175" s="47"/>
      <c r="O175" s="47"/>
      <c r="P175" s="232">
        <f t="shared" si="13"/>
        <v>13.571789111999998</v>
      </c>
      <c r="Q175" s="232">
        <f t="shared" si="14"/>
        <v>38.561115095999988</v>
      </c>
      <c r="R175" s="232">
        <f t="shared" si="15"/>
        <v>64.089004139999986</v>
      </c>
      <c r="S175" s="47"/>
      <c r="T175" s="234">
        <f>SUMPRODUCT($P$4:$R$4,((P175:R175)/M175))*'Realized Pricing'!$L$12</f>
        <v>37.616879411054988</v>
      </c>
      <c r="U175" s="241">
        <f t="shared" si="9"/>
        <v>75.827248947587321</v>
      </c>
      <c r="V175" s="233">
        <f t="shared" si="16"/>
        <v>4.4406249999999998</v>
      </c>
    </row>
    <row r="176" spans="1:22">
      <c r="A176" s="84" t="s">
        <v>596</v>
      </c>
      <c r="B176" s="84">
        <f t="shared" si="19"/>
        <v>5</v>
      </c>
      <c r="C176" s="47"/>
      <c r="D176" s="47" t="str">
        <f t="shared" si="17"/>
        <v>07/2032</v>
      </c>
      <c r="E176" s="93">
        <f t="shared" si="6"/>
        <v>64.637040233062464</v>
      </c>
      <c r="F176" s="105">
        <f>(E176*'Realized Pricing'!$L$2)/M176</f>
        <v>75.827248947587321</v>
      </c>
      <c r="G176" s="47"/>
      <c r="H176" s="47"/>
      <c r="I176" s="47"/>
      <c r="J176" s="228">
        <f t="shared" si="12"/>
        <v>3.5524999999999998</v>
      </c>
      <c r="K176" s="236">
        <f>((J176-'Realized Pricing'!$B$32)/M176)*'Realized Pricing'!$L$7</f>
        <v>3.5458605191956463</v>
      </c>
      <c r="L176" s="107"/>
      <c r="M176" s="227">
        <v>0.8</v>
      </c>
      <c r="N176" s="47"/>
      <c r="O176" s="47"/>
      <c r="P176" s="232">
        <f t="shared" si="13"/>
        <v>13.571789111999998</v>
      </c>
      <c r="Q176" s="232">
        <f t="shared" si="14"/>
        <v>38.561115095999988</v>
      </c>
      <c r="R176" s="232">
        <f t="shared" si="15"/>
        <v>64.089004139999986</v>
      </c>
      <c r="S176" s="47"/>
      <c r="T176" s="234">
        <f>SUMPRODUCT($P$4:$R$4,((P176:R176)/M176))*'Realized Pricing'!$L$12</f>
        <v>37.616879411054988</v>
      </c>
      <c r="U176" s="241">
        <f t="shared" si="9"/>
        <v>75.827248947587321</v>
      </c>
      <c r="V176" s="233">
        <f t="shared" si="16"/>
        <v>4.4406249999999998</v>
      </c>
    </row>
    <row r="177" spans="1:22">
      <c r="A177" s="84" t="s">
        <v>597</v>
      </c>
      <c r="B177" s="84">
        <f t="shared" si="19"/>
        <v>5</v>
      </c>
      <c r="C177" s="47"/>
      <c r="D177" s="47" t="str">
        <f t="shared" si="17"/>
        <v>08/2032</v>
      </c>
      <c r="E177" s="93">
        <f t="shared" ref="E177:E240" si="20">$X$3*(1+$AB$3)^B177</f>
        <v>64.637040233062464</v>
      </c>
      <c r="F177" s="105">
        <f>(E177*'Realized Pricing'!$L$2)/M177</f>
        <v>75.827248947587321</v>
      </c>
      <c r="G177" s="47"/>
      <c r="H177" s="47"/>
      <c r="I177" s="47"/>
      <c r="J177" s="228">
        <f t="shared" si="12"/>
        <v>3.5524999999999998</v>
      </c>
      <c r="K177" s="236">
        <f>((J177-'Realized Pricing'!$B$32)/M177)*'Realized Pricing'!$L$7</f>
        <v>3.5458605191956463</v>
      </c>
      <c r="L177" s="107"/>
      <c r="M177" s="227">
        <v>0.8</v>
      </c>
      <c r="N177" s="47"/>
      <c r="O177" s="47"/>
      <c r="P177" s="232">
        <f t="shared" si="13"/>
        <v>13.571789111999998</v>
      </c>
      <c r="Q177" s="232">
        <f t="shared" si="14"/>
        <v>38.561115095999988</v>
      </c>
      <c r="R177" s="232">
        <f t="shared" si="15"/>
        <v>64.089004139999986</v>
      </c>
      <c r="S177" s="47"/>
      <c r="T177" s="234">
        <f>SUMPRODUCT($P$4:$R$4,((P177:R177)/M177))*'Realized Pricing'!$L$12</f>
        <v>37.616879411054988</v>
      </c>
      <c r="U177" s="241">
        <f t="shared" si="9"/>
        <v>75.827248947587321</v>
      </c>
      <c r="V177" s="233">
        <f t="shared" si="16"/>
        <v>4.4406249999999998</v>
      </c>
    </row>
    <row r="178" spans="1:22">
      <c r="A178" s="84" t="s">
        <v>598</v>
      </c>
      <c r="B178" s="84">
        <f t="shared" si="19"/>
        <v>5</v>
      </c>
      <c r="C178" s="47"/>
      <c r="D178" s="47" t="str">
        <f t="shared" si="17"/>
        <v>09/2032</v>
      </c>
      <c r="E178" s="93">
        <f t="shared" si="20"/>
        <v>64.637040233062464</v>
      </c>
      <c r="F178" s="105">
        <f>(E178*'Realized Pricing'!$L$2)/M178</f>
        <v>75.827248947587321</v>
      </c>
      <c r="G178" s="47"/>
      <c r="H178" s="47"/>
      <c r="I178" s="47"/>
      <c r="J178" s="228">
        <f t="shared" si="12"/>
        <v>3.5524999999999998</v>
      </c>
      <c r="K178" s="236">
        <f>((J178-'Realized Pricing'!$B$32)/M178)*'Realized Pricing'!$L$7</f>
        <v>3.5458605191956463</v>
      </c>
      <c r="L178" s="107"/>
      <c r="M178" s="227">
        <v>0.8</v>
      </c>
      <c r="N178" s="47"/>
      <c r="O178" s="47"/>
      <c r="P178" s="232">
        <f t="shared" si="13"/>
        <v>13.571789111999998</v>
      </c>
      <c r="Q178" s="232">
        <f t="shared" si="14"/>
        <v>38.561115095999988</v>
      </c>
      <c r="R178" s="232">
        <f t="shared" si="15"/>
        <v>64.089004139999986</v>
      </c>
      <c r="S178" s="47"/>
      <c r="T178" s="234">
        <f>SUMPRODUCT($P$4:$R$4,((P178:R178)/M178))*'Realized Pricing'!$L$12</f>
        <v>37.616879411054988</v>
      </c>
      <c r="U178" s="241">
        <f t="shared" si="9"/>
        <v>75.827248947587321</v>
      </c>
      <c r="V178" s="233">
        <f t="shared" si="16"/>
        <v>4.4406249999999998</v>
      </c>
    </row>
    <row r="179" spans="1:22">
      <c r="A179" s="84" t="s">
        <v>599</v>
      </c>
      <c r="B179" s="84">
        <f t="shared" si="19"/>
        <v>5</v>
      </c>
      <c r="C179" s="47"/>
      <c r="D179" s="47" t="str">
        <f t="shared" si="17"/>
        <v>10/2032</v>
      </c>
      <c r="E179" s="93">
        <f t="shared" si="20"/>
        <v>64.637040233062464</v>
      </c>
      <c r="F179" s="105">
        <f>(E179*'Realized Pricing'!$L$2)/M179</f>
        <v>75.827248947587321</v>
      </c>
      <c r="G179" s="47"/>
      <c r="H179" s="47"/>
      <c r="I179" s="47"/>
      <c r="J179" s="228">
        <f t="shared" si="12"/>
        <v>3.5524999999999998</v>
      </c>
      <c r="K179" s="236">
        <f>((J179-'Realized Pricing'!$B$32)/M179)*'Realized Pricing'!$L$7</f>
        <v>3.5458605191956463</v>
      </c>
      <c r="L179" s="107"/>
      <c r="M179" s="227">
        <v>0.8</v>
      </c>
      <c r="N179" s="47"/>
      <c r="O179" s="47"/>
      <c r="P179" s="232">
        <f t="shared" si="13"/>
        <v>13.571789111999998</v>
      </c>
      <c r="Q179" s="232">
        <f t="shared" si="14"/>
        <v>38.561115095999988</v>
      </c>
      <c r="R179" s="232">
        <f t="shared" si="15"/>
        <v>64.089004139999986</v>
      </c>
      <c r="S179" s="47"/>
      <c r="T179" s="234">
        <f>SUMPRODUCT($P$4:$R$4,((P179:R179)/M179))*'Realized Pricing'!$L$12</f>
        <v>37.616879411054988</v>
      </c>
      <c r="U179" s="241">
        <f t="shared" si="9"/>
        <v>75.827248947587321</v>
      </c>
      <c r="V179" s="233">
        <f t="shared" si="16"/>
        <v>4.4406249999999998</v>
      </c>
    </row>
    <row r="180" spans="1:22">
      <c r="A180" s="84" t="s">
        <v>587</v>
      </c>
      <c r="B180" s="84">
        <f t="shared" si="19"/>
        <v>5</v>
      </c>
      <c r="C180" s="47"/>
      <c r="D180" s="47" t="str">
        <f t="shared" si="17"/>
        <v>11/2032</v>
      </c>
      <c r="E180" s="93">
        <f t="shared" si="20"/>
        <v>64.637040233062464</v>
      </c>
      <c r="F180" s="105">
        <f>(E180*'Realized Pricing'!$L$2)/M180</f>
        <v>75.827248947587321</v>
      </c>
      <c r="G180" s="47"/>
      <c r="H180" s="47"/>
      <c r="I180" s="47"/>
      <c r="J180" s="228">
        <f t="shared" si="12"/>
        <v>3.5524999999999998</v>
      </c>
      <c r="K180" s="236">
        <f>((J180-'Realized Pricing'!$B$32)/M180)*'Realized Pricing'!$L$7</f>
        <v>3.5458605191956463</v>
      </c>
      <c r="L180" s="107"/>
      <c r="M180" s="227">
        <v>0.8</v>
      </c>
      <c r="N180" s="47"/>
      <c r="O180" s="47"/>
      <c r="P180" s="232">
        <f t="shared" si="13"/>
        <v>13.571789111999998</v>
      </c>
      <c r="Q180" s="232">
        <f t="shared" si="14"/>
        <v>38.561115095999988</v>
      </c>
      <c r="R180" s="232">
        <f t="shared" si="15"/>
        <v>64.089004139999986</v>
      </c>
      <c r="S180" s="47"/>
      <c r="T180" s="234">
        <f>SUMPRODUCT($P$4:$R$4,((P180:R180)/M180))*'Realized Pricing'!$L$12</f>
        <v>37.616879411054988</v>
      </c>
      <c r="U180" s="241">
        <f t="shared" si="9"/>
        <v>75.827248947587321</v>
      </c>
      <c r="V180" s="233">
        <f t="shared" si="16"/>
        <v>4.4406249999999998</v>
      </c>
    </row>
    <row r="181" spans="1:22">
      <c r="A181" s="84" t="s">
        <v>580</v>
      </c>
      <c r="B181" s="84">
        <f t="shared" si="19"/>
        <v>5</v>
      </c>
      <c r="C181" s="47"/>
      <c r="D181" s="47" t="str">
        <f t="shared" si="17"/>
        <v>12/2032</v>
      </c>
      <c r="E181" s="93">
        <f t="shared" si="20"/>
        <v>64.637040233062464</v>
      </c>
      <c r="F181" s="105">
        <f>(E181*'Realized Pricing'!$L$2)/M181</f>
        <v>75.827248947587321</v>
      </c>
      <c r="G181" s="47"/>
      <c r="H181" s="47"/>
      <c r="I181" s="47"/>
      <c r="J181" s="228">
        <f t="shared" si="12"/>
        <v>3.5524999999999998</v>
      </c>
      <c r="K181" s="236">
        <f>((J181-'Realized Pricing'!$B$32)/M181)*'Realized Pricing'!$L$7</f>
        <v>3.5458605191956463</v>
      </c>
      <c r="L181" s="107"/>
      <c r="M181" s="227">
        <v>0.8</v>
      </c>
      <c r="N181" s="47"/>
      <c r="O181" s="47"/>
      <c r="P181" s="232">
        <f t="shared" si="13"/>
        <v>13.571789111999998</v>
      </c>
      <c r="Q181" s="232">
        <f t="shared" si="14"/>
        <v>38.561115095999988</v>
      </c>
      <c r="R181" s="232">
        <f t="shared" si="15"/>
        <v>64.089004139999986</v>
      </c>
      <c r="S181" s="47"/>
      <c r="T181" s="234">
        <f>SUMPRODUCT($P$4:$R$4,((P181:R181)/M181))*'Realized Pricing'!$L$12</f>
        <v>37.616879411054988</v>
      </c>
      <c r="U181" s="241">
        <f t="shared" si="9"/>
        <v>75.827248947587321</v>
      </c>
      <c r="V181" s="233">
        <f t="shared" si="16"/>
        <v>4.4406249999999998</v>
      </c>
    </row>
    <row r="182" spans="1:22">
      <c r="A182" s="84" t="s">
        <v>600</v>
      </c>
      <c r="B182" s="84">
        <f t="shared" si="19"/>
        <v>5</v>
      </c>
      <c r="C182" s="47"/>
      <c r="D182" s="47" t="str">
        <f t="shared" si="17"/>
        <v>01/2033</v>
      </c>
      <c r="E182" s="93">
        <f t="shared" si="20"/>
        <v>64.637040233062464</v>
      </c>
      <c r="F182" s="105">
        <f>(E182*'Realized Pricing'!$L$2)/M182</f>
        <v>75.827248947587321</v>
      </c>
      <c r="G182" s="47"/>
      <c r="H182" s="47"/>
      <c r="I182" s="47"/>
      <c r="J182" s="228">
        <f t="shared" si="12"/>
        <v>3.5524999999999998</v>
      </c>
      <c r="K182" s="236">
        <f>((J182-'Realized Pricing'!$B$32)/M182)*'Realized Pricing'!$L$7</f>
        <v>3.5458605191956463</v>
      </c>
      <c r="L182" s="107"/>
      <c r="M182" s="227">
        <v>0.8</v>
      </c>
      <c r="N182" s="47"/>
      <c r="O182" s="47"/>
      <c r="P182" s="232">
        <f t="shared" si="13"/>
        <v>13.571789111999998</v>
      </c>
      <c r="Q182" s="232">
        <f t="shared" si="14"/>
        <v>38.561115095999988</v>
      </c>
      <c r="R182" s="232">
        <f t="shared" si="15"/>
        <v>64.089004139999986</v>
      </c>
      <c r="S182" s="47"/>
      <c r="T182" s="234">
        <f>SUMPRODUCT($P$4:$R$4,((P182:R182)/M182))*'Realized Pricing'!$L$12</f>
        <v>37.616879411054988</v>
      </c>
      <c r="U182" s="241">
        <f t="shared" si="9"/>
        <v>75.827248947587321</v>
      </c>
      <c r="V182" s="233">
        <f t="shared" si="16"/>
        <v>4.4406249999999998</v>
      </c>
    </row>
    <row r="183" spans="1:22">
      <c r="A183" s="84" t="s">
        <v>601</v>
      </c>
      <c r="B183" s="84">
        <f t="shared" si="19"/>
        <v>6</v>
      </c>
      <c r="C183" s="47"/>
      <c r="D183" s="47" t="str">
        <f t="shared" si="17"/>
        <v>02/2033</v>
      </c>
      <c r="E183" s="93">
        <f t="shared" si="20"/>
        <v>65.606595836558384</v>
      </c>
      <c r="F183" s="105">
        <f>(E183*'Realized Pricing'!$L$2)/M183</f>
        <v>76.964657681801114</v>
      </c>
      <c r="G183" s="47"/>
      <c r="H183" s="47"/>
      <c r="I183" s="47"/>
      <c r="J183" s="228">
        <f t="shared" si="12"/>
        <v>3.605787499999999</v>
      </c>
      <c r="K183" s="236">
        <f>((J183-'Realized Pricing'!$B$32)/M183)*'Realized Pricing'!$L$7</f>
        <v>3.617229397923253</v>
      </c>
      <c r="L183" s="107"/>
      <c r="M183" s="227">
        <v>0.8</v>
      </c>
      <c r="N183" s="47"/>
      <c r="O183" s="47"/>
      <c r="P183" s="232">
        <f t="shared" si="13"/>
        <v>13.775365948679996</v>
      </c>
      <c r="Q183" s="232">
        <f t="shared" si="14"/>
        <v>39.139531822439984</v>
      </c>
      <c r="R183" s="232">
        <f t="shared" si="15"/>
        <v>65.050339202099977</v>
      </c>
      <c r="S183" s="47"/>
      <c r="T183" s="234">
        <f>SUMPRODUCT($P$4:$R$4,((P183:R183)/M183))*'Realized Pricing'!$L$12</f>
        <v>38.181132602220814</v>
      </c>
      <c r="U183" s="241">
        <f t="shared" si="9"/>
        <v>76.964657681801114</v>
      </c>
      <c r="V183" s="233">
        <f t="shared" si="16"/>
        <v>4.5072343749999986</v>
      </c>
    </row>
    <row r="184" spans="1:22">
      <c r="A184" s="84" t="s">
        <v>602</v>
      </c>
      <c r="B184" s="84">
        <f>B172+1</f>
        <v>6</v>
      </c>
      <c r="C184" s="47"/>
      <c r="D184" s="47" t="str">
        <f t="shared" si="17"/>
        <v>03/2033</v>
      </c>
      <c r="E184" s="93">
        <f t="shared" si="20"/>
        <v>65.606595836558384</v>
      </c>
      <c r="F184" s="105">
        <f>(E184*'Realized Pricing'!$L$2)/M184</f>
        <v>76.964657681801114</v>
      </c>
      <c r="G184" s="47"/>
      <c r="H184" s="47"/>
      <c r="I184" s="47"/>
      <c r="J184" s="228">
        <f t="shared" si="12"/>
        <v>3.605787499999999</v>
      </c>
      <c r="K184" s="236">
        <f>((J184-'Realized Pricing'!$B$32)/M184)*'Realized Pricing'!$L$7</f>
        <v>3.617229397923253</v>
      </c>
      <c r="L184" s="107"/>
      <c r="M184" s="227">
        <v>0.8</v>
      </c>
      <c r="N184" s="47"/>
      <c r="O184" s="47"/>
      <c r="P184" s="232">
        <f t="shared" si="13"/>
        <v>13.775365948679996</v>
      </c>
      <c r="Q184" s="232">
        <f t="shared" si="14"/>
        <v>39.139531822439984</v>
      </c>
      <c r="R184" s="232">
        <f t="shared" si="15"/>
        <v>65.050339202099977</v>
      </c>
      <c r="S184" s="47"/>
      <c r="T184" s="234">
        <f>SUMPRODUCT($P$4:$R$4,((P184:R184)/M184))*'Realized Pricing'!$L$12</f>
        <v>38.181132602220814</v>
      </c>
      <c r="U184" s="241">
        <f t="shared" si="9"/>
        <v>76.964657681801114</v>
      </c>
      <c r="V184" s="233">
        <f t="shared" si="16"/>
        <v>4.5072343749999986</v>
      </c>
    </row>
    <row r="185" spans="1:22">
      <c r="A185" s="84" t="s">
        <v>603</v>
      </c>
      <c r="B185" s="84">
        <f t="shared" ref="B185:B194" si="21">B173+1</f>
        <v>6</v>
      </c>
      <c r="C185" s="47"/>
      <c r="D185" s="47" t="str">
        <f t="shared" si="17"/>
        <v>04/2033</v>
      </c>
      <c r="E185" s="93">
        <f t="shared" si="20"/>
        <v>65.606595836558384</v>
      </c>
      <c r="F185" s="105">
        <f>(E185*'Realized Pricing'!$L$2)/M185</f>
        <v>76.964657681801114</v>
      </c>
      <c r="G185" s="47"/>
      <c r="H185" s="47"/>
      <c r="I185" s="47"/>
      <c r="J185" s="228">
        <f t="shared" si="12"/>
        <v>3.605787499999999</v>
      </c>
      <c r="K185" s="236">
        <f>((J185-'Realized Pricing'!$B$32)/M185)*'Realized Pricing'!$L$7</f>
        <v>3.617229397923253</v>
      </c>
      <c r="L185" s="107"/>
      <c r="M185" s="227">
        <v>0.8</v>
      </c>
      <c r="N185" s="47"/>
      <c r="O185" s="47"/>
      <c r="P185" s="232">
        <f t="shared" si="13"/>
        <v>13.775365948679996</v>
      </c>
      <c r="Q185" s="232">
        <f t="shared" si="14"/>
        <v>39.139531822439984</v>
      </c>
      <c r="R185" s="232">
        <f t="shared" si="15"/>
        <v>65.050339202099977</v>
      </c>
      <c r="S185" s="47"/>
      <c r="T185" s="234">
        <f>SUMPRODUCT($P$4:$R$4,((P185:R185)/M185))*'Realized Pricing'!$L$12</f>
        <v>38.181132602220814</v>
      </c>
      <c r="U185" s="241">
        <f t="shared" si="9"/>
        <v>76.964657681801114</v>
      </c>
      <c r="V185" s="233">
        <f t="shared" si="16"/>
        <v>4.5072343749999986</v>
      </c>
    </row>
    <row r="186" spans="1:22">
      <c r="A186" s="84" t="s">
        <v>604</v>
      </c>
      <c r="B186" s="84">
        <f t="shared" si="21"/>
        <v>6</v>
      </c>
      <c r="C186" s="47"/>
      <c r="D186" s="47" t="str">
        <f t="shared" si="17"/>
        <v>05/2033</v>
      </c>
      <c r="E186" s="93">
        <f t="shared" si="20"/>
        <v>65.606595836558384</v>
      </c>
      <c r="F186" s="105">
        <f>(E186*'Realized Pricing'!$L$2)/M186</f>
        <v>76.964657681801114</v>
      </c>
      <c r="G186" s="47"/>
      <c r="H186" s="47"/>
      <c r="I186" s="47"/>
      <c r="J186" s="228">
        <f t="shared" si="12"/>
        <v>3.605787499999999</v>
      </c>
      <c r="K186" s="236">
        <f>((J186-'Realized Pricing'!$B$32)/M186)*'Realized Pricing'!$L$7</f>
        <v>3.617229397923253</v>
      </c>
      <c r="L186" s="107"/>
      <c r="M186" s="227">
        <v>0.8</v>
      </c>
      <c r="N186" s="47"/>
      <c r="O186" s="47"/>
      <c r="P186" s="232">
        <f t="shared" si="13"/>
        <v>13.775365948679996</v>
      </c>
      <c r="Q186" s="232">
        <f t="shared" si="14"/>
        <v>39.139531822439984</v>
      </c>
      <c r="R186" s="232">
        <f t="shared" si="15"/>
        <v>65.050339202099977</v>
      </c>
      <c r="S186" s="47"/>
      <c r="T186" s="234">
        <f>SUMPRODUCT($P$4:$R$4,((P186:R186)/M186))*'Realized Pricing'!$L$12</f>
        <v>38.181132602220814</v>
      </c>
      <c r="U186" s="241">
        <f t="shared" si="9"/>
        <v>76.964657681801114</v>
      </c>
      <c r="V186" s="233">
        <f t="shared" si="16"/>
        <v>4.5072343749999986</v>
      </c>
    </row>
    <row r="187" spans="1:22">
      <c r="A187" s="84" t="s">
        <v>605</v>
      </c>
      <c r="B187" s="84">
        <f t="shared" si="21"/>
        <v>6</v>
      </c>
      <c r="C187" s="47"/>
      <c r="D187" s="47" t="str">
        <f t="shared" si="17"/>
        <v>06/2033</v>
      </c>
      <c r="E187" s="93">
        <f t="shared" si="20"/>
        <v>65.606595836558384</v>
      </c>
      <c r="F187" s="105">
        <f>(E187*'Realized Pricing'!$L$2)/M187</f>
        <v>76.964657681801114</v>
      </c>
      <c r="G187" s="47"/>
      <c r="H187" s="47"/>
      <c r="I187" s="47"/>
      <c r="J187" s="228">
        <f t="shared" si="12"/>
        <v>3.605787499999999</v>
      </c>
      <c r="K187" s="236">
        <f>((J187-'Realized Pricing'!$B$32)/M187)*'Realized Pricing'!$L$7</f>
        <v>3.617229397923253</v>
      </c>
      <c r="L187" s="107"/>
      <c r="M187" s="227">
        <v>0.8</v>
      </c>
      <c r="N187" s="47"/>
      <c r="O187" s="47"/>
      <c r="P187" s="232">
        <f t="shared" si="13"/>
        <v>13.775365948679996</v>
      </c>
      <c r="Q187" s="232">
        <f t="shared" si="14"/>
        <v>39.139531822439984</v>
      </c>
      <c r="R187" s="232">
        <f t="shared" si="15"/>
        <v>65.050339202099977</v>
      </c>
      <c r="S187" s="47"/>
      <c r="T187" s="234">
        <f>SUMPRODUCT($P$4:$R$4,((P187:R187)/M187))*'Realized Pricing'!$L$12</f>
        <v>38.181132602220814</v>
      </c>
      <c r="U187" s="241">
        <f t="shared" si="9"/>
        <v>76.964657681801114</v>
      </c>
      <c r="V187" s="233">
        <f t="shared" si="16"/>
        <v>4.5072343749999986</v>
      </c>
    </row>
    <row r="188" spans="1:22">
      <c r="A188" s="84" t="s">
        <v>606</v>
      </c>
      <c r="B188" s="84">
        <f t="shared" si="21"/>
        <v>6</v>
      </c>
      <c r="C188" s="47"/>
      <c r="D188" s="47" t="str">
        <f t="shared" si="17"/>
        <v>07/2033</v>
      </c>
      <c r="E188" s="93">
        <f t="shared" si="20"/>
        <v>65.606595836558384</v>
      </c>
      <c r="F188" s="105">
        <f>(E188*'Realized Pricing'!$L$2)/M188</f>
        <v>76.964657681801114</v>
      </c>
      <c r="G188" s="47"/>
      <c r="H188" s="47"/>
      <c r="I188" s="47"/>
      <c r="J188" s="228">
        <f t="shared" si="12"/>
        <v>3.605787499999999</v>
      </c>
      <c r="K188" s="236">
        <f>((J188-'Realized Pricing'!$B$32)/M188)*'Realized Pricing'!$L$7</f>
        <v>3.617229397923253</v>
      </c>
      <c r="L188" s="107"/>
      <c r="M188" s="227">
        <v>0.8</v>
      </c>
      <c r="N188" s="47"/>
      <c r="O188" s="47"/>
      <c r="P188" s="232">
        <f t="shared" si="13"/>
        <v>13.775365948679996</v>
      </c>
      <c r="Q188" s="232">
        <f t="shared" si="14"/>
        <v>39.139531822439984</v>
      </c>
      <c r="R188" s="232">
        <f t="shared" si="15"/>
        <v>65.050339202099977</v>
      </c>
      <c r="S188" s="47"/>
      <c r="T188" s="234">
        <f>SUMPRODUCT($P$4:$R$4,((P188:R188)/M188))*'Realized Pricing'!$L$12</f>
        <v>38.181132602220814</v>
      </c>
      <c r="U188" s="241">
        <f t="shared" si="9"/>
        <v>76.964657681801114</v>
      </c>
      <c r="V188" s="233">
        <f t="shared" si="16"/>
        <v>4.5072343749999986</v>
      </c>
    </row>
    <row r="189" spans="1:22">
      <c r="A189" s="84" t="s">
        <v>607</v>
      </c>
      <c r="B189" s="84">
        <f t="shared" si="21"/>
        <v>6</v>
      </c>
      <c r="C189" s="47"/>
      <c r="D189" s="47" t="str">
        <f t="shared" si="17"/>
        <v>08/2033</v>
      </c>
      <c r="E189" s="93">
        <f t="shared" si="20"/>
        <v>65.606595836558384</v>
      </c>
      <c r="F189" s="105">
        <f>(E189*'Realized Pricing'!$L$2)/M189</f>
        <v>76.964657681801114</v>
      </c>
      <c r="G189" s="47"/>
      <c r="H189" s="47"/>
      <c r="I189" s="47"/>
      <c r="J189" s="228">
        <f t="shared" si="12"/>
        <v>3.605787499999999</v>
      </c>
      <c r="K189" s="236">
        <f>((J189-'Realized Pricing'!$B$32)/M189)*'Realized Pricing'!$L$7</f>
        <v>3.617229397923253</v>
      </c>
      <c r="L189" s="107"/>
      <c r="M189" s="227">
        <v>0.8</v>
      </c>
      <c r="N189" s="47"/>
      <c r="O189" s="47"/>
      <c r="P189" s="232">
        <f t="shared" si="13"/>
        <v>13.775365948679996</v>
      </c>
      <c r="Q189" s="232">
        <f t="shared" si="14"/>
        <v>39.139531822439984</v>
      </c>
      <c r="R189" s="232">
        <f t="shared" si="15"/>
        <v>65.050339202099977</v>
      </c>
      <c r="S189" s="47"/>
      <c r="T189" s="234">
        <f>SUMPRODUCT($P$4:$R$4,((P189:R189)/M189))*'Realized Pricing'!$L$12</f>
        <v>38.181132602220814</v>
      </c>
      <c r="U189" s="241">
        <f t="shared" si="9"/>
        <v>76.964657681801114</v>
      </c>
      <c r="V189" s="233">
        <f t="shared" si="16"/>
        <v>4.5072343749999986</v>
      </c>
    </row>
    <row r="190" spans="1:22">
      <c r="A190" s="84" t="s">
        <v>608</v>
      </c>
      <c r="B190" s="84">
        <f t="shared" si="21"/>
        <v>6</v>
      </c>
      <c r="C190" s="47"/>
      <c r="D190" s="47" t="str">
        <f t="shared" si="17"/>
        <v>09/2033</v>
      </c>
      <c r="E190" s="93">
        <f t="shared" si="20"/>
        <v>65.606595836558384</v>
      </c>
      <c r="F190" s="105">
        <f>(E190*'Realized Pricing'!$L$2)/M190</f>
        <v>76.964657681801114</v>
      </c>
      <c r="G190" s="47"/>
      <c r="H190" s="47"/>
      <c r="I190" s="47"/>
      <c r="J190" s="228">
        <f t="shared" si="12"/>
        <v>3.605787499999999</v>
      </c>
      <c r="K190" s="236">
        <f>((J190-'Realized Pricing'!$B$32)/M190)*'Realized Pricing'!$L$7</f>
        <v>3.617229397923253</v>
      </c>
      <c r="L190" s="107"/>
      <c r="M190" s="227">
        <v>0.8</v>
      </c>
      <c r="N190" s="47"/>
      <c r="O190" s="47"/>
      <c r="P190" s="232">
        <f t="shared" si="13"/>
        <v>13.775365948679996</v>
      </c>
      <c r="Q190" s="232">
        <f t="shared" si="14"/>
        <v>39.139531822439984</v>
      </c>
      <c r="R190" s="232">
        <f t="shared" si="15"/>
        <v>65.050339202099977</v>
      </c>
      <c r="S190" s="47"/>
      <c r="T190" s="234">
        <f>SUMPRODUCT($P$4:$R$4,((P190:R190)/M190))*'Realized Pricing'!$L$12</f>
        <v>38.181132602220814</v>
      </c>
      <c r="U190" s="241">
        <f t="shared" si="9"/>
        <v>76.964657681801114</v>
      </c>
      <c r="V190" s="233">
        <f t="shared" si="16"/>
        <v>4.5072343749999986</v>
      </c>
    </row>
    <row r="191" spans="1:22">
      <c r="A191" s="84" t="s">
        <v>609</v>
      </c>
      <c r="B191" s="84">
        <f t="shared" si="21"/>
        <v>6</v>
      </c>
      <c r="C191" s="47"/>
      <c r="D191" s="47" t="str">
        <f t="shared" si="17"/>
        <v>10/2033</v>
      </c>
      <c r="E191" s="93">
        <f t="shared" si="20"/>
        <v>65.606595836558384</v>
      </c>
      <c r="F191" s="105">
        <f>(E191*'Realized Pricing'!$L$2)/M191</f>
        <v>76.964657681801114</v>
      </c>
      <c r="G191" s="47"/>
      <c r="H191" s="47"/>
      <c r="I191" s="47"/>
      <c r="J191" s="228">
        <f t="shared" ref="J191:J222" si="22">$Y$3*(1+$AB$3)^B145</f>
        <v>3.605787499999999</v>
      </c>
      <c r="K191" s="236">
        <f>((J191-'Realized Pricing'!$B$32)/M191)*'Realized Pricing'!$L$7</f>
        <v>3.617229397923253</v>
      </c>
      <c r="L191" s="107"/>
      <c r="M191" s="227">
        <v>0.8</v>
      </c>
      <c r="N191" s="47"/>
      <c r="O191" s="47"/>
      <c r="P191" s="232">
        <f t="shared" ref="P191:P222" si="23">$P$158 * (1+$AB$3)^B145</f>
        <v>13.775365948679996</v>
      </c>
      <c r="Q191" s="232">
        <f t="shared" ref="Q191:Q222" si="24">$Q$158 * (1+$AB$3)^B145</f>
        <v>39.139531822439984</v>
      </c>
      <c r="R191" s="232">
        <f t="shared" ref="R191:R222" si="25">$R$158 * (1+$AB$3)^B145</f>
        <v>65.050339202099977</v>
      </c>
      <c r="S191" s="47"/>
      <c r="T191" s="234">
        <f>SUMPRODUCT($P$4:$R$4,((P191:R191)/M191))*'Realized Pricing'!$L$12</f>
        <v>38.181132602220814</v>
      </c>
      <c r="U191" s="241">
        <f t="shared" si="9"/>
        <v>76.964657681801114</v>
      </c>
      <c r="V191" s="233">
        <f t="shared" si="16"/>
        <v>4.5072343749999986</v>
      </c>
    </row>
    <row r="192" spans="1:22">
      <c r="A192" s="84" t="s">
        <v>588</v>
      </c>
      <c r="B192" s="84">
        <f t="shared" si="21"/>
        <v>6</v>
      </c>
      <c r="C192" s="47"/>
      <c r="D192" s="47" t="str">
        <f t="shared" si="17"/>
        <v>11/2033</v>
      </c>
      <c r="E192" s="93">
        <f t="shared" si="20"/>
        <v>65.606595836558384</v>
      </c>
      <c r="F192" s="105">
        <f>(E192*'Realized Pricing'!$L$2)/M192</f>
        <v>76.964657681801114</v>
      </c>
      <c r="G192" s="47"/>
      <c r="H192" s="47"/>
      <c r="I192" s="47"/>
      <c r="J192" s="228">
        <f t="shared" si="22"/>
        <v>3.605787499999999</v>
      </c>
      <c r="K192" s="236">
        <f>((J192-'Realized Pricing'!$B$32)/M192)*'Realized Pricing'!$L$7</f>
        <v>3.617229397923253</v>
      </c>
      <c r="L192" s="107"/>
      <c r="M192" s="227">
        <v>0.8</v>
      </c>
      <c r="N192" s="47"/>
      <c r="O192" s="47"/>
      <c r="P192" s="232">
        <f t="shared" si="23"/>
        <v>13.775365948679996</v>
      </c>
      <c r="Q192" s="232">
        <f t="shared" si="24"/>
        <v>39.139531822439984</v>
      </c>
      <c r="R192" s="232">
        <f t="shared" si="25"/>
        <v>65.050339202099977</v>
      </c>
      <c r="S192" s="47"/>
      <c r="T192" s="234">
        <f>SUMPRODUCT($P$4:$R$4,((P192:R192)/M192))*'Realized Pricing'!$L$12</f>
        <v>38.181132602220814</v>
      </c>
      <c r="U192" s="241">
        <f t="shared" si="9"/>
        <v>76.964657681801114</v>
      </c>
      <c r="V192" s="233">
        <f t="shared" si="16"/>
        <v>4.5072343749999986</v>
      </c>
    </row>
    <row r="193" spans="1:22">
      <c r="A193" s="84" t="s">
        <v>600</v>
      </c>
      <c r="B193" s="84">
        <f t="shared" si="21"/>
        <v>6</v>
      </c>
      <c r="C193" s="47"/>
      <c r="D193" s="47" t="str">
        <f t="shared" si="17"/>
        <v>01/2033</v>
      </c>
      <c r="E193" s="93">
        <f t="shared" si="20"/>
        <v>65.606595836558384</v>
      </c>
      <c r="F193" s="105">
        <f>(E193*'Realized Pricing'!$L$2)/M193</f>
        <v>76.964657681801114</v>
      </c>
      <c r="G193" s="47"/>
      <c r="H193" s="47"/>
      <c r="I193" s="47"/>
      <c r="J193" s="228">
        <f t="shared" si="22"/>
        <v>3.605787499999999</v>
      </c>
      <c r="K193" s="236">
        <f>((J193-'Realized Pricing'!$B$32)/M193)*'Realized Pricing'!$L$7</f>
        <v>3.617229397923253</v>
      </c>
      <c r="L193" s="107"/>
      <c r="M193" s="227">
        <v>0.8</v>
      </c>
      <c r="N193" s="47"/>
      <c r="O193" s="47"/>
      <c r="P193" s="232">
        <f t="shared" si="23"/>
        <v>13.775365948679996</v>
      </c>
      <c r="Q193" s="232">
        <f t="shared" si="24"/>
        <v>39.139531822439984</v>
      </c>
      <c r="R193" s="232">
        <f t="shared" si="25"/>
        <v>65.050339202099977</v>
      </c>
      <c r="S193" s="47"/>
      <c r="T193" s="234">
        <f>SUMPRODUCT($P$4:$R$4,((P193:R193)/M193))*'Realized Pricing'!$L$12</f>
        <v>38.181132602220814</v>
      </c>
      <c r="U193" s="241">
        <f t="shared" si="9"/>
        <v>76.964657681801114</v>
      </c>
      <c r="V193" s="233">
        <f t="shared" si="16"/>
        <v>4.5072343749999986</v>
      </c>
    </row>
    <row r="194" spans="1:22">
      <c r="A194" s="84" t="s">
        <v>601</v>
      </c>
      <c r="B194" s="84">
        <f t="shared" si="21"/>
        <v>6</v>
      </c>
      <c r="C194" s="47"/>
      <c r="D194" s="47" t="str">
        <f t="shared" si="17"/>
        <v>02/2033</v>
      </c>
      <c r="E194" s="93">
        <f t="shared" si="20"/>
        <v>65.606595836558384</v>
      </c>
      <c r="F194" s="105">
        <f>(E194*'Realized Pricing'!$L$2)/M194</f>
        <v>76.964657681801114</v>
      </c>
      <c r="G194" s="47"/>
      <c r="H194" s="47"/>
      <c r="I194" s="47"/>
      <c r="J194" s="228">
        <f t="shared" si="22"/>
        <v>3.605787499999999</v>
      </c>
      <c r="K194" s="236">
        <f>((J194-'Realized Pricing'!$B$32)/M194)*'Realized Pricing'!$L$7</f>
        <v>3.617229397923253</v>
      </c>
      <c r="L194" s="107"/>
      <c r="M194" s="227">
        <v>0.8</v>
      </c>
      <c r="N194" s="47"/>
      <c r="O194" s="47"/>
      <c r="P194" s="232">
        <f t="shared" si="23"/>
        <v>13.775365948679996</v>
      </c>
      <c r="Q194" s="232">
        <f t="shared" si="24"/>
        <v>39.139531822439984</v>
      </c>
      <c r="R194" s="232">
        <f t="shared" si="25"/>
        <v>65.050339202099977</v>
      </c>
      <c r="S194" s="47"/>
      <c r="T194" s="234">
        <f>SUMPRODUCT($P$4:$R$4,((P194:R194)/M194))*'Realized Pricing'!$L$12</f>
        <v>38.181132602220814</v>
      </c>
      <c r="U194" s="241">
        <f t="shared" si="9"/>
        <v>76.964657681801114</v>
      </c>
      <c r="V194" s="233">
        <f t="shared" si="16"/>
        <v>4.5072343749999986</v>
      </c>
    </row>
    <row r="195" spans="1:22">
      <c r="A195" s="84" t="s">
        <v>602</v>
      </c>
      <c r="B195" s="84">
        <f>B184+1</f>
        <v>7</v>
      </c>
      <c r="C195" s="47"/>
      <c r="D195" s="47" t="str">
        <f t="shared" si="17"/>
        <v>03/2033</v>
      </c>
      <c r="E195" s="93">
        <f t="shared" si="20"/>
        <v>66.590694774106751</v>
      </c>
      <c r="F195" s="105">
        <f>(E195*'Realized Pricing'!$L$2)/M195</f>
        <v>78.119127547028128</v>
      </c>
      <c r="G195" s="47"/>
      <c r="H195" s="47"/>
      <c r="I195" s="47"/>
      <c r="J195" s="228">
        <f t="shared" si="22"/>
        <v>3.6598743124999986</v>
      </c>
      <c r="K195" s="236">
        <f>((J195-'Realized Pricing'!$B$32)/M195)*'Realized Pricing'!$L$7</f>
        <v>3.6896688098317751</v>
      </c>
      <c r="L195" s="107"/>
      <c r="M195" s="227">
        <v>0.8</v>
      </c>
      <c r="N195" s="47"/>
      <c r="O195" s="47"/>
      <c r="P195" s="232">
        <f t="shared" si="23"/>
        <v>13.981996437910194</v>
      </c>
      <c r="Q195" s="232">
        <f t="shared" si="24"/>
        <v>39.72662479977658</v>
      </c>
      <c r="R195" s="232">
        <f t="shared" si="25"/>
        <v>66.026094290131468</v>
      </c>
      <c r="S195" s="47"/>
      <c r="T195" s="234">
        <f>SUMPRODUCT($P$4:$R$4,((P195:R195)/M195))*'Realized Pricing'!$L$12</f>
        <v>38.753849591254117</v>
      </c>
      <c r="U195" s="241">
        <f t="shared" si="9"/>
        <v>78.119127547028128</v>
      </c>
      <c r="V195" s="233">
        <f t="shared" si="16"/>
        <v>4.574842890624998</v>
      </c>
    </row>
    <row r="196" spans="1:22">
      <c r="A196" s="84" t="s">
        <v>603</v>
      </c>
      <c r="B196" s="84">
        <f t="shared" ref="B196:B206" si="26">B185+1</f>
        <v>7</v>
      </c>
      <c r="C196" s="47"/>
      <c r="D196" s="47" t="str">
        <f t="shared" si="17"/>
        <v>04/2033</v>
      </c>
      <c r="E196" s="93">
        <f t="shared" si="20"/>
        <v>66.590694774106751</v>
      </c>
      <c r="F196" s="105">
        <f>(E196*'Realized Pricing'!$L$2)/M196</f>
        <v>78.119127547028128</v>
      </c>
      <c r="G196" s="47"/>
      <c r="H196" s="47"/>
      <c r="I196" s="47"/>
      <c r="J196" s="228">
        <f t="shared" si="22"/>
        <v>3.6598743124999986</v>
      </c>
      <c r="K196" s="236">
        <f>((J196-'Realized Pricing'!$B$32)/M196)*'Realized Pricing'!$L$7</f>
        <v>3.6896688098317751</v>
      </c>
      <c r="L196" s="107"/>
      <c r="M196" s="227">
        <v>0.8</v>
      </c>
      <c r="N196" s="47"/>
      <c r="O196" s="47"/>
      <c r="P196" s="232">
        <f t="shared" si="23"/>
        <v>13.981996437910194</v>
      </c>
      <c r="Q196" s="232">
        <f t="shared" si="24"/>
        <v>39.72662479977658</v>
      </c>
      <c r="R196" s="232">
        <f t="shared" si="25"/>
        <v>66.026094290131468</v>
      </c>
      <c r="S196" s="47"/>
      <c r="T196" s="234">
        <f>SUMPRODUCT($P$4:$R$4,((P196:R196)/M196))*'Realized Pricing'!$L$12</f>
        <v>38.753849591254117</v>
      </c>
      <c r="U196" s="241">
        <f t="shared" si="9"/>
        <v>78.119127547028128</v>
      </c>
      <c r="V196" s="233">
        <f t="shared" si="16"/>
        <v>4.574842890624998</v>
      </c>
    </row>
    <row r="197" spans="1:22">
      <c r="A197" s="84" t="s">
        <v>604</v>
      </c>
      <c r="B197" s="84">
        <f t="shared" si="26"/>
        <v>7</v>
      </c>
      <c r="C197" s="47"/>
      <c r="D197" s="47" t="str">
        <f t="shared" si="17"/>
        <v>05/2033</v>
      </c>
      <c r="E197" s="93">
        <f t="shared" si="20"/>
        <v>66.590694774106751</v>
      </c>
      <c r="F197" s="105">
        <f>(E197*'Realized Pricing'!$L$2)/M197</f>
        <v>78.119127547028128</v>
      </c>
      <c r="G197" s="47"/>
      <c r="H197" s="47"/>
      <c r="I197" s="47"/>
      <c r="J197" s="228">
        <f t="shared" si="22"/>
        <v>3.6598743124999986</v>
      </c>
      <c r="K197" s="236">
        <f>((J197-'Realized Pricing'!$B$32)/M197)*'Realized Pricing'!$L$7</f>
        <v>3.6896688098317751</v>
      </c>
      <c r="L197" s="107"/>
      <c r="M197" s="227">
        <v>0.8</v>
      </c>
      <c r="N197" s="47"/>
      <c r="O197" s="47"/>
      <c r="P197" s="232">
        <f t="shared" si="23"/>
        <v>13.981996437910194</v>
      </c>
      <c r="Q197" s="232">
        <f t="shared" si="24"/>
        <v>39.72662479977658</v>
      </c>
      <c r="R197" s="232">
        <f t="shared" si="25"/>
        <v>66.026094290131468</v>
      </c>
      <c r="S197" s="47"/>
      <c r="T197" s="234">
        <f>SUMPRODUCT($P$4:$R$4,((P197:R197)/M197))*'Realized Pricing'!$L$12</f>
        <v>38.753849591254117</v>
      </c>
      <c r="U197" s="241">
        <f t="shared" si="9"/>
        <v>78.119127547028128</v>
      </c>
      <c r="V197" s="233">
        <f t="shared" si="16"/>
        <v>4.574842890624998</v>
      </c>
    </row>
    <row r="198" spans="1:22">
      <c r="A198" s="84" t="s">
        <v>605</v>
      </c>
      <c r="B198" s="84">
        <f t="shared" si="26"/>
        <v>7</v>
      </c>
      <c r="C198" s="47"/>
      <c r="D198" s="47" t="str">
        <f t="shared" si="17"/>
        <v>06/2033</v>
      </c>
      <c r="E198" s="93">
        <f t="shared" si="20"/>
        <v>66.590694774106751</v>
      </c>
      <c r="F198" s="105">
        <f>(E198*'Realized Pricing'!$L$2)/M198</f>
        <v>78.119127547028128</v>
      </c>
      <c r="G198" s="47"/>
      <c r="H198" s="47"/>
      <c r="I198" s="47"/>
      <c r="J198" s="228">
        <f t="shared" si="22"/>
        <v>3.6598743124999986</v>
      </c>
      <c r="K198" s="236">
        <f>((J198-'Realized Pricing'!$B$32)/M198)*'Realized Pricing'!$L$7</f>
        <v>3.6896688098317751</v>
      </c>
      <c r="L198" s="107"/>
      <c r="M198" s="227">
        <v>0.8</v>
      </c>
      <c r="N198" s="47"/>
      <c r="O198" s="47"/>
      <c r="P198" s="232">
        <f t="shared" si="23"/>
        <v>13.981996437910194</v>
      </c>
      <c r="Q198" s="232">
        <f t="shared" si="24"/>
        <v>39.72662479977658</v>
      </c>
      <c r="R198" s="232">
        <f t="shared" si="25"/>
        <v>66.026094290131468</v>
      </c>
      <c r="S198" s="47"/>
      <c r="T198" s="234">
        <f>SUMPRODUCT($P$4:$R$4,((P198:R198)/M198))*'Realized Pricing'!$L$12</f>
        <v>38.753849591254117</v>
      </c>
      <c r="U198" s="241">
        <f t="shared" ref="U198:U261" si="27">F198</f>
        <v>78.119127547028128</v>
      </c>
      <c r="V198" s="233">
        <f t="shared" si="16"/>
        <v>4.574842890624998</v>
      </c>
    </row>
    <row r="199" spans="1:22">
      <c r="A199" s="84" t="s">
        <v>606</v>
      </c>
      <c r="B199" s="84">
        <f t="shared" si="26"/>
        <v>7</v>
      </c>
      <c r="C199" s="47"/>
      <c r="D199" s="47" t="str">
        <f t="shared" si="17"/>
        <v>07/2033</v>
      </c>
      <c r="E199" s="93">
        <f t="shared" si="20"/>
        <v>66.590694774106751</v>
      </c>
      <c r="F199" s="105">
        <f>(E199*'Realized Pricing'!$L$2)/M199</f>
        <v>78.119127547028128</v>
      </c>
      <c r="G199" s="47"/>
      <c r="H199" s="47"/>
      <c r="I199" s="47"/>
      <c r="J199" s="228">
        <f t="shared" si="22"/>
        <v>3.6598743124999986</v>
      </c>
      <c r="K199" s="236">
        <f>((J199-'Realized Pricing'!$B$32)/M199)*'Realized Pricing'!$L$7</f>
        <v>3.6896688098317751</v>
      </c>
      <c r="L199" s="107"/>
      <c r="M199" s="227">
        <v>0.8</v>
      </c>
      <c r="N199" s="47"/>
      <c r="O199" s="47"/>
      <c r="P199" s="232">
        <f t="shared" si="23"/>
        <v>13.981996437910194</v>
      </c>
      <c r="Q199" s="232">
        <f t="shared" si="24"/>
        <v>39.72662479977658</v>
      </c>
      <c r="R199" s="232">
        <f t="shared" si="25"/>
        <v>66.026094290131468</v>
      </c>
      <c r="S199" s="47"/>
      <c r="T199" s="234">
        <f>SUMPRODUCT($P$4:$R$4,((P199:R199)/M199))*'Realized Pricing'!$L$12</f>
        <v>38.753849591254117</v>
      </c>
      <c r="U199" s="241">
        <f t="shared" si="27"/>
        <v>78.119127547028128</v>
      </c>
      <c r="V199" s="233">
        <f t="shared" si="16"/>
        <v>4.574842890624998</v>
      </c>
    </row>
    <row r="200" spans="1:22">
      <c r="A200" s="84" t="s">
        <v>607</v>
      </c>
      <c r="B200" s="84">
        <f t="shared" si="26"/>
        <v>7</v>
      </c>
      <c r="C200" s="47"/>
      <c r="D200" s="47" t="str">
        <f t="shared" si="17"/>
        <v>08/2033</v>
      </c>
      <c r="E200" s="93">
        <f t="shared" si="20"/>
        <v>66.590694774106751</v>
      </c>
      <c r="F200" s="105">
        <f>(E200*'Realized Pricing'!$L$2)/M200</f>
        <v>78.119127547028128</v>
      </c>
      <c r="G200" s="47"/>
      <c r="H200" s="47"/>
      <c r="I200" s="47"/>
      <c r="J200" s="228">
        <f t="shared" si="22"/>
        <v>3.6598743124999986</v>
      </c>
      <c r="K200" s="236">
        <f>((J200-'Realized Pricing'!$B$32)/M200)*'Realized Pricing'!$L$7</f>
        <v>3.6896688098317751</v>
      </c>
      <c r="L200" s="107"/>
      <c r="M200" s="227">
        <v>0.8</v>
      </c>
      <c r="N200" s="47"/>
      <c r="O200" s="47"/>
      <c r="P200" s="232">
        <f t="shared" si="23"/>
        <v>13.981996437910194</v>
      </c>
      <c r="Q200" s="232">
        <f t="shared" si="24"/>
        <v>39.72662479977658</v>
      </c>
      <c r="R200" s="232">
        <f t="shared" si="25"/>
        <v>66.026094290131468</v>
      </c>
      <c r="S200" s="47"/>
      <c r="T200" s="234">
        <f>SUMPRODUCT($P$4:$R$4,((P200:R200)/M200))*'Realized Pricing'!$L$12</f>
        <v>38.753849591254117</v>
      </c>
      <c r="U200" s="241">
        <f t="shared" si="27"/>
        <v>78.119127547028128</v>
      </c>
      <c r="V200" s="233">
        <f t="shared" si="16"/>
        <v>4.574842890624998</v>
      </c>
    </row>
    <row r="201" spans="1:22">
      <c r="A201" s="84" t="s">
        <v>608</v>
      </c>
      <c r="B201" s="84">
        <f t="shared" si="26"/>
        <v>7</v>
      </c>
      <c r="C201" s="47"/>
      <c r="D201" s="47" t="str">
        <f t="shared" si="17"/>
        <v>09/2033</v>
      </c>
      <c r="E201" s="93">
        <f t="shared" si="20"/>
        <v>66.590694774106751</v>
      </c>
      <c r="F201" s="105">
        <f>(E201*'Realized Pricing'!$L$2)/M201</f>
        <v>78.119127547028128</v>
      </c>
      <c r="G201" s="47"/>
      <c r="H201" s="47"/>
      <c r="I201" s="47"/>
      <c r="J201" s="228">
        <f t="shared" si="22"/>
        <v>3.6598743124999986</v>
      </c>
      <c r="K201" s="236">
        <f>((J201-'Realized Pricing'!$B$32)/M201)*'Realized Pricing'!$L$7</f>
        <v>3.6896688098317751</v>
      </c>
      <c r="L201" s="107"/>
      <c r="M201" s="227">
        <v>0.8</v>
      </c>
      <c r="N201" s="47"/>
      <c r="O201" s="47"/>
      <c r="P201" s="232">
        <f t="shared" si="23"/>
        <v>13.981996437910194</v>
      </c>
      <c r="Q201" s="232">
        <f t="shared" si="24"/>
        <v>39.72662479977658</v>
      </c>
      <c r="R201" s="232">
        <f t="shared" si="25"/>
        <v>66.026094290131468</v>
      </c>
      <c r="S201" s="47"/>
      <c r="T201" s="234">
        <f>SUMPRODUCT($P$4:$R$4,((P201:R201)/M201))*'Realized Pricing'!$L$12</f>
        <v>38.753849591254117</v>
      </c>
      <c r="U201" s="241">
        <f t="shared" si="27"/>
        <v>78.119127547028128</v>
      </c>
      <c r="V201" s="233">
        <f t="shared" si="16"/>
        <v>4.574842890624998</v>
      </c>
    </row>
    <row r="202" spans="1:22">
      <c r="A202" s="84" t="s">
        <v>609</v>
      </c>
      <c r="B202" s="84">
        <f t="shared" si="26"/>
        <v>7</v>
      </c>
      <c r="C202" s="47"/>
      <c r="D202" s="47" t="str">
        <f t="shared" si="17"/>
        <v>10/2033</v>
      </c>
      <c r="E202" s="93">
        <f t="shared" si="20"/>
        <v>66.590694774106751</v>
      </c>
      <c r="F202" s="105">
        <f>(E202*'Realized Pricing'!$L$2)/M202</f>
        <v>78.119127547028128</v>
      </c>
      <c r="G202" s="47"/>
      <c r="H202" s="47"/>
      <c r="I202" s="47"/>
      <c r="J202" s="228">
        <f t="shared" si="22"/>
        <v>3.6598743124999986</v>
      </c>
      <c r="K202" s="236">
        <f>((J202-'Realized Pricing'!$B$32)/M202)*'Realized Pricing'!$L$7</f>
        <v>3.6896688098317751</v>
      </c>
      <c r="L202" s="107"/>
      <c r="M202" s="227">
        <v>0.8</v>
      </c>
      <c r="N202" s="47"/>
      <c r="O202" s="47"/>
      <c r="P202" s="232">
        <f t="shared" si="23"/>
        <v>13.981996437910194</v>
      </c>
      <c r="Q202" s="232">
        <f t="shared" si="24"/>
        <v>39.72662479977658</v>
      </c>
      <c r="R202" s="232">
        <f t="shared" si="25"/>
        <v>66.026094290131468</v>
      </c>
      <c r="S202" s="47"/>
      <c r="T202" s="234">
        <f>SUMPRODUCT($P$4:$R$4,((P202:R202)/M202))*'Realized Pricing'!$L$12</f>
        <v>38.753849591254117</v>
      </c>
      <c r="U202" s="241">
        <f t="shared" si="27"/>
        <v>78.119127547028128</v>
      </c>
      <c r="V202" s="233">
        <f t="shared" si="16"/>
        <v>4.574842890624998</v>
      </c>
    </row>
    <row r="203" spans="1:22">
      <c r="A203" s="84" t="s">
        <v>588</v>
      </c>
      <c r="B203" s="84">
        <f t="shared" si="26"/>
        <v>7</v>
      </c>
      <c r="C203" s="47"/>
      <c r="D203" s="47" t="str">
        <f t="shared" si="17"/>
        <v>11/2033</v>
      </c>
      <c r="E203" s="93">
        <f t="shared" si="20"/>
        <v>66.590694774106751</v>
      </c>
      <c r="F203" s="105">
        <f>(E203*'Realized Pricing'!$L$2)/M203</f>
        <v>78.119127547028128</v>
      </c>
      <c r="G203" s="47"/>
      <c r="H203" s="47"/>
      <c r="I203" s="47"/>
      <c r="J203" s="228">
        <f t="shared" si="22"/>
        <v>3.6598743124999986</v>
      </c>
      <c r="K203" s="236">
        <f>((J203-'Realized Pricing'!$B$32)/M203)*'Realized Pricing'!$L$7</f>
        <v>3.6896688098317751</v>
      </c>
      <c r="L203" s="107"/>
      <c r="M203" s="227">
        <v>0.8</v>
      </c>
      <c r="N203" s="47"/>
      <c r="O203" s="47"/>
      <c r="P203" s="232">
        <f t="shared" si="23"/>
        <v>13.981996437910194</v>
      </c>
      <c r="Q203" s="232">
        <f t="shared" si="24"/>
        <v>39.72662479977658</v>
      </c>
      <c r="R203" s="232">
        <f t="shared" si="25"/>
        <v>66.026094290131468</v>
      </c>
      <c r="S203" s="47"/>
      <c r="T203" s="234">
        <f>SUMPRODUCT($P$4:$R$4,((P203:R203)/M203))*'Realized Pricing'!$L$12</f>
        <v>38.753849591254117</v>
      </c>
      <c r="U203" s="241">
        <f t="shared" si="27"/>
        <v>78.119127547028128</v>
      </c>
      <c r="V203" s="233">
        <f t="shared" si="16"/>
        <v>4.574842890624998</v>
      </c>
    </row>
    <row r="204" spans="1:22">
      <c r="A204" s="84" t="s">
        <v>581</v>
      </c>
      <c r="B204" s="84">
        <f t="shared" si="26"/>
        <v>7</v>
      </c>
      <c r="C204" s="47"/>
      <c r="D204" s="47" t="str">
        <f t="shared" si="17"/>
        <v>12/2033</v>
      </c>
      <c r="E204" s="93">
        <f t="shared" si="20"/>
        <v>66.590694774106751</v>
      </c>
      <c r="F204" s="105">
        <f>(E204*'Realized Pricing'!$L$2)/M204</f>
        <v>78.119127547028128</v>
      </c>
      <c r="G204" s="47"/>
      <c r="H204" s="47"/>
      <c r="I204" s="47"/>
      <c r="J204" s="228">
        <f t="shared" si="22"/>
        <v>3.6598743124999986</v>
      </c>
      <c r="K204" s="236">
        <f>((J204-'Realized Pricing'!$B$32)/M204)*'Realized Pricing'!$L$7</f>
        <v>3.6896688098317751</v>
      </c>
      <c r="L204" s="107"/>
      <c r="M204" s="227">
        <v>0.8</v>
      </c>
      <c r="N204" s="47"/>
      <c r="O204" s="47"/>
      <c r="P204" s="232">
        <f t="shared" si="23"/>
        <v>13.981996437910194</v>
      </c>
      <c r="Q204" s="232">
        <f t="shared" si="24"/>
        <v>39.72662479977658</v>
      </c>
      <c r="R204" s="232">
        <f t="shared" si="25"/>
        <v>66.026094290131468</v>
      </c>
      <c r="S204" s="47"/>
      <c r="T204" s="234">
        <f>SUMPRODUCT($P$4:$R$4,((P204:R204)/M204))*'Realized Pricing'!$L$12</f>
        <v>38.753849591254117</v>
      </c>
      <c r="U204" s="241">
        <f t="shared" si="27"/>
        <v>78.119127547028128</v>
      </c>
      <c r="V204" s="233">
        <f t="shared" si="16"/>
        <v>4.574842890624998</v>
      </c>
    </row>
    <row r="205" spans="1:22">
      <c r="A205" s="84" t="s">
        <v>610</v>
      </c>
      <c r="B205" s="84">
        <f t="shared" si="26"/>
        <v>7</v>
      </c>
      <c r="C205" s="47"/>
      <c r="D205" s="47" t="str">
        <f t="shared" si="17"/>
        <v>01/2034</v>
      </c>
      <c r="E205" s="93">
        <f t="shared" si="20"/>
        <v>66.590694774106751</v>
      </c>
      <c r="F205" s="105">
        <f>(E205*'Realized Pricing'!$L$2)/M205</f>
        <v>78.119127547028128</v>
      </c>
      <c r="G205" s="47"/>
      <c r="H205" s="47"/>
      <c r="I205" s="47"/>
      <c r="J205" s="228">
        <f t="shared" si="22"/>
        <v>3.6598743124999986</v>
      </c>
      <c r="K205" s="236">
        <f>((J205-'Realized Pricing'!$B$32)/M205)*'Realized Pricing'!$L$7</f>
        <v>3.6896688098317751</v>
      </c>
      <c r="L205" s="107"/>
      <c r="M205" s="227">
        <v>0.8</v>
      </c>
      <c r="N205" s="47"/>
      <c r="O205" s="47"/>
      <c r="P205" s="232">
        <f t="shared" si="23"/>
        <v>13.981996437910194</v>
      </c>
      <c r="Q205" s="232">
        <f t="shared" si="24"/>
        <v>39.72662479977658</v>
      </c>
      <c r="R205" s="232">
        <f t="shared" si="25"/>
        <v>66.026094290131468</v>
      </c>
      <c r="S205" s="47"/>
      <c r="T205" s="234">
        <f>SUMPRODUCT($P$4:$R$4,((P205:R205)/M205))*'Realized Pricing'!$L$12</f>
        <v>38.753849591254117</v>
      </c>
      <c r="U205" s="241">
        <f t="shared" si="27"/>
        <v>78.119127547028128</v>
      </c>
      <c r="V205" s="233">
        <f t="shared" si="16"/>
        <v>4.574842890624998</v>
      </c>
    </row>
    <row r="206" spans="1:22">
      <c r="A206" s="84" t="s">
        <v>611</v>
      </c>
      <c r="B206" s="84">
        <f t="shared" si="26"/>
        <v>8</v>
      </c>
      <c r="C206" s="47"/>
      <c r="D206" s="47" t="str">
        <f t="shared" si="17"/>
        <v>02/2034</v>
      </c>
      <c r="E206" s="93">
        <f t="shared" si="20"/>
        <v>67.589555195718347</v>
      </c>
      <c r="F206" s="105">
        <f>(E206*'Realized Pricing'!$L$2)/M206</f>
        <v>79.290914460233537</v>
      </c>
      <c r="G206" s="47"/>
      <c r="H206" s="47"/>
      <c r="I206" s="47"/>
      <c r="J206" s="228">
        <f t="shared" si="22"/>
        <v>3.6598743124999986</v>
      </c>
      <c r="K206" s="236">
        <f>((J206-'Realized Pricing'!$B$32)/M206)*'Realized Pricing'!$L$7</f>
        <v>3.6896688098317751</v>
      </c>
      <c r="L206" s="107"/>
      <c r="M206" s="227">
        <v>0.8</v>
      </c>
      <c r="N206" s="47"/>
      <c r="O206" s="47"/>
      <c r="P206" s="232">
        <f t="shared" si="23"/>
        <v>13.981996437910194</v>
      </c>
      <c r="Q206" s="232">
        <f t="shared" si="24"/>
        <v>39.72662479977658</v>
      </c>
      <c r="R206" s="232">
        <f t="shared" si="25"/>
        <v>66.026094290131468</v>
      </c>
      <c r="S206" s="47"/>
      <c r="T206" s="234">
        <f>SUMPRODUCT($P$4:$R$4,((P206:R206)/M206))*'Realized Pricing'!$L$12</f>
        <v>38.753849591254117</v>
      </c>
      <c r="U206" s="241">
        <f t="shared" si="27"/>
        <v>79.290914460233537</v>
      </c>
      <c r="V206" s="233">
        <f t="shared" si="16"/>
        <v>4.574842890624998</v>
      </c>
    </row>
    <row r="207" spans="1:22">
      <c r="A207" s="84" t="s">
        <v>612</v>
      </c>
      <c r="B207" s="84">
        <f>B195+1</f>
        <v>8</v>
      </c>
      <c r="C207" s="47"/>
      <c r="D207" s="47" t="str">
        <f t="shared" si="17"/>
        <v>03/2034</v>
      </c>
      <c r="E207" s="93">
        <f t="shared" si="20"/>
        <v>67.589555195718347</v>
      </c>
      <c r="F207" s="105">
        <f>(E207*'Realized Pricing'!$L$2)/M207</f>
        <v>79.290914460233537</v>
      </c>
      <c r="G207" s="47"/>
      <c r="H207" s="47"/>
      <c r="I207" s="47"/>
      <c r="J207" s="228">
        <f t="shared" si="22"/>
        <v>3.7147724271874978</v>
      </c>
      <c r="K207" s="236">
        <f>((J207-'Realized Pricing'!$B$32)/M207)*'Realized Pricing'!$L$7</f>
        <v>3.7631948129189245</v>
      </c>
      <c r="L207" s="107"/>
      <c r="M207" s="227">
        <v>0.8</v>
      </c>
      <c r="N207" s="47"/>
      <c r="O207" s="47"/>
      <c r="P207" s="232">
        <f t="shared" si="23"/>
        <v>14.191726384478844</v>
      </c>
      <c r="Q207" s="232">
        <f t="shared" si="24"/>
        <v>40.322524171773225</v>
      </c>
      <c r="R207" s="232">
        <f t="shared" si="25"/>
        <v>67.016485704483429</v>
      </c>
      <c r="S207" s="47"/>
      <c r="T207" s="234">
        <f>SUMPRODUCT($P$4:$R$4,((P207:R207)/M207))*'Realized Pricing'!$L$12</f>
        <v>39.335157335122922</v>
      </c>
      <c r="U207" s="241">
        <f t="shared" si="27"/>
        <v>79.290914460233537</v>
      </c>
      <c r="V207" s="233">
        <f t="shared" si="16"/>
        <v>4.6434655339843722</v>
      </c>
    </row>
    <row r="208" spans="1:22">
      <c r="A208" s="84" t="s">
        <v>613</v>
      </c>
      <c r="B208" s="84">
        <f t="shared" ref="B208:B216" si="28">B196+1</f>
        <v>8</v>
      </c>
      <c r="C208" s="47"/>
      <c r="D208" s="47" t="str">
        <f t="shared" si="17"/>
        <v>04/2034</v>
      </c>
      <c r="E208" s="93">
        <f t="shared" si="20"/>
        <v>67.589555195718347</v>
      </c>
      <c r="F208" s="105">
        <f>(E208*'Realized Pricing'!$L$2)/M208</f>
        <v>79.290914460233537</v>
      </c>
      <c r="G208" s="47"/>
      <c r="H208" s="47"/>
      <c r="I208" s="47"/>
      <c r="J208" s="228">
        <f t="shared" si="22"/>
        <v>3.7147724271874978</v>
      </c>
      <c r="K208" s="236">
        <f>((J208-'Realized Pricing'!$B$32)/M208)*'Realized Pricing'!$L$7</f>
        <v>3.7631948129189245</v>
      </c>
      <c r="L208" s="107"/>
      <c r="M208" s="227">
        <v>0.8</v>
      </c>
      <c r="N208" s="47"/>
      <c r="O208" s="47"/>
      <c r="P208" s="232">
        <f t="shared" si="23"/>
        <v>14.191726384478844</v>
      </c>
      <c r="Q208" s="232">
        <f t="shared" si="24"/>
        <v>40.322524171773225</v>
      </c>
      <c r="R208" s="232">
        <f t="shared" si="25"/>
        <v>67.016485704483429</v>
      </c>
      <c r="S208" s="47"/>
      <c r="T208" s="234">
        <f>SUMPRODUCT($P$4:$R$4,((P208:R208)/M208))*'Realized Pricing'!$L$12</f>
        <v>39.335157335122922</v>
      </c>
      <c r="U208" s="241">
        <f t="shared" si="27"/>
        <v>79.290914460233537</v>
      </c>
      <c r="V208" s="233">
        <f t="shared" si="16"/>
        <v>4.6434655339843722</v>
      </c>
    </row>
    <row r="209" spans="1:22">
      <c r="A209" s="84" t="s">
        <v>614</v>
      </c>
      <c r="B209" s="84">
        <f t="shared" si="28"/>
        <v>8</v>
      </c>
      <c r="C209" s="47"/>
      <c r="D209" s="47" t="str">
        <f t="shared" si="17"/>
        <v>05/2034</v>
      </c>
      <c r="E209" s="93">
        <f t="shared" si="20"/>
        <v>67.589555195718347</v>
      </c>
      <c r="F209" s="105">
        <f>(E209*'Realized Pricing'!$L$2)/M209</f>
        <v>79.290914460233537</v>
      </c>
      <c r="G209" s="47"/>
      <c r="H209" s="47"/>
      <c r="I209" s="47"/>
      <c r="J209" s="228">
        <f t="shared" si="22"/>
        <v>3.7147724271874978</v>
      </c>
      <c r="K209" s="236">
        <f>((J209-'Realized Pricing'!$B$32)/M209)*'Realized Pricing'!$L$7</f>
        <v>3.7631948129189245</v>
      </c>
      <c r="L209" s="107"/>
      <c r="M209" s="227">
        <v>0.8</v>
      </c>
      <c r="N209" s="47"/>
      <c r="O209" s="47"/>
      <c r="P209" s="232">
        <f t="shared" si="23"/>
        <v>14.191726384478844</v>
      </c>
      <c r="Q209" s="232">
        <f t="shared" si="24"/>
        <v>40.322524171773225</v>
      </c>
      <c r="R209" s="232">
        <f t="shared" si="25"/>
        <v>67.016485704483429</v>
      </c>
      <c r="S209" s="47"/>
      <c r="T209" s="234">
        <f>SUMPRODUCT($P$4:$R$4,((P209:R209)/M209))*'Realized Pricing'!$L$12</f>
        <v>39.335157335122922</v>
      </c>
      <c r="U209" s="241">
        <f t="shared" si="27"/>
        <v>79.290914460233537</v>
      </c>
      <c r="V209" s="233">
        <f t="shared" si="16"/>
        <v>4.6434655339843722</v>
      </c>
    </row>
    <row r="210" spans="1:22">
      <c r="A210" s="84" t="s">
        <v>615</v>
      </c>
      <c r="B210" s="84">
        <f t="shared" si="28"/>
        <v>8</v>
      </c>
      <c r="C210" s="47"/>
      <c r="D210" s="47" t="str">
        <f t="shared" si="17"/>
        <v>06/2034</v>
      </c>
      <c r="E210" s="93">
        <f t="shared" si="20"/>
        <v>67.589555195718347</v>
      </c>
      <c r="F210" s="105">
        <f>(E210*'Realized Pricing'!$L$2)/M210</f>
        <v>79.290914460233537</v>
      </c>
      <c r="G210" s="47"/>
      <c r="H210" s="47"/>
      <c r="I210" s="47"/>
      <c r="J210" s="228">
        <f t="shared" si="22"/>
        <v>3.7147724271874978</v>
      </c>
      <c r="K210" s="236">
        <f>((J210-'Realized Pricing'!$B$32)/M210)*'Realized Pricing'!$L$7</f>
        <v>3.7631948129189245</v>
      </c>
      <c r="L210" s="107"/>
      <c r="M210" s="227">
        <v>0.8</v>
      </c>
      <c r="N210" s="47"/>
      <c r="O210" s="47"/>
      <c r="P210" s="232">
        <f t="shared" si="23"/>
        <v>14.191726384478844</v>
      </c>
      <c r="Q210" s="232">
        <f t="shared" si="24"/>
        <v>40.322524171773225</v>
      </c>
      <c r="R210" s="232">
        <f t="shared" si="25"/>
        <v>67.016485704483429</v>
      </c>
      <c r="S210" s="47"/>
      <c r="T210" s="234">
        <f>SUMPRODUCT($P$4:$R$4,((P210:R210)/M210))*'Realized Pricing'!$L$12</f>
        <v>39.335157335122922</v>
      </c>
      <c r="U210" s="241">
        <f t="shared" si="27"/>
        <v>79.290914460233537</v>
      </c>
      <c r="V210" s="233">
        <f t="shared" si="16"/>
        <v>4.6434655339843722</v>
      </c>
    </row>
    <row r="211" spans="1:22">
      <c r="A211" s="84" t="s">
        <v>616</v>
      </c>
      <c r="B211" s="84">
        <f t="shared" si="28"/>
        <v>8</v>
      </c>
      <c r="C211" s="47"/>
      <c r="D211" s="47" t="str">
        <f t="shared" si="17"/>
        <v>07/2034</v>
      </c>
      <c r="E211" s="93">
        <f t="shared" si="20"/>
        <v>67.589555195718347</v>
      </c>
      <c r="F211" s="105">
        <f>(E211*'Realized Pricing'!$L$2)/M211</f>
        <v>79.290914460233537</v>
      </c>
      <c r="G211" s="47"/>
      <c r="H211" s="47"/>
      <c r="I211" s="47"/>
      <c r="J211" s="228">
        <f t="shared" si="22"/>
        <v>3.7147724271874978</v>
      </c>
      <c r="K211" s="236">
        <f>((J211-'Realized Pricing'!$B$32)/M211)*'Realized Pricing'!$L$7</f>
        <v>3.7631948129189245</v>
      </c>
      <c r="L211" s="107"/>
      <c r="M211" s="227">
        <v>0.8</v>
      </c>
      <c r="N211" s="47"/>
      <c r="O211" s="47"/>
      <c r="P211" s="232">
        <f t="shared" si="23"/>
        <v>14.191726384478844</v>
      </c>
      <c r="Q211" s="232">
        <f t="shared" si="24"/>
        <v>40.322524171773225</v>
      </c>
      <c r="R211" s="232">
        <f t="shared" si="25"/>
        <v>67.016485704483429</v>
      </c>
      <c r="S211" s="47"/>
      <c r="T211" s="234">
        <f>SUMPRODUCT($P$4:$R$4,((P211:R211)/M211))*'Realized Pricing'!$L$12</f>
        <v>39.335157335122922</v>
      </c>
      <c r="U211" s="241">
        <f t="shared" si="27"/>
        <v>79.290914460233537</v>
      </c>
      <c r="V211" s="233">
        <f t="shared" si="16"/>
        <v>4.6434655339843722</v>
      </c>
    </row>
    <row r="212" spans="1:22">
      <c r="A212" s="84" t="s">
        <v>617</v>
      </c>
      <c r="B212" s="84">
        <f t="shared" si="28"/>
        <v>8</v>
      </c>
      <c r="C212" s="47"/>
      <c r="D212" s="47" t="str">
        <f t="shared" si="17"/>
        <v>08/2034</v>
      </c>
      <c r="E212" s="93">
        <f t="shared" si="20"/>
        <v>67.589555195718347</v>
      </c>
      <c r="F212" s="105">
        <f>(E212*'Realized Pricing'!$L$2)/M212</f>
        <v>79.290914460233537</v>
      </c>
      <c r="G212" s="47"/>
      <c r="H212" s="47"/>
      <c r="I212" s="47"/>
      <c r="J212" s="228">
        <f t="shared" si="22"/>
        <v>3.7147724271874978</v>
      </c>
      <c r="K212" s="236">
        <f>((J212-'Realized Pricing'!$B$32)/M212)*'Realized Pricing'!$L$7</f>
        <v>3.7631948129189245</v>
      </c>
      <c r="L212" s="107"/>
      <c r="M212" s="227">
        <v>0.8</v>
      </c>
      <c r="N212" s="47"/>
      <c r="O212" s="47"/>
      <c r="P212" s="232">
        <f t="shared" si="23"/>
        <v>14.191726384478844</v>
      </c>
      <c r="Q212" s="232">
        <f t="shared" si="24"/>
        <v>40.322524171773225</v>
      </c>
      <c r="R212" s="232">
        <f t="shared" si="25"/>
        <v>67.016485704483429</v>
      </c>
      <c r="S212" s="47"/>
      <c r="T212" s="234">
        <f>SUMPRODUCT($P$4:$R$4,((P212:R212)/M212))*'Realized Pricing'!$L$12</f>
        <v>39.335157335122922</v>
      </c>
      <c r="U212" s="241">
        <f t="shared" si="27"/>
        <v>79.290914460233537</v>
      </c>
      <c r="V212" s="233">
        <f t="shared" si="16"/>
        <v>4.6434655339843722</v>
      </c>
    </row>
    <row r="213" spans="1:22">
      <c r="A213" s="84" t="s">
        <v>618</v>
      </c>
      <c r="B213" s="84">
        <f t="shared" si="28"/>
        <v>8</v>
      </c>
      <c r="C213" s="47"/>
      <c r="D213" s="47" t="str">
        <f t="shared" si="17"/>
        <v>09/2034</v>
      </c>
      <c r="E213" s="93">
        <f t="shared" si="20"/>
        <v>67.589555195718347</v>
      </c>
      <c r="F213" s="105">
        <f>(E213*'Realized Pricing'!$L$2)/M213</f>
        <v>79.290914460233537</v>
      </c>
      <c r="G213" s="47"/>
      <c r="H213" s="47"/>
      <c r="I213" s="47"/>
      <c r="J213" s="228">
        <f t="shared" si="22"/>
        <v>3.7147724271874978</v>
      </c>
      <c r="K213" s="236">
        <f>((J213-'Realized Pricing'!$B$32)/M213)*'Realized Pricing'!$L$7</f>
        <v>3.7631948129189245</v>
      </c>
      <c r="L213" s="107"/>
      <c r="M213" s="227">
        <v>0.8</v>
      </c>
      <c r="N213" s="47"/>
      <c r="O213" s="47"/>
      <c r="P213" s="232">
        <f t="shared" si="23"/>
        <v>14.191726384478844</v>
      </c>
      <c r="Q213" s="232">
        <f t="shared" si="24"/>
        <v>40.322524171773225</v>
      </c>
      <c r="R213" s="232">
        <f t="shared" si="25"/>
        <v>67.016485704483429</v>
      </c>
      <c r="S213" s="47"/>
      <c r="T213" s="234">
        <f>SUMPRODUCT($P$4:$R$4,((P213:R213)/M213))*'Realized Pricing'!$L$12</f>
        <v>39.335157335122922</v>
      </c>
      <c r="U213" s="241">
        <f t="shared" si="27"/>
        <v>79.290914460233537</v>
      </c>
      <c r="V213" s="233">
        <f t="shared" si="16"/>
        <v>4.6434655339843722</v>
      </c>
    </row>
    <row r="214" spans="1:22">
      <c r="A214" s="84" t="s">
        <v>619</v>
      </c>
      <c r="B214" s="84">
        <f t="shared" si="28"/>
        <v>8</v>
      </c>
      <c r="C214" s="47"/>
      <c r="D214" s="47" t="str">
        <f t="shared" si="17"/>
        <v>10/2034</v>
      </c>
      <c r="E214" s="93">
        <f t="shared" si="20"/>
        <v>67.589555195718347</v>
      </c>
      <c r="F214" s="105">
        <f>(E214*'Realized Pricing'!$L$2)/M214</f>
        <v>79.290914460233537</v>
      </c>
      <c r="G214" s="47"/>
      <c r="H214" s="47"/>
      <c r="I214" s="47"/>
      <c r="J214" s="228">
        <f t="shared" si="22"/>
        <v>3.7147724271874978</v>
      </c>
      <c r="K214" s="236">
        <f>((J214-'Realized Pricing'!$B$32)/M214)*'Realized Pricing'!$L$7</f>
        <v>3.7631948129189245</v>
      </c>
      <c r="L214" s="107"/>
      <c r="M214" s="227">
        <v>0.8</v>
      </c>
      <c r="N214" s="47"/>
      <c r="O214" s="47"/>
      <c r="P214" s="232">
        <f t="shared" si="23"/>
        <v>14.191726384478844</v>
      </c>
      <c r="Q214" s="232">
        <f t="shared" si="24"/>
        <v>40.322524171773225</v>
      </c>
      <c r="R214" s="232">
        <f t="shared" si="25"/>
        <v>67.016485704483429</v>
      </c>
      <c r="S214" s="47"/>
      <c r="T214" s="234">
        <f>SUMPRODUCT($P$4:$R$4,((P214:R214)/M214))*'Realized Pricing'!$L$12</f>
        <v>39.335157335122922</v>
      </c>
      <c r="U214" s="241">
        <f t="shared" si="27"/>
        <v>79.290914460233537</v>
      </c>
      <c r="V214" s="233">
        <f t="shared" si="16"/>
        <v>4.6434655339843722</v>
      </c>
    </row>
    <row r="215" spans="1:22">
      <c r="A215" s="84" t="s">
        <v>589</v>
      </c>
      <c r="B215" s="84">
        <f t="shared" si="28"/>
        <v>8</v>
      </c>
      <c r="C215" s="47"/>
      <c r="D215" s="47" t="str">
        <f t="shared" si="17"/>
        <v>11/2034</v>
      </c>
      <c r="E215" s="93">
        <f t="shared" si="20"/>
        <v>67.589555195718347</v>
      </c>
      <c r="F215" s="105">
        <f>(E215*'Realized Pricing'!$L$2)/M215</f>
        <v>79.290914460233537</v>
      </c>
      <c r="G215" s="47"/>
      <c r="H215" s="47"/>
      <c r="I215" s="47"/>
      <c r="J215" s="228">
        <f t="shared" si="22"/>
        <v>3.7147724271874978</v>
      </c>
      <c r="K215" s="236">
        <f>((J215-'Realized Pricing'!$B$32)/M215)*'Realized Pricing'!$L$7</f>
        <v>3.7631948129189245</v>
      </c>
      <c r="L215" s="107"/>
      <c r="M215" s="227">
        <v>0.8</v>
      </c>
      <c r="N215" s="47"/>
      <c r="O215" s="47"/>
      <c r="P215" s="232">
        <f t="shared" si="23"/>
        <v>14.191726384478844</v>
      </c>
      <c r="Q215" s="232">
        <f t="shared" si="24"/>
        <v>40.322524171773225</v>
      </c>
      <c r="R215" s="232">
        <f t="shared" si="25"/>
        <v>67.016485704483429</v>
      </c>
      <c r="S215" s="47"/>
      <c r="T215" s="234">
        <f>SUMPRODUCT($P$4:$R$4,((P215:R215)/M215))*'Realized Pricing'!$L$12</f>
        <v>39.335157335122922</v>
      </c>
      <c r="U215" s="241">
        <f t="shared" si="27"/>
        <v>79.290914460233537</v>
      </c>
      <c r="V215" s="233">
        <f t="shared" si="16"/>
        <v>4.6434655339843722</v>
      </c>
    </row>
    <row r="216" spans="1:22">
      <c r="A216" s="84" t="s">
        <v>610</v>
      </c>
      <c r="B216" s="84">
        <f t="shared" si="28"/>
        <v>8</v>
      </c>
      <c r="C216" s="47"/>
      <c r="D216" s="47" t="str">
        <f t="shared" si="17"/>
        <v>01/2034</v>
      </c>
      <c r="E216" s="93">
        <f t="shared" si="20"/>
        <v>67.589555195718347</v>
      </c>
      <c r="F216" s="105">
        <f>(E216*'Realized Pricing'!$L$2)/M216</f>
        <v>79.290914460233537</v>
      </c>
      <c r="G216" s="47"/>
      <c r="H216" s="47"/>
      <c r="I216" s="47"/>
      <c r="J216" s="228">
        <f t="shared" si="22"/>
        <v>3.7147724271874978</v>
      </c>
      <c r="K216" s="236">
        <f>((J216-'Realized Pricing'!$B$32)/M216)*'Realized Pricing'!$L$7</f>
        <v>3.7631948129189245</v>
      </c>
      <c r="L216" s="107"/>
      <c r="M216" s="227">
        <v>0.8</v>
      </c>
      <c r="N216" s="47"/>
      <c r="O216" s="47"/>
      <c r="P216" s="232">
        <f t="shared" si="23"/>
        <v>14.191726384478844</v>
      </c>
      <c r="Q216" s="232">
        <f t="shared" si="24"/>
        <v>40.322524171773225</v>
      </c>
      <c r="R216" s="232">
        <f t="shared" si="25"/>
        <v>67.016485704483429</v>
      </c>
      <c r="S216" s="47"/>
      <c r="T216" s="234">
        <f>SUMPRODUCT($P$4:$R$4,((P216:R216)/M216))*'Realized Pricing'!$L$12</f>
        <v>39.335157335122922</v>
      </c>
      <c r="U216" s="241">
        <f t="shared" si="27"/>
        <v>79.290914460233537</v>
      </c>
      <c r="V216" s="233">
        <f t="shared" si="16"/>
        <v>4.6434655339843722</v>
      </c>
    </row>
    <row r="217" spans="1:22">
      <c r="A217" s="84" t="s">
        <v>611</v>
      </c>
      <c r="B217" s="84">
        <f>B205+1</f>
        <v>8</v>
      </c>
      <c r="C217" s="47"/>
      <c r="D217" s="47" t="str">
        <f t="shared" si="17"/>
        <v>02/2034</v>
      </c>
      <c r="E217" s="93">
        <f t="shared" si="20"/>
        <v>67.589555195718347</v>
      </c>
      <c r="F217" s="105">
        <f>(E217*'Realized Pricing'!$L$2)/M217</f>
        <v>79.290914460233537</v>
      </c>
      <c r="G217" s="47"/>
      <c r="H217" s="47"/>
      <c r="I217" s="47"/>
      <c r="J217" s="228">
        <f t="shared" si="22"/>
        <v>3.7147724271874978</v>
      </c>
      <c r="K217" s="236">
        <f>((J217-'Realized Pricing'!$B$32)/M217)*'Realized Pricing'!$L$7</f>
        <v>3.7631948129189245</v>
      </c>
      <c r="L217" s="107"/>
      <c r="M217" s="227">
        <v>0.8</v>
      </c>
      <c r="N217" s="47"/>
      <c r="O217" s="47"/>
      <c r="P217" s="232">
        <f t="shared" si="23"/>
        <v>14.191726384478844</v>
      </c>
      <c r="Q217" s="232">
        <f t="shared" si="24"/>
        <v>40.322524171773225</v>
      </c>
      <c r="R217" s="232">
        <f t="shared" si="25"/>
        <v>67.016485704483429</v>
      </c>
      <c r="S217" s="47"/>
      <c r="T217" s="234">
        <f>SUMPRODUCT($P$4:$R$4,((P217:R217)/M217))*'Realized Pricing'!$L$12</f>
        <v>39.335157335122922</v>
      </c>
      <c r="U217" s="241">
        <f t="shared" si="27"/>
        <v>79.290914460233537</v>
      </c>
      <c r="V217" s="233">
        <f t="shared" si="16"/>
        <v>4.6434655339843722</v>
      </c>
    </row>
    <row r="218" spans="1:22">
      <c r="A218" s="84" t="s">
        <v>612</v>
      </c>
      <c r="B218" s="84">
        <f>B207+1</f>
        <v>9</v>
      </c>
      <c r="C218" s="47"/>
      <c r="D218" s="47" t="str">
        <f t="shared" si="17"/>
        <v>03/2034</v>
      </c>
      <c r="E218" s="93">
        <f t="shared" si="20"/>
        <v>68.603398523654107</v>
      </c>
      <c r="F218" s="105">
        <f>(E218*'Realized Pricing'!$L$2)/M218</f>
        <v>80.480278177137023</v>
      </c>
      <c r="G218" s="47"/>
      <c r="H218" s="47"/>
      <c r="I218" s="47"/>
      <c r="J218" s="228">
        <f t="shared" si="22"/>
        <v>3.77049401359531</v>
      </c>
      <c r="K218" s="236">
        <f>((J218-'Realized Pricing'!$B$32)/M218)*'Realized Pricing'!$L$7</f>
        <v>3.8378237060523817</v>
      </c>
      <c r="L218" s="107"/>
      <c r="M218" s="227">
        <v>0.8</v>
      </c>
      <c r="N218" s="47"/>
      <c r="O218" s="47"/>
      <c r="P218" s="232">
        <f t="shared" si="23"/>
        <v>14.404602280246026</v>
      </c>
      <c r="Q218" s="232">
        <f t="shared" si="24"/>
        <v>40.927362034349812</v>
      </c>
      <c r="R218" s="232">
        <f t="shared" si="25"/>
        <v>68.02173299005068</v>
      </c>
      <c r="S218" s="47"/>
      <c r="T218" s="234">
        <f>SUMPRODUCT($P$4:$R$4,((P218:R218)/M218))*'Realized Pricing'!$L$12</f>
        <v>39.925184695149767</v>
      </c>
      <c r="U218" s="241">
        <f t="shared" si="27"/>
        <v>80.480278177137023</v>
      </c>
      <c r="V218" s="233">
        <f t="shared" si="16"/>
        <v>4.7131175169941368</v>
      </c>
    </row>
    <row r="219" spans="1:22">
      <c r="A219" s="84" t="s">
        <v>613</v>
      </c>
      <c r="B219" s="84">
        <f t="shared" ref="B219:B229" si="29">B208+1</f>
        <v>9</v>
      </c>
      <c r="C219" s="47"/>
      <c r="D219" s="47" t="str">
        <f t="shared" si="17"/>
        <v>04/2034</v>
      </c>
      <c r="E219" s="93">
        <f t="shared" si="20"/>
        <v>68.603398523654107</v>
      </c>
      <c r="F219" s="105">
        <f>(E219*'Realized Pricing'!$L$2)/M219</f>
        <v>80.480278177137023</v>
      </c>
      <c r="G219" s="47"/>
      <c r="H219" s="47"/>
      <c r="I219" s="47"/>
      <c r="J219" s="228">
        <f t="shared" si="22"/>
        <v>3.77049401359531</v>
      </c>
      <c r="K219" s="236">
        <f>((J219-'Realized Pricing'!$B$32)/M219)*'Realized Pricing'!$L$7</f>
        <v>3.8378237060523817</v>
      </c>
      <c r="L219" s="107"/>
      <c r="M219" s="227">
        <v>0.8</v>
      </c>
      <c r="N219" s="47"/>
      <c r="O219" s="47"/>
      <c r="P219" s="232">
        <f t="shared" si="23"/>
        <v>14.404602280246026</v>
      </c>
      <c r="Q219" s="232">
        <f t="shared" si="24"/>
        <v>40.927362034349812</v>
      </c>
      <c r="R219" s="232">
        <f t="shared" si="25"/>
        <v>68.02173299005068</v>
      </c>
      <c r="S219" s="47"/>
      <c r="T219" s="234">
        <f>SUMPRODUCT($P$4:$R$4,((P219:R219)/M219))*'Realized Pricing'!$L$12</f>
        <v>39.925184695149767</v>
      </c>
      <c r="U219" s="241">
        <f t="shared" si="27"/>
        <v>80.480278177137023</v>
      </c>
      <c r="V219" s="233">
        <f t="shared" si="16"/>
        <v>4.7131175169941368</v>
      </c>
    </row>
    <row r="220" spans="1:22">
      <c r="A220" s="84" t="s">
        <v>614</v>
      </c>
      <c r="B220" s="84">
        <f t="shared" si="29"/>
        <v>9</v>
      </c>
      <c r="C220" s="47"/>
      <c r="D220" s="47" t="str">
        <f t="shared" si="17"/>
        <v>05/2034</v>
      </c>
      <c r="E220" s="93">
        <f t="shared" si="20"/>
        <v>68.603398523654107</v>
      </c>
      <c r="F220" s="105">
        <f>(E220*'Realized Pricing'!$L$2)/M220</f>
        <v>80.480278177137023</v>
      </c>
      <c r="G220" s="47"/>
      <c r="H220" s="47"/>
      <c r="I220" s="47"/>
      <c r="J220" s="228">
        <f t="shared" si="22"/>
        <v>3.77049401359531</v>
      </c>
      <c r="K220" s="236">
        <f>((J220-'Realized Pricing'!$B$32)/M220)*'Realized Pricing'!$L$7</f>
        <v>3.8378237060523817</v>
      </c>
      <c r="L220" s="107"/>
      <c r="M220" s="227">
        <v>0.8</v>
      </c>
      <c r="N220" s="47"/>
      <c r="O220" s="47"/>
      <c r="P220" s="232">
        <f t="shared" si="23"/>
        <v>14.404602280246026</v>
      </c>
      <c r="Q220" s="232">
        <f t="shared" si="24"/>
        <v>40.927362034349812</v>
      </c>
      <c r="R220" s="232">
        <f t="shared" si="25"/>
        <v>68.02173299005068</v>
      </c>
      <c r="S220" s="47"/>
      <c r="T220" s="234">
        <f>SUMPRODUCT($P$4:$R$4,((P220:R220)/M220))*'Realized Pricing'!$L$12</f>
        <v>39.925184695149767</v>
      </c>
      <c r="U220" s="241">
        <f t="shared" si="27"/>
        <v>80.480278177137023</v>
      </c>
      <c r="V220" s="233">
        <f t="shared" si="16"/>
        <v>4.7131175169941368</v>
      </c>
    </row>
    <row r="221" spans="1:22">
      <c r="A221" s="84" t="s">
        <v>615</v>
      </c>
      <c r="B221" s="84">
        <f t="shared" si="29"/>
        <v>9</v>
      </c>
      <c r="C221" s="47"/>
      <c r="D221" s="47" t="str">
        <f t="shared" si="17"/>
        <v>06/2034</v>
      </c>
      <c r="E221" s="93">
        <f t="shared" si="20"/>
        <v>68.603398523654107</v>
      </c>
      <c r="F221" s="105">
        <f>(E221*'Realized Pricing'!$L$2)/M221</f>
        <v>80.480278177137023</v>
      </c>
      <c r="G221" s="47"/>
      <c r="H221" s="47"/>
      <c r="I221" s="47"/>
      <c r="J221" s="228">
        <f t="shared" si="22"/>
        <v>3.77049401359531</v>
      </c>
      <c r="K221" s="236">
        <f>((J221-'Realized Pricing'!$B$32)/M221)*'Realized Pricing'!$L$7</f>
        <v>3.8378237060523817</v>
      </c>
      <c r="L221" s="107"/>
      <c r="M221" s="227">
        <v>0.8</v>
      </c>
      <c r="N221" s="47"/>
      <c r="O221" s="47"/>
      <c r="P221" s="232">
        <f t="shared" si="23"/>
        <v>14.404602280246026</v>
      </c>
      <c r="Q221" s="232">
        <f t="shared" si="24"/>
        <v>40.927362034349812</v>
      </c>
      <c r="R221" s="232">
        <f t="shared" si="25"/>
        <v>68.02173299005068</v>
      </c>
      <c r="S221" s="47"/>
      <c r="T221" s="234">
        <f>SUMPRODUCT($P$4:$R$4,((P221:R221)/M221))*'Realized Pricing'!$L$12</f>
        <v>39.925184695149767</v>
      </c>
      <c r="U221" s="241">
        <f t="shared" si="27"/>
        <v>80.480278177137023</v>
      </c>
      <c r="V221" s="233">
        <f t="shared" si="16"/>
        <v>4.7131175169941368</v>
      </c>
    </row>
    <row r="222" spans="1:22">
      <c r="A222" s="84" t="s">
        <v>616</v>
      </c>
      <c r="B222" s="84">
        <f t="shared" si="29"/>
        <v>9</v>
      </c>
      <c r="C222" s="47"/>
      <c r="D222" s="47" t="str">
        <f t="shared" si="17"/>
        <v>07/2034</v>
      </c>
      <c r="E222" s="93">
        <f t="shared" si="20"/>
        <v>68.603398523654107</v>
      </c>
      <c r="F222" s="105">
        <f>(E222*'Realized Pricing'!$L$2)/M222</f>
        <v>80.480278177137023</v>
      </c>
      <c r="G222" s="47"/>
      <c r="H222" s="47"/>
      <c r="I222" s="47"/>
      <c r="J222" s="228">
        <f t="shared" si="22"/>
        <v>3.77049401359531</v>
      </c>
      <c r="K222" s="236">
        <f>((J222-'Realized Pricing'!$B$32)/M222)*'Realized Pricing'!$L$7</f>
        <v>3.8378237060523817</v>
      </c>
      <c r="L222" s="107"/>
      <c r="M222" s="227">
        <v>0.8</v>
      </c>
      <c r="N222" s="47"/>
      <c r="O222" s="47"/>
      <c r="P222" s="232">
        <f t="shared" si="23"/>
        <v>14.404602280246026</v>
      </c>
      <c r="Q222" s="232">
        <f t="shared" si="24"/>
        <v>40.927362034349812</v>
      </c>
      <c r="R222" s="232">
        <f t="shared" si="25"/>
        <v>68.02173299005068</v>
      </c>
      <c r="S222" s="47"/>
      <c r="T222" s="234">
        <f>SUMPRODUCT($P$4:$R$4,((P222:R222)/M222))*'Realized Pricing'!$L$12</f>
        <v>39.925184695149767</v>
      </c>
      <c r="U222" s="241">
        <f t="shared" si="27"/>
        <v>80.480278177137023</v>
      </c>
      <c r="V222" s="233">
        <f t="shared" si="16"/>
        <v>4.7131175169941368</v>
      </c>
    </row>
    <row r="223" spans="1:22">
      <c r="A223" s="84" t="s">
        <v>617</v>
      </c>
      <c r="B223" s="84">
        <f t="shared" si="29"/>
        <v>9</v>
      </c>
      <c r="C223" s="47"/>
      <c r="D223" s="47" t="str">
        <f t="shared" si="17"/>
        <v>08/2034</v>
      </c>
      <c r="E223" s="93">
        <f t="shared" si="20"/>
        <v>68.603398523654107</v>
      </c>
      <c r="F223" s="105">
        <f>(E223*'Realized Pricing'!$L$2)/M223</f>
        <v>80.480278177137023</v>
      </c>
      <c r="G223" s="47"/>
      <c r="H223" s="47"/>
      <c r="I223" s="47"/>
      <c r="J223" s="228">
        <f t="shared" ref="J223:J254" si="30">$Y$3*(1+$AB$3)^B177</f>
        <v>3.77049401359531</v>
      </c>
      <c r="K223" s="236">
        <f>((J223-'Realized Pricing'!$B$32)/M223)*'Realized Pricing'!$L$7</f>
        <v>3.8378237060523817</v>
      </c>
      <c r="L223" s="107"/>
      <c r="M223" s="227">
        <v>0.8</v>
      </c>
      <c r="N223" s="47"/>
      <c r="O223" s="47"/>
      <c r="P223" s="232">
        <f t="shared" ref="P223:P254" si="31">$P$158 * (1+$AB$3)^B177</f>
        <v>14.404602280246026</v>
      </c>
      <c r="Q223" s="232">
        <f t="shared" ref="Q223:Q254" si="32">$Q$158 * (1+$AB$3)^B177</f>
        <v>40.927362034349812</v>
      </c>
      <c r="R223" s="232">
        <f t="shared" ref="R223:R254" si="33">$R$158 * (1+$AB$3)^B177</f>
        <v>68.02173299005068</v>
      </c>
      <c r="S223" s="47"/>
      <c r="T223" s="234">
        <f>SUMPRODUCT($P$4:$R$4,((P223:R223)/M223))*'Realized Pricing'!$L$12</f>
        <v>39.925184695149767</v>
      </c>
      <c r="U223" s="241">
        <f t="shared" si="27"/>
        <v>80.480278177137023</v>
      </c>
      <c r="V223" s="233">
        <f t="shared" ref="V223:V286" si="34">J223/M223</f>
        <v>4.7131175169941368</v>
      </c>
    </row>
    <row r="224" spans="1:22">
      <c r="A224" s="84" t="s">
        <v>618</v>
      </c>
      <c r="B224" s="84">
        <f t="shared" si="29"/>
        <v>9</v>
      </c>
      <c r="C224" s="47"/>
      <c r="D224" s="47" t="str">
        <f t="shared" ref="D224:D287" si="35">A224</f>
        <v>09/2034</v>
      </c>
      <c r="E224" s="93">
        <f t="shared" si="20"/>
        <v>68.603398523654107</v>
      </c>
      <c r="F224" s="105">
        <f>(E224*'Realized Pricing'!$L$2)/M224</f>
        <v>80.480278177137023</v>
      </c>
      <c r="G224" s="47"/>
      <c r="H224" s="47"/>
      <c r="I224" s="47"/>
      <c r="J224" s="228">
        <f t="shared" si="30"/>
        <v>3.77049401359531</v>
      </c>
      <c r="K224" s="236">
        <f>((J224-'Realized Pricing'!$B$32)/M224)*'Realized Pricing'!$L$7</f>
        <v>3.8378237060523817</v>
      </c>
      <c r="L224" s="107"/>
      <c r="M224" s="227">
        <v>0.8</v>
      </c>
      <c r="N224" s="47"/>
      <c r="O224" s="47"/>
      <c r="P224" s="232">
        <f t="shared" si="31"/>
        <v>14.404602280246026</v>
      </c>
      <c r="Q224" s="232">
        <f t="shared" si="32"/>
        <v>40.927362034349812</v>
      </c>
      <c r="R224" s="232">
        <f t="shared" si="33"/>
        <v>68.02173299005068</v>
      </c>
      <c r="S224" s="47"/>
      <c r="T224" s="234">
        <f>SUMPRODUCT($P$4:$R$4,((P224:R224)/M224))*'Realized Pricing'!$L$12</f>
        <v>39.925184695149767</v>
      </c>
      <c r="U224" s="241">
        <f t="shared" si="27"/>
        <v>80.480278177137023</v>
      </c>
      <c r="V224" s="233">
        <f t="shared" si="34"/>
        <v>4.7131175169941368</v>
      </c>
    </row>
    <row r="225" spans="1:22">
      <c r="A225" s="84" t="s">
        <v>619</v>
      </c>
      <c r="B225" s="84">
        <f t="shared" si="29"/>
        <v>9</v>
      </c>
      <c r="C225" s="47"/>
      <c r="D225" s="47" t="str">
        <f t="shared" si="35"/>
        <v>10/2034</v>
      </c>
      <c r="E225" s="93">
        <f t="shared" si="20"/>
        <v>68.603398523654107</v>
      </c>
      <c r="F225" s="105">
        <f>(E225*'Realized Pricing'!$L$2)/M225</f>
        <v>80.480278177137023</v>
      </c>
      <c r="G225" s="47"/>
      <c r="H225" s="47"/>
      <c r="I225" s="47"/>
      <c r="J225" s="228">
        <f t="shared" si="30"/>
        <v>3.77049401359531</v>
      </c>
      <c r="K225" s="236">
        <f>((J225-'Realized Pricing'!$B$32)/M225)*'Realized Pricing'!$L$7</f>
        <v>3.8378237060523817</v>
      </c>
      <c r="L225" s="107"/>
      <c r="M225" s="227">
        <v>0.8</v>
      </c>
      <c r="N225" s="47"/>
      <c r="O225" s="47"/>
      <c r="P225" s="232">
        <f t="shared" si="31"/>
        <v>14.404602280246026</v>
      </c>
      <c r="Q225" s="232">
        <f t="shared" si="32"/>
        <v>40.927362034349812</v>
      </c>
      <c r="R225" s="232">
        <f t="shared" si="33"/>
        <v>68.02173299005068</v>
      </c>
      <c r="S225" s="47"/>
      <c r="T225" s="234">
        <f>SUMPRODUCT($P$4:$R$4,((P225:R225)/M225))*'Realized Pricing'!$L$12</f>
        <v>39.925184695149767</v>
      </c>
      <c r="U225" s="241">
        <f t="shared" si="27"/>
        <v>80.480278177137023</v>
      </c>
      <c r="V225" s="233">
        <f t="shared" si="34"/>
        <v>4.7131175169941368</v>
      </c>
    </row>
    <row r="226" spans="1:22">
      <c r="A226" s="84" t="s">
        <v>589</v>
      </c>
      <c r="B226" s="84">
        <f t="shared" si="29"/>
        <v>9</v>
      </c>
      <c r="C226" s="47"/>
      <c r="D226" s="47" t="str">
        <f t="shared" si="35"/>
        <v>11/2034</v>
      </c>
      <c r="E226" s="93">
        <f t="shared" si="20"/>
        <v>68.603398523654107</v>
      </c>
      <c r="F226" s="105">
        <f>(E226*'Realized Pricing'!$L$2)/M226</f>
        <v>80.480278177137023</v>
      </c>
      <c r="G226" s="47"/>
      <c r="H226" s="47"/>
      <c r="I226" s="47"/>
      <c r="J226" s="228">
        <f t="shared" si="30"/>
        <v>3.77049401359531</v>
      </c>
      <c r="K226" s="236">
        <f>((J226-'Realized Pricing'!$B$32)/M226)*'Realized Pricing'!$L$7</f>
        <v>3.8378237060523817</v>
      </c>
      <c r="L226" s="107"/>
      <c r="M226" s="227">
        <v>0.8</v>
      </c>
      <c r="N226" s="47"/>
      <c r="O226" s="47"/>
      <c r="P226" s="232">
        <f t="shared" si="31"/>
        <v>14.404602280246026</v>
      </c>
      <c r="Q226" s="232">
        <f t="shared" si="32"/>
        <v>40.927362034349812</v>
      </c>
      <c r="R226" s="232">
        <f t="shared" si="33"/>
        <v>68.02173299005068</v>
      </c>
      <c r="S226" s="47"/>
      <c r="T226" s="234">
        <f>SUMPRODUCT($P$4:$R$4,((P226:R226)/M226))*'Realized Pricing'!$L$12</f>
        <v>39.925184695149767</v>
      </c>
      <c r="U226" s="241">
        <f t="shared" si="27"/>
        <v>80.480278177137023</v>
      </c>
      <c r="V226" s="233">
        <f t="shared" si="34"/>
        <v>4.7131175169941368</v>
      </c>
    </row>
    <row r="227" spans="1:22">
      <c r="A227" s="84" t="s">
        <v>582</v>
      </c>
      <c r="B227" s="84">
        <f t="shared" si="29"/>
        <v>9</v>
      </c>
      <c r="C227" s="47"/>
      <c r="D227" s="47" t="str">
        <f t="shared" si="35"/>
        <v>12/2034</v>
      </c>
      <c r="E227" s="93">
        <f t="shared" si="20"/>
        <v>68.603398523654107</v>
      </c>
      <c r="F227" s="105">
        <f>(E227*'Realized Pricing'!$L$2)/M227</f>
        <v>80.480278177137023</v>
      </c>
      <c r="G227" s="47"/>
      <c r="H227" s="47"/>
      <c r="I227" s="47"/>
      <c r="J227" s="228">
        <f t="shared" si="30"/>
        <v>3.77049401359531</v>
      </c>
      <c r="K227" s="236">
        <f>((J227-'Realized Pricing'!$B$32)/M227)*'Realized Pricing'!$L$7</f>
        <v>3.8378237060523817</v>
      </c>
      <c r="L227" s="107"/>
      <c r="M227" s="227">
        <v>0.8</v>
      </c>
      <c r="N227" s="47"/>
      <c r="O227" s="47"/>
      <c r="P227" s="232">
        <f t="shared" si="31"/>
        <v>14.404602280246026</v>
      </c>
      <c r="Q227" s="232">
        <f t="shared" si="32"/>
        <v>40.927362034349812</v>
      </c>
      <c r="R227" s="232">
        <f t="shared" si="33"/>
        <v>68.02173299005068</v>
      </c>
      <c r="S227" s="47"/>
      <c r="T227" s="234">
        <f>SUMPRODUCT($P$4:$R$4,((P227:R227)/M227))*'Realized Pricing'!$L$12</f>
        <v>39.925184695149767</v>
      </c>
      <c r="U227" s="241">
        <f t="shared" si="27"/>
        <v>80.480278177137023</v>
      </c>
      <c r="V227" s="233">
        <f t="shared" si="34"/>
        <v>4.7131175169941368</v>
      </c>
    </row>
    <row r="228" spans="1:22">
      <c r="A228" s="84" t="s">
        <v>620</v>
      </c>
      <c r="B228" s="84">
        <f t="shared" si="29"/>
        <v>9</v>
      </c>
      <c r="C228" s="47"/>
      <c r="D228" s="47" t="str">
        <f t="shared" si="35"/>
        <v>01/2035</v>
      </c>
      <c r="E228" s="93">
        <f t="shared" si="20"/>
        <v>68.603398523654107</v>
      </c>
      <c r="F228" s="105">
        <f>(E228*'Realized Pricing'!$L$2)/M228</f>
        <v>80.480278177137023</v>
      </c>
      <c r="G228" s="47"/>
      <c r="H228" s="47"/>
      <c r="I228" s="47"/>
      <c r="J228" s="228">
        <f t="shared" si="30"/>
        <v>3.77049401359531</v>
      </c>
      <c r="K228" s="236">
        <f>((J228-'Realized Pricing'!$B$32)/M228)*'Realized Pricing'!$L$7</f>
        <v>3.8378237060523817</v>
      </c>
      <c r="L228" s="107"/>
      <c r="M228" s="227">
        <v>0.8</v>
      </c>
      <c r="N228" s="47"/>
      <c r="O228" s="47"/>
      <c r="P228" s="232">
        <f t="shared" si="31"/>
        <v>14.404602280246026</v>
      </c>
      <c r="Q228" s="232">
        <f t="shared" si="32"/>
        <v>40.927362034349812</v>
      </c>
      <c r="R228" s="232">
        <f t="shared" si="33"/>
        <v>68.02173299005068</v>
      </c>
      <c r="S228" s="47"/>
      <c r="T228" s="234">
        <f>SUMPRODUCT($P$4:$R$4,((P228:R228)/M228))*'Realized Pricing'!$L$12</f>
        <v>39.925184695149767</v>
      </c>
      <c r="U228" s="241">
        <f t="shared" si="27"/>
        <v>80.480278177137023</v>
      </c>
      <c r="V228" s="233">
        <f t="shared" si="34"/>
        <v>4.7131175169941368</v>
      </c>
    </row>
    <row r="229" spans="1:22">
      <c r="A229" s="84" t="s">
        <v>621</v>
      </c>
      <c r="B229" s="84">
        <f t="shared" si="29"/>
        <v>10</v>
      </c>
      <c r="C229" s="47"/>
      <c r="D229" s="47" t="str">
        <f t="shared" si="35"/>
        <v>02/2035</v>
      </c>
      <c r="E229" s="93">
        <f t="shared" si="20"/>
        <v>69.632449501508916</v>
      </c>
      <c r="F229" s="105">
        <f>(E229*'Realized Pricing'!$L$2)/M229</f>
        <v>81.687482349794067</v>
      </c>
      <c r="G229" s="47"/>
      <c r="H229" s="47"/>
      <c r="I229" s="47"/>
      <c r="J229" s="228">
        <f t="shared" si="30"/>
        <v>3.8270514237992388</v>
      </c>
      <c r="K229" s="236">
        <f>((J229-'Realized Pricing'!$B$32)/M229)*'Realized Pricing'!$L$7</f>
        <v>3.9135720325828398</v>
      </c>
      <c r="L229" s="107"/>
      <c r="M229" s="227">
        <v>0.8</v>
      </c>
      <c r="N229" s="47"/>
      <c r="O229" s="47"/>
      <c r="P229" s="232">
        <f t="shared" si="31"/>
        <v>14.620671314449714</v>
      </c>
      <c r="Q229" s="232">
        <f t="shared" si="32"/>
        <v>41.541272464865052</v>
      </c>
      <c r="R229" s="232">
        <f t="shared" si="33"/>
        <v>69.042058984901416</v>
      </c>
      <c r="S229" s="47"/>
      <c r="T229" s="234">
        <f>SUMPRODUCT($P$4:$R$4,((P229:R229)/M229))*'Realized Pricing'!$L$12</f>
        <v>40.524062465577003</v>
      </c>
      <c r="U229" s="241">
        <f t="shared" si="27"/>
        <v>81.687482349794067</v>
      </c>
      <c r="V229" s="233">
        <f t="shared" si="34"/>
        <v>4.7838142797490484</v>
      </c>
    </row>
    <row r="230" spans="1:22">
      <c r="A230" s="84" t="s">
        <v>622</v>
      </c>
      <c r="B230" s="84">
        <f>B218+1</f>
        <v>10</v>
      </c>
      <c r="C230" s="47"/>
      <c r="D230" s="47" t="str">
        <f t="shared" si="35"/>
        <v>03/2035</v>
      </c>
      <c r="E230" s="93">
        <f t="shared" si="20"/>
        <v>69.632449501508916</v>
      </c>
      <c r="F230" s="105">
        <f>(E230*'Realized Pricing'!$L$2)/M230</f>
        <v>81.687482349794067</v>
      </c>
      <c r="G230" s="47"/>
      <c r="H230" s="47"/>
      <c r="I230" s="47"/>
      <c r="J230" s="228">
        <f t="shared" si="30"/>
        <v>3.8270514237992388</v>
      </c>
      <c r="K230" s="236">
        <f>((J230-'Realized Pricing'!$B$32)/M230)*'Realized Pricing'!$L$7</f>
        <v>3.9135720325828398</v>
      </c>
      <c r="L230" s="107"/>
      <c r="M230" s="227">
        <v>0.8</v>
      </c>
      <c r="N230" s="47"/>
      <c r="O230" s="47"/>
      <c r="P230" s="232">
        <f t="shared" si="31"/>
        <v>14.620671314449714</v>
      </c>
      <c r="Q230" s="232">
        <f t="shared" si="32"/>
        <v>41.541272464865052</v>
      </c>
      <c r="R230" s="232">
        <f t="shared" si="33"/>
        <v>69.042058984901416</v>
      </c>
      <c r="S230" s="47"/>
      <c r="T230" s="234">
        <f>SUMPRODUCT($P$4:$R$4,((P230:R230)/M230))*'Realized Pricing'!$L$12</f>
        <v>40.524062465577003</v>
      </c>
      <c r="U230" s="241">
        <f t="shared" si="27"/>
        <v>81.687482349794067</v>
      </c>
      <c r="V230" s="233">
        <f t="shared" si="34"/>
        <v>4.7838142797490484</v>
      </c>
    </row>
    <row r="231" spans="1:22">
      <c r="A231" s="84" t="s">
        <v>623</v>
      </c>
      <c r="B231" s="84">
        <f t="shared" ref="B231:B294" si="36">B219+1</f>
        <v>10</v>
      </c>
      <c r="C231" s="47"/>
      <c r="D231" s="47" t="str">
        <f t="shared" si="35"/>
        <v>04/2035</v>
      </c>
      <c r="E231" s="93">
        <f t="shared" si="20"/>
        <v>69.632449501508916</v>
      </c>
      <c r="F231" s="105">
        <f>(E231*'Realized Pricing'!$L$2)/M231</f>
        <v>81.687482349794067</v>
      </c>
      <c r="G231" s="47"/>
      <c r="H231" s="47"/>
      <c r="I231" s="47"/>
      <c r="J231" s="228">
        <f t="shared" si="30"/>
        <v>3.8270514237992388</v>
      </c>
      <c r="K231" s="236">
        <f>((J231-'Realized Pricing'!$B$32)/M231)*'Realized Pricing'!$L$7</f>
        <v>3.9135720325828398</v>
      </c>
      <c r="L231" s="107"/>
      <c r="M231" s="227">
        <v>0.8</v>
      </c>
      <c r="N231" s="47"/>
      <c r="O231" s="47"/>
      <c r="P231" s="232">
        <f t="shared" si="31"/>
        <v>14.620671314449714</v>
      </c>
      <c r="Q231" s="232">
        <f t="shared" si="32"/>
        <v>41.541272464865052</v>
      </c>
      <c r="R231" s="232">
        <f t="shared" si="33"/>
        <v>69.042058984901416</v>
      </c>
      <c r="S231" s="47"/>
      <c r="T231" s="234">
        <f>SUMPRODUCT($P$4:$R$4,((P231:R231)/M231))*'Realized Pricing'!$L$12</f>
        <v>40.524062465577003</v>
      </c>
      <c r="U231" s="241">
        <f t="shared" si="27"/>
        <v>81.687482349794067</v>
      </c>
      <c r="V231" s="233">
        <f t="shared" si="34"/>
        <v>4.7838142797490484</v>
      </c>
    </row>
    <row r="232" spans="1:22">
      <c r="A232" s="84" t="s">
        <v>624</v>
      </c>
      <c r="B232" s="84">
        <f t="shared" si="36"/>
        <v>10</v>
      </c>
      <c r="C232" s="47"/>
      <c r="D232" s="47" t="str">
        <f t="shared" si="35"/>
        <v>05/2035</v>
      </c>
      <c r="E232" s="93">
        <f t="shared" si="20"/>
        <v>69.632449501508916</v>
      </c>
      <c r="F232" s="105">
        <f>(E232*'Realized Pricing'!$L$2)/M232</f>
        <v>81.687482349794067</v>
      </c>
      <c r="G232" s="47"/>
      <c r="H232" s="47"/>
      <c r="I232" s="47"/>
      <c r="J232" s="228">
        <f t="shared" si="30"/>
        <v>3.8270514237992388</v>
      </c>
      <c r="K232" s="236">
        <f>((J232-'Realized Pricing'!$B$32)/M232)*'Realized Pricing'!$L$7</f>
        <v>3.9135720325828398</v>
      </c>
      <c r="L232" s="107"/>
      <c r="M232" s="227">
        <v>0.8</v>
      </c>
      <c r="N232" s="47"/>
      <c r="O232" s="47"/>
      <c r="P232" s="232">
        <f t="shared" si="31"/>
        <v>14.620671314449714</v>
      </c>
      <c r="Q232" s="232">
        <f t="shared" si="32"/>
        <v>41.541272464865052</v>
      </c>
      <c r="R232" s="232">
        <f t="shared" si="33"/>
        <v>69.042058984901416</v>
      </c>
      <c r="S232" s="47"/>
      <c r="T232" s="234">
        <f>SUMPRODUCT($P$4:$R$4,((P232:R232)/M232))*'Realized Pricing'!$L$12</f>
        <v>40.524062465577003</v>
      </c>
      <c r="U232" s="241">
        <f t="shared" si="27"/>
        <v>81.687482349794067</v>
      </c>
      <c r="V232" s="233">
        <f t="shared" si="34"/>
        <v>4.7838142797490484</v>
      </c>
    </row>
    <row r="233" spans="1:22">
      <c r="A233" s="84" t="s">
        <v>625</v>
      </c>
      <c r="B233" s="84">
        <f t="shared" si="36"/>
        <v>10</v>
      </c>
      <c r="C233" s="47"/>
      <c r="D233" s="47" t="str">
        <f t="shared" si="35"/>
        <v>06/2035</v>
      </c>
      <c r="E233" s="93">
        <f t="shared" si="20"/>
        <v>69.632449501508916</v>
      </c>
      <c r="F233" s="105">
        <f>(E233*'Realized Pricing'!$L$2)/M233</f>
        <v>81.687482349794067</v>
      </c>
      <c r="G233" s="47"/>
      <c r="H233" s="47"/>
      <c r="I233" s="47"/>
      <c r="J233" s="228">
        <f t="shared" si="30"/>
        <v>3.8270514237992388</v>
      </c>
      <c r="K233" s="236">
        <f>((J233-'Realized Pricing'!$B$32)/M233)*'Realized Pricing'!$L$7</f>
        <v>3.9135720325828398</v>
      </c>
      <c r="L233" s="107"/>
      <c r="M233" s="227">
        <v>0.8</v>
      </c>
      <c r="N233" s="47"/>
      <c r="O233" s="47"/>
      <c r="P233" s="232">
        <f t="shared" si="31"/>
        <v>14.620671314449714</v>
      </c>
      <c r="Q233" s="232">
        <f t="shared" si="32"/>
        <v>41.541272464865052</v>
      </c>
      <c r="R233" s="232">
        <f t="shared" si="33"/>
        <v>69.042058984901416</v>
      </c>
      <c r="S233" s="47"/>
      <c r="T233" s="234">
        <f>SUMPRODUCT($P$4:$R$4,((P233:R233)/M233))*'Realized Pricing'!$L$12</f>
        <v>40.524062465577003</v>
      </c>
      <c r="U233" s="241">
        <f t="shared" si="27"/>
        <v>81.687482349794067</v>
      </c>
      <c r="V233" s="233">
        <f t="shared" si="34"/>
        <v>4.7838142797490484</v>
      </c>
    </row>
    <row r="234" spans="1:22">
      <c r="A234" s="84" t="s">
        <v>626</v>
      </c>
      <c r="B234" s="84">
        <f t="shared" si="36"/>
        <v>10</v>
      </c>
      <c r="C234" s="47"/>
      <c r="D234" s="47" t="str">
        <f t="shared" si="35"/>
        <v>07/2035</v>
      </c>
      <c r="E234" s="93">
        <f t="shared" si="20"/>
        <v>69.632449501508916</v>
      </c>
      <c r="F234" s="105">
        <f>(E234*'Realized Pricing'!$L$2)/M234</f>
        <v>81.687482349794067</v>
      </c>
      <c r="G234" s="47"/>
      <c r="H234" s="47"/>
      <c r="I234" s="47"/>
      <c r="J234" s="228">
        <f t="shared" si="30"/>
        <v>3.8270514237992388</v>
      </c>
      <c r="K234" s="236">
        <f>((J234-'Realized Pricing'!$B$32)/M234)*'Realized Pricing'!$L$7</f>
        <v>3.9135720325828398</v>
      </c>
      <c r="L234" s="107"/>
      <c r="M234" s="227">
        <v>0.8</v>
      </c>
      <c r="N234" s="47"/>
      <c r="O234" s="47"/>
      <c r="P234" s="232">
        <f t="shared" si="31"/>
        <v>14.620671314449714</v>
      </c>
      <c r="Q234" s="232">
        <f t="shared" si="32"/>
        <v>41.541272464865052</v>
      </c>
      <c r="R234" s="232">
        <f t="shared" si="33"/>
        <v>69.042058984901416</v>
      </c>
      <c r="S234" s="47"/>
      <c r="T234" s="234">
        <f>SUMPRODUCT($P$4:$R$4,((P234:R234)/M234))*'Realized Pricing'!$L$12</f>
        <v>40.524062465577003</v>
      </c>
      <c r="U234" s="241">
        <f t="shared" si="27"/>
        <v>81.687482349794067</v>
      </c>
      <c r="V234" s="233">
        <f t="shared" si="34"/>
        <v>4.7838142797490484</v>
      </c>
    </row>
    <row r="235" spans="1:22">
      <c r="A235" s="84" t="s">
        <v>627</v>
      </c>
      <c r="B235" s="84">
        <f t="shared" si="36"/>
        <v>10</v>
      </c>
      <c r="C235" s="47"/>
      <c r="D235" s="47" t="str">
        <f t="shared" si="35"/>
        <v>08/2035</v>
      </c>
      <c r="E235" s="93">
        <f t="shared" si="20"/>
        <v>69.632449501508916</v>
      </c>
      <c r="F235" s="105">
        <f>(E235*'Realized Pricing'!$L$2)/M235</f>
        <v>81.687482349794067</v>
      </c>
      <c r="G235" s="47"/>
      <c r="H235" s="47"/>
      <c r="I235" s="47"/>
      <c r="J235" s="228">
        <f t="shared" si="30"/>
        <v>3.8270514237992388</v>
      </c>
      <c r="K235" s="236">
        <f>((J235-'Realized Pricing'!$B$32)/M235)*'Realized Pricing'!$L$7</f>
        <v>3.9135720325828398</v>
      </c>
      <c r="L235" s="107"/>
      <c r="M235" s="227">
        <v>0.8</v>
      </c>
      <c r="N235" s="47"/>
      <c r="O235" s="47"/>
      <c r="P235" s="232">
        <f t="shared" si="31"/>
        <v>14.620671314449714</v>
      </c>
      <c r="Q235" s="232">
        <f t="shared" si="32"/>
        <v>41.541272464865052</v>
      </c>
      <c r="R235" s="232">
        <f t="shared" si="33"/>
        <v>69.042058984901416</v>
      </c>
      <c r="S235" s="47"/>
      <c r="T235" s="234">
        <f>SUMPRODUCT($P$4:$R$4,((P235:R235)/M235))*'Realized Pricing'!$L$12</f>
        <v>40.524062465577003</v>
      </c>
      <c r="U235" s="241">
        <f t="shared" si="27"/>
        <v>81.687482349794067</v>
      </c>
      <c r="V235" s="233">
        <f t="shared" si="34"/>
        <v>4.7838142797490484</v>
      </c>
    </row>
    <row r="236" spans="1:22">
      <c r="A236" s="84" t="s">
        <v>628</v>
      </c>
      <c r="B236" s="84">
        <f t="shared" si="36"/>
        <v>10</v>
      </c>
      <c r="C236" s="47"/>
      <c r="D236" s="47" t="str">
        <f t="shared" si="35"/>
        <v>09/2035</v>
      </c>
      <c r="E236" s="93">
        <f t="shared" si="20"/>
        <v>69.632449501508916</v>
      </c>
      <c r="F236" s="105">
        <f>(E236*'Realized Pricing'!$L$2)/M236</f>
        <v>81.687482349794067</v>
      </c>
      <c r="G236" s="47"/>
      <c r="H236" s="47"/>
      <c r="I236" s="47"/>
      <c r="J236" s="228">
        <f t="shared" si="30"/>
        <v>3.8270514237992388</v>
      </c>
      <c r="K236" s="236">
        <f>((J236-'Realized Pricing'!$B$32)/M236)*'Realized Pricing'!$L$7</f>
        <v>3.9135720325828398</v>
      </c>
      <c r="L236" s="107"/>
      <c r="M236" s="227">
        <v>0.8</v>
      </c>
      <c r="N236" s="47"/>
      <c r="O236" s="47"/>
      <c r="P236" s="232">
        <f t="shared" si="31"/>
        <v>14.620671314449714</v>
      </c>
      <c r="Q236" s="232">
        <f t="shared" si="32"/>
        <v>41.541272464865052</v>
      </c>
      <c r="R236" s="232">
        <f t="shared" si="33"/>
        <v>69.042058984901416</v>
      </c>
      <c r="S236" s="47"/>
      <c r="T236" s="234">
        <f>SUMPRODUCT($P$4:$R$4,((P236:R236)/M236))*'Realized Pricing'!$L$12</f>
        <v>40.524062465577003</v>
      </c>
      <c r="U236" s="241">
        <f t="shared" si="27"/>
        <v>81.687482349794067</v>
      </c>
      <c r="V236" s="233">
        <f t="shared" si="34"/>
        <v>4.7838142797490484</v>
      </c>
    </row>
    <row r="237" spans="1:22">
      <c r="A237" s="84" t="s">
        <v>629</v>
      </c>
      <c r="B237" s="84">
        <f t="shared" si="36"/>
        <v>10</v>
      </c>
      <c r="C237" s="47"/>
      <c r="D237" s="47" t="str">
        <f t="shared" si="35"/>
        <v>10/2035</v>
      </c>
      <c r="E237" s="93">
        <f t="shared" si="20"/>
        <v>69.632449501508916</v>
      </c>
      <c r="F237" s="105">
        <f>(E237*'Realized Pricing'!$L$2)/M237</f>
        <v>81.687482349794067</v>
      </c>
      <c r="G237" s="47"/>
      <c r="H237" s="47"/>
      <c r="I237" s="47"/>
      <c r="J237" s="228">
        <f t="shared" si="30"/>
        <v>3.8270514237992388</v>
      </c>
      <c r="K237" s="236">
        <f>((J237-'Realized Pricing'!$B$32)/M237)*'Realized Pricing'!$L$7</f>
        <v>3.9135720325828398</v>
      </c>
      <c r="L237" s="107"/>
      <c r="M237" s="227">
        <v>0.8</v>
      </c>
      <c r="N237" s="47"/>
      <c r="O237" s="47"/>
      <c r="P237" s="232">
        <f t="shared" si="31"/>
        <v>14.620671314449714</v>
      </c>
      <c r="Q237" s="232">
        <f t="shared" si="32"/>
        <v>41.541272464865052</v>
      </c>
      <c r="R237" s="232">
        <f t="shared" si="33"/>
        <v>69.042058984901416</v>
      </c>
      <c r="S237" s="47"/>
      <c r="T237" s="234">
        <f>SUMPRODUCT($P$4:$R$4,((P237:R237)/M237))*'Realized Pricing'!$L$12</f>
        <v>40.524062465577003</v>
      </c>
      <c r="U237" s="241">
        <f t="shared" si="27"/>
        <v>81.687482349794067</v>
      </c>
      <c r="V237" s="233">
        <f t="shared" si="34"/>
        <v>4.7838142797490484</v>
      </c>
    </row>
    <row r="238" spans="1:22">
      <c r="A238" s="84" t="s">
        <v>630</v>
      </c>
      <c r="B238" s="84">
        <f t="shared" si="36"/>
        <v>10</v>
      </c>
      <c r="C238" s="47"/>
      <c r="D238" s="47" t="str">
        <f t="shared" si="35"/>
        <v>11/2035</v>
      </c>
      <c r="E238" s="93">
        <f t="shared" si="20"/>
        <v>69.632449501508916</v>
      </c>
      <c r="F238" s="105">
        <f>(E238*'Realized Pricing'!$L$2)/M238</f>
        <v>81.687482349794067</v>
      </c>
      <c r="G238" s="47"/>
      <c r="H238" s="47"/>
      <c r="I238" s="47"/>
      <c r="J238" s="228">
        <f t="shared" si="30"/>
        <v>3.8270514237992388</v>
      </c>
      <c r="K238" s="236">
        <f>((J238-'Realized Pricing'!$B$32)/M238)*'Realized Pricing'!$L$7</f>
        <v>3.9135720325828398</v>
      </c>
      <c r="L238" s="107"/>
      <c r="M238" s="227">
        <v>0.8</v>
      </c>
      <c r="N238" s="47"/>
      <c r="O238" s="47"/>
      <c r="P238" s="232">
        <f t="shared" si="31"/>
        <v>14.620671314449714</v>
      </c>
      <c r="Q238" s="232">
        <f t="shared" si="32"/>
        <v>41.541272464865052</v>
      </c>
      <c r="R238" s="232">
        <f t="shared" si="33"/>
        <v>69.042058984901416</v>
      </c>
      <c r="S238" s="47"/>
      <c r="T238" s="234">
        <f>SUMPRODUCT($P$4:$R$4,((P238:R238)/M238))*'Realized Pricing'!$L$12</f>
        <v>40.524062465577003</v>
      </c>
      <c r="U238" s="241">
        <f t="shared" si="27"/>
        <v>81.687482349794067</v>
      </c>
      <c r="V238" s="233">
        <f t="shared" si="34"/>
        <v>4.7838142797490484</v>
      </c>
    </row>
    <row r="239" spans="1:22">
      <c r="A239" s="84" t="s">
        <v>620</v>
      </c>
      <c r="B239" s="84">
        <f t="shared" si="36"/>
        <v>10</v>
      </c>
      <c r="C239" s="47"/>
      <c r="D239" s="47" t="str">
        <f t="shared" si="35"/>
        <v>01/2035</v>
      </c>
      <c r="E239" s="93">
        <f t="shared" si="20"/>
        <v>69.632449501508916</v>
      </c>
      <c r="F239" s="105">
        <f>(E239*'Realized Pricing'!$L$2)/M239</f>
        <v>81.687482349794067</v>
      </c>
      <c r="G239" s="47"/>
      <c r="H239" s="47"/>
      <c r="I239" s="47"/>
      <c r="J239" s="228">
        <f t="shared" si="30"/>
        <v>3.8270514237992388</v>
      </c>
      <c r="K239" s="236">
        <f>((J239-'Realized Pricing'!$B$32)/M239)*'Realized Pricing'!$L$7</f>
        <v>3.9135720325828398</v>
      </c>
      <c r="L239" s="107"/>
      <c r="M239" s="227">
        <v>0.8</v>
      </c>
      <c r="N239" s="47"/>
      <c r="O239" s="47"/>
      <c r="P239" s="232">
        <f t="shared" si="31"/>
        <v>14.620671314449714</v>
      </c>
      <c r="Q239" s="232">
        <f t="shared" si="32"/>
        <v>41.541272464865052</v>
      </c>
      <c r="R239" s="232">
        <f t="shared" si="33"/>
        <v>69.042058984901416</v>
      </c>
      <c r="S239" s="47"/>
      <c r="T239" s="234">
        <f>SUMPRODUCT($P$4:$R$4,((P239:R239)/M239))*'Realized Pricing'!$L$12</f>
        <v>40.524062465577003</v>
      </c>
      <c r="U239" s="241">
        <f t="shared" si="27"/>
        <v>81.687482349794067</v>
      </c>
      <c r="V239" s="233">
        <f t="shared" si="34"/>
        <v>4.7838142797490484</v>
      </c>
    </row>
    <row r="240" spans="1:22">
      <c r="A240" s="84" t="s">
        <v>621</v>
      </c>
      <c r="B240" s="84">
        <f t="shared" si="36"/>
        <v>10</v>
      </c>
      <c r="C240" s="47"/>
      <c r="D240" s="47" t="str">
        <f t="shared" si="35"/>
        <v>02/2035</v>
      </c>
      <c r="E240" s="93">
        <f t="shared" si="20"/>
        <v>69.632449501508916</v>
      </c>
      <c r="F240" s="105">
        <f>(E240*'Realized Pricing'!$L$2)/M240</f>
        <v>81.687482349794067</v>
      </c>
      <c r="G240" s="47"/>
      <c r="H240" s="47"/>
      <c r="I240" s="47"/>
      <c r="J240" s="228">
        <f t="shared" si="30"/>
        <v>3.8270514237992388</v>
      </c>
      <c r="K240" s="236">
        <f>((J240-'Realized Pricing'!$B$32)/M240)*'Realized Pricing'!$L$7</f>
        <v>3.9135720325828398</v>
      </c>
      <c r="L240" s="107"/>
      <c r="M240" s="227">
        <v>0.8</v>
      </c>
      <c r="N240" s="47"/>
      <c r="O240" s="47"/>
      <c r="P240" s="232">
        <f t="shared" si="31"/>
        <v>14.620671314449714</v>
      </c>
      <c r="Q240" s="232">
        <f t="shared" si="32"/>
        <v>41.541272464865052</v>
      </c>
      <c r="R240" s="232">
        <f t="shared" si="33"/>
        <v>69.042058984901416</v>
      </c>
      <c r="S240" s="47"/>
      <c r="T240" s="234">
        <f>SUMPRODUCT($P$4:$R$4,((P240:R240)/M240))*'Realized Pricing'!$L$12</f>
        <v>40.524062465577003</v>
      </c>
      <c r="U240" s="241">
        <f t="shared" si="27"/>
        <v>81.687482349794067</v>
      </c>
      <c r="V240" s="233">
        <f t="shared" si="34"/>
        <v>4.7838142797490484</v>
      </c>
    </row>
    <row r="241" spans="1:22">
      <c r="A241" s="84" t="s">
        <v>622</v>
      </c>
      <c r="B241" s="84">
        <f t="shared" si="36"/>
        <v>11</v>
      </c>
      <c r="C241" s="47"/>
      <c r="D241" s="47" t="str">
        <f t="shared" si="35"/>
        <v>03/2035</v>
      </c>
      <c r="E241" s="93">
        <f t="shared" ref="E241:E304" si="37">$X$3*(1+$AB$3)^B241</f>
        <v>70.676936244031538</v>
      </c>
      <c r="F241" s="105">
        <f>(E241*'Realized Pricing'!$L$2)/M241</f>
        <v>82.91279458504097</v>
      </c>
      <c r="G241" s="47"/>
      <c r="H241" s="47"/>
      <c r="I241" s="47"/>
      <c r="J241" s="228">
        <f t="shared" si="30"/>
        <v>3.884457195156227</v>
      </c>
      <c r="K241" s="236">
        <f>((J241-'Realized Pricing'!$B$32)/M241)*'Realized Pricing'!$L$7</f>
        <v>3.9904565840112558</v>
      </c>
      <c r="L241" s="107"/>
      <c r="M241" s="227">
        <v>0.8</v>
      </c>
      <c r="N241" s="47"/>
      <c r="O241" s="47"/>
      <c r="P241" s="232">
        <f t="shared" si="31"/>
        <v>14.839981384166457</v>
      </c>
      <c r="Q241" s="232">
        <f t="shared" si="32"/>
        <v>42.164391551838023</v>
      </c>
      <c r="R241" s="232">
        <f t="shared" si="33"/>
        <v>70.077689869674927</v>
      </c>
      <c r="S241" s="47"/>
      <c r="T241" s="234">
        <f>SUMPRODUCT($P$4:$R$4,((P241:R241)/M241))*'Realized Pricing'!$L$12</f>
        <v>41.131923402560645</v>
      </c>
      <c r="U241" s="241">
        <f t="shared" si="27"/>
        <v>82.91279458504097</v>
      </c>
      <c r="V241" s="233">
        <f t="shared" si="34"/>
        <v>4.8555714939452832</v>
      </c>
    </row>
    <row r="242" spans="1:22">
      <c r="A242" s="84" t="s">
        <v>623</v>
      </c>
      <c r="B242" s="84">
        <f t="shared" si="36"/>
        <v>11</v>
      </c>
      <c r="C242" s="47"/>
      <c r="D242" s="47" t="str">
        <f t="shared" si="35"/>
        <v>04/2035</v>
      </c>
      <c r="E242" s="93">
        <f t="shared" si="37"/>
        <v>70.676936244031538</v>
      </c>
      <c r="F242" s="105">
        <f>(E242*'Realized Pricing'!$L$2)/M242</f>
        <v>82.91279458504097</v>
      </c>
      <c r="G242" s="47"/>
      <c r="H242" s="47"/>
      <c r="I242" s="47"/>
      <c r="J242" s="228">
        <f t="shared" si="30"/>
        <v>3.884457195156227</v>
      </c>
      <c r="K242" s="236">
        <f>((J242-'Realized Pricing'!$B$32)/M242)*'Realized Pricing'!$L$7</f>
        <v>3.9904565840112558</v>
      </c>
      <c r="L242" s="107"/>
      <c r="M242" s="227">
        <v>0.8</v>
      </c>
      <c r="N242" s="47"/>
      <c r="O242" s="47"/>
      <c r="P242" s="232">
        <f t="shared" si="31"/>
        <v>14.839981384166457</v>
      </c>
      <c r="Q242" s="232">
        <f t="shared" si="32"/>
        <v>42.164391551838023</v>
      </c>
      <c r="R242" s="232">
        <f t="shared" si="33"/>
        <v>70.077689869674927</v>
      </c>
      <c r="S242" s="47"/>
      <c r="T242" s="234">
        <f>SUMPRODUCT($P$4:$R$4,((P242:R242)/M242))*'Realized Pricing'!$L$12</f>
        <v>41.131923402560645</v>
      </c>
      <c r="U242" s="241">
        <f t="shared" si="27"/>
        <v>82.91279458504097</v>
      </c>
      <c r="V242" s="233">
        <f t="shared" si="34"/>
        <v>4.8555714939452832</v>
      </c>
    </row>
    <row r="243" spans="1:22">
      <c r="A243" s="84" t="s">
        <v>624</v>
      </c>
      <c r="B243" s="84">
        <f t="shared" si="36"/>
        <v>11</v>
      </c>
      <c r="C243" s="47"/>
      <c r="D243" s="47" t="str">
        <f t="shared" si="35"/>
        <v>05/2035</v>
      </c>
      <c r="E243" s="93">
        <f t="shared" si="37"/>
        <v>70.676936244031538</v>
      </c>
      <c r="F243" s="105">
        <f>(E243*'Realized Pricing'!$L$2)/M243</f>
        <v>82.91279458504097</v>
      </c>
      <c r="G243" s="47"/>
      <c r="H243" s="47"/>
      <c r="I243" s="47"/>
      <c r="J243" s="228">
        <f t="shared" si="30"/>
        <v>3.884457195156227</v>
      </c>
      <c r="K243" s="236">
        <f>((J243-'Realized Pricing'!$B$32)/M243)*'Realized Pricing'!$L$7</f>
        <v>3.9904565840112558</v>
      </c>
      <c r="L243" s="107"/>
      <c r="M243" s="227">
        <v>0.8</v>
      </c>
      <c r="N243" s="47"/>
      <c r="O243" s="47"/>
      <c r="P243" s="232">
        <f t="shared" si="31"/>
        <v>14.839981384166457</v>
      </c>
      <c r="Q243" s="232">
        <f t="shared" si="32"/>
        <v>42.164391551838023</v>
      </c>
      <c r="R243" s="232">
        <f t="shared" si="33"/>
        <v>70.077689869674927</v>
      </c>
      <c r="S243" s="47"/>
      <c r="T243" s="234">
        <f>SUMPRODUCT($P$4:$R$4,((P243:R243)/M243))*'Realized Pricing'!$L$12</f>
        <v>41.131923402560645</v>
      </c>
      <c r="U243" s="241">
        <f t="shared" si="27"/>
        <v>82.91279458504097</v>
      </c>
      <c r="V243" s="233">
        <f t="shared" si="34"/>
        <v>4.8555714939452832</v>
      </c>
    </row>
    <row r="244" spans="1:22">
      <c r="A244" s="84" t="s">
        <v>625</v>
      </c>
      <c r="B244" s="84">
        <f t="shared" si="36"/>
        <v>11</v>
      </c>
      <c r="C244" s="47"/>
      <c r="D244" s="47" t="str">
        <f t="shared" si="35"/>
        <v>06/2035</v>
      </c>
      <c r="E244" s="93">
        <f t="shared" si="37"/>
        <v>70.676936244031538</v>
      </c>
      <c r="F244" s="105">
        <f>(E244*'Realized Pricing'!$L$2)/M244</f>
        <v>82.91279458504097</v>
      </c>
      <c r="G244" s="47"/>
      <c r="H244" s="47"/>
      <c r="I244" s="47"/>
      <c r="J244" s="228">
        <f t="shared" si="30"/>
        <v>3.884457195156227</v>
      </c>
      <c r="K244" s="236">
        <f>((J244-'Realized Pricing'!$B$32)/M244)*'Realized Pricing'!$L$7</f>
        <v>3.9904565840112558</v>
      </c>
      <c r="L244" s="107"/>
      <c r="M244" s="227">
        <v>0.8</v>
      </c>
      <c r="N244" s="47"/>
      <c r="O244" s="47"/>
      <c r="P244" s="232">
        <f t="shared" si="31"/>
        <v>14.839981384166457</v>
      </c>
      <c r="Q244" s="232">
        <f t="shared" si="32"/>
        <v>42.164391551838023</v>
      </c>
      <c r="R244" s="232">
        <f t="shared" si="33"/>
        <v>70.077689869674927</v>
      </c>
      <c r="S244" s="47"/>
      <c r="T244" s="234">
        <f>SUMPRODUCT($P$4:$R$4,((P244:R244)/M244))*'Realized Pricing'!$L$12</f>
        <v>41.131923402560645</v>
      </c>
      <c r="U244" s="241">
        <f t="shared" si="27"/>
        <v>82.91279458504097</v>
      </c>
      <c r="V244" s="233">
        <f t="shared" si="34"/>
        <v>4.8555714939452832</v>
      </c>
    </row>
    <row r="245" spans="1:22">
      <c r="A245" s="84" t="s">
        <v>626</v>
      </c>
      <c r="B245" s="84">
        <f t="shared" si="36"/>
        <v>11</v>
      </c>
      <c r="C245" s="47"/>
      <c r="D245" s="47" t="str">
        <f t="shared" si="35"/>
        <v>07/2035</v>
      </c>
      <c r="E245" s="93">
        <f t="shared" si="37"/>
        <v>70.676936244031538</v>
      </c>
      <c r="F245" s="105">
        <f>(E245*'Realized Pricing'!$L$2)/M245</f>
        <v>82.91279458504097</v>
      </c>
      <c r="G245" s="47"/>
      <c r="H245" s="47"/>
      <c r="I245" s="47"/>
      <c r="J245" s="228">
        <f t="shared" si="30"/>
        <v>3.884457195156227</v>
      </c>
      <c r="K245" s="236">
        <f>((J245-'Realized Pricing'!$B$32)/M245)*'Realized Pricing'!$L$7</f>
        <v>3.9904565840112558</v>
      </c>
      <c r="L245" s="107"/>
      <c r="M245" s="227">
        <v>0.8</v>
      </c>
      <c r="N245" s="47"/>
      <c r="O245" s="47"/>
      <c r="P245" s="232">
        <f t="shared" si="31"/>
        <v>14.839981384166457</v>
      </c>
      <c r="Q245" s="232">
        <f t="shared" si="32"/>
        <v>42.164391551838023</v>
      </c>
      <c r="R245" s="232">
        <f t="shared" si="33"/>
        <v>70.077689869674927</v>
      </c>
      <c r="S245" s="47"/>
      <c r="T245" s="234">
        <f>SUMPRODUCT($P$4:$R$4,((P245:R245)/M245))*'Realized Pricing'!$L$12</f>
        <v>41.131923402560645</v>
      </c>
      <c r="U245" s="241">
        <f t="shared" si="27"/>
        <v>82.91279458504097</v>
      </c>
      <c r="V245" s="233">
        <f t="shared" si="34"/>
        <v>4.8555714939452832</v>
      </c>
    </row>
    <row r="246" spans="1:22">
      <c r="A246" s="84" t="s">
        <v>627</v>
      </c>
      <c r="B246" s="84">
        <f t="shared" si="36"/>
        <v>11</v>
      </c>
      <c r="C246" s="47"/>
      <c r="D246" s="47" t="str">
        <f t="shared" si="35"/>
        <v>08/2035</v>
      </c>
      <c r="E246" s="93">
        <f t="shared" si="37"/>
        <v>70.676936244031538</v>
      </c>
      <c r="F246" s="105">
        <f>(E246*'Realized Pricing'!$L$2)/M246</f>
        <v>82.91279458504097</v>
      </c>
      <c r="G246" s="47"/>
      <c r="H246" s="47"/>
      <c r="I246" s="47"/>
      <c r="J246" s="228">
        <f t="shared" si="30"/>
        <v>3.884457195156227</v>
      </c>
      <c r="K246" s="236">
        <f>((J246-'Realized Pricing'!$B$32)/M246)*'Realized Pricing'!$L$7</f>
        <v>3.9904565840112558</v>
      </c>
      <c r="L246" s="107"/>
      <c r="M246" s="227">
        <v>0.8</v>
      </c>
      <c r="N246" s="47"/>
      <c r="O246" s="47"/>
      <c r="P246" s="232">
        <f t="shared" si="31"/>
        <v>14.839981384166457</v>
      </c>
      <c r="Q246" s="232">
        <f t="shared" si="32"/>
        <v>42.164391551838023</v>
      </c>
      <c r="R246" s="232">
        <f t="shared" si="33"/>
        <v>70.077689869674927</v>
      </c>
      <c r="S246" s="47"/>
      <c r="T246" s="234">
        <f>SUMPRODUCT($P$4:$R$4,((P246:R246)/M246))*'Realized Pricing'!$L$12</f>
        <v>41.131923402560645</v>
      </c>
      <c r="U246" s="241">
        <f t="shared" si="27"/>
        <v>82.91279458504097</v>
      </c>
      <c r="V246" s="233">
        <f t="shared" si="34"/>
        <v>4.8555714939452832</v>
      </c>
    </row>
    <row r="247" spans="1:22">
      <c r="A247" s="84" t="s">
        <v>628</v>
      </c>
      <c r="B247" s="84">
        <f t="shared" si="36"/>
        <v>11</v>
      </c>
      <c r="C247" s="47"/>
      <c r="D247" s="47" t="str">
        <f t="shared" si="35"/>
        <v>09/2035</v>
      </c>
      <c r="E247" s="93">
        <f t="shared" si="37"/>
        <v>70.676936244031538</v>
      </c>
      <c r="F247" s="105">
        <f>(E247*'Realized Pricing'!$L$2)/M247</f>
        <v>82.91279458504097</v>
      </c>
      <c r="G247" s="47"/>
      <c r="H247" s="47"/>
      <c r="I247" s="47"/>
      <c r="J247" s="228">
        <f t="shared" si="30"/>
        <v>3.884457195156227</v>
      </c>
      <c r="K247" s="236">
        <f>((J247-'Realized Pricing'!$B$32)/M247)*'Realized Pricing'!$L$7</f>
        <v>3.9904565840112558</v>
      </c>
      <c r="L247" s="107"/>
      <c r="M247" s="227">
        <v>0.8</v>
      </c>
      <c r="N247" s="47"/>
      <c r="O247" s="47"/>
      <c r="P247" s="232">
        <f t="shared" si="31"/>
        <v>14.839981384166457</v>
      </c>
      <c r="Q247" s="232">
        <f t="shared" si="32"/>
        <v>42.164391551838023</v>
      </c>
      <c r="R247" s="232">
        <f t="shared" si="33"/>
        <v>70.077689869674927</v>
      </c>
      <c r="S247" s="47"/>
      <c r="T247" s="234">
        <f>SUMPRODUCT($P$4:$R$4,((P247:R247)/M247))*'Realized Pricing'!$L$12</f>
        <v>41.131923402560645</v>
      </c>
      <c r="U247" s="241">
        <f t="shared" si="27"/>
        <v>82.91279458504097</v>
      </c>
      <c r="V247" s="233">
        <f t="shared" si="34"/>
        <v>4.8555714939452832</v>
      </c>
    </row>
    <row r="248" spans="1:22">
      <c r="A248" s="84" t="s">
        <v>629</v>
      </c>
      <c r="B248" s="84">
        <f t="shared" si="36"/>
        <v>11</v>
      </c>
      <c r="C248" s="47"/>
      <c r="D248" s="47" t="str">
        <f t="shared" si="35"/>
        <v>10/2035</v>
      </c>
      <c r="E248" s="93">
        <f t="shared" si="37"/>
        <v>70.676936244031538</v>
      </c>
      <c r="F248" s="105">
        <f>(E248*'Realized Pricing'!$L$2)/M248</f>
        <v>82.91279458504097</v>
      </c>
      <c r="G248" s="47"/>
      <c r="H248" s="47"/>
      <c r="I248" s="47"/>
      <c r="J248" s="228">
        <f t="shared" si="30"/>
        <v>3.884457195156227</v>
      </c>
      <c r="K248" s="236">
        <f>((J248-'Realized Pricing'!$B$32)/M248)*'Realized Pricing'!$L$7</f>
        <v>3.9904565840112558</v>
      </c>
      <c r="L248" s="107"/>
      <c r="M248" s="227">
        <v>0.8</v>
      </c>
      <c r="N248" s="47"/>
      <c r="O248" s="47"/>
      <c r="P248" s="232">
        <f t="shared" si="31"/>
        <v>14.839981384166457</v>
      </c>
      <c r="Q248" s="232">
        <f t="shared" si="32"/>
        <v>42.164391551838023</v>
      </c>
      <c r="R248" s="232">
        <f t="shared" si="33"/>
        <v>70.077689869674927</v>
      </c>
      <c r="S248" s="47"/>
      <c r="T248" s="234">
        <f>SUMPRODUCT($P$4:$R$4,((P248:R248)/M248))*'Realized Pricing'!$L$12</f>
        <v>41.131923402560645</v>
      </c>
      <c r="U248" s="241">
        <f t="shared" si="27"/>
        <v>82.91279458504097</v>
      </c>
      <c r="V248" s="233">
        <f t="shared" si="34"/>
        <v>4.8555714939452832</v>
      </c>
    </row>
    <row r="249" spans="1:22">
      <c r="A249" s="84" t="s">
        <v>630</v>
      </c>
      <c r="B249" s="84">
        <f t="shared" si="36"/>
        <v>11</v>
      </c>
      <c r="C249" s="47"/>
      <c r="D249" s="47" t="str">
        <f t="shared" si="35"/>
        <v>11/2035</v>
      </c>
      <c r="E249" s="93">
        <f t="shared" si="37"/>
        <v>70.676936244031538</v>
      </c>
      <c r="F249" s="105">
        <f>(E249*'Realized Pricing'!$L$2)/M249</f>
        <v>82.91279458504097</v>
      </c>
      <c r="G249" s="47"/>
      <c r="H249" s="47"/>
      <c r="I249" s="47"/>
      <c r="J249" s="228">
        <f t="shared" si="30"/>
        <v>3.884457195156227</v>
      </c>
      <c r="K249" s="236">
        <f>((J249-'Realized Pricing'!$B$32)/M249)*'Realized Pricing'!$L$7</f>
        <v>3.9904565840112558</v>
      </c>
      <c r="L249" s="107"/>
      <c r="M249" s="227">
        <v>0.8</v>
      </c>
      <c r="N249" s="47"/>
      <c r="O249" s="47"/>
      <c r="P249" s="232">
        <f t="shared" si="31"/>
        <v>14.839981384166457</v>
      </c>
      <c r="Q249" s="232">
        <f t="shared" si="32"/>
        <v>42.164391551838023</v>
      </c>
      <c r="R249" s="232">
        <f t="shared" si="33"/>
        <v>70.077689869674927</v>
      </c>
      <c r="S249" s="47"/>
      <c r="T249" s="234">
        <f>SUMPRODUCT($P$4:$R$4,((P249:R249)/M249))*'Realized Pricing'!$L$12</f>
        <v>41.131923402560645</v>
      </c>
      <c r="U249" s="241">
        <f t="shared" si="27"/>
        <v>82.91279458504097</v>
      </c>
      <c r="V249" s="233">
        <f t="shared" si="34"/>
        <v>4.8555714939452832</v>
      </c>
    </row>
    <row r="250" spans="1:22">
      <c r="A250" s="84" t="s">
        <v>583</v>
      </c>
      <c r="B250" s="84">
        <f t="shared" si="36"/>
        <v>11</v>
      </c>
      <c r="C250" s="47"/>
      <c r="D250" s="47" t="str">
        <f t="shared" si="35"/>
        <v>12/2035</v>
      </c>
      <c r="E250" s="93">
        <f t="shared" si="37"/>
        <v>70.676936244031538</v>
      </c>
      <c r="F250" s="105">
        <f>(E250*'Realized Pricing'!$L$2)/M250</f>
        <v>82.91279458504097</v>
      </c>
      <c r="G250" s="47"/>
      <c r="H250" s="47"/>
      <c r="I250" s="47"/>
      <c r="J250" s="228">
        <f t="shared" si="30"/>
        <v>3.884457195156227</v>
      </c>
      <c r="K250" s="236">
        <f>((J250-'Realized Pricing'!$B$32)/M250)*'Realized Pricing'!$L$7</f>
        <v>3.9904565840112558</v>
      </c>
      <c r="L250" s="107"/>
      <c r="M250" s="227">
        <v>0.8</v>
      </c>
      <c r="N250" s="47"/>
      <c r="O250" s="47"/>
      <c r="P250" s="232">
        <f t="shared" si="31"/>
        <v>14.839981384166457</v>
      </c>
      <c r="Q250" s="232">
        <f t="shared" si="32"/>
        <v>42.164391551838023</v>
      </c>
      <c r="R250" s="232">
        <f t="shared" si="33"/>
        <v>70.077689869674927</v>
      </c>
      <c r="S250" s="47"/>
      <c r="T250" s="234">
        <f>SUMPRODUCT($P$4:$R$4,((P250:R250)/M250))*'Realized Pricing'!$L$12</f>
        <v>41.131923402560645</v>
      </c>
      <c r="U250" s="241">
        <f t="shared" si="27"/>
        <v>82.91279458504097</v>
      </c>
      <c r="V250" s="233">
        <f t="shared" si="34"/>
        <v>4.8555714939452832</v>
      </c>
    </row>
    <row r="251" spans="1:22">
      <c r="A251" s="84" t="s">
        <v>631</v>
      </c>
      <c r="B251" s="84">
        <f t="shared" si="36"/>
        <v>11</v>
      </c>
      <c r="C251" s="47"/>
      <c r="D251" s="47" t="str">
        <f t="shared" si="35"/>
        <v>01/2036</v>
      </c>
      <c r="E251" s="93">
        <f t="shared" si="37"/>
        <v>70.676936244031538</v>
      </c>
      <c r="F251" s="105">
        <f>(E251*'Realized Pricing'!$L$2)/M251</f>
        <v>82.91279458504097</v>
      </c>
      <c r="G251" s="47"/>
      <c r="H251" s="47"/>
      <c r="I251" s="47"/>
      <c r="J251" s="228">
        <f t="shared" si="30"/>
        <v>3.884457195156227</v>
      </c>
      <c r="K251" s="236">
        <f>((J251-'Realized Pricing'!$B$32)/M251)*'Realized Pricing'!$L$7</f>
        <v>3.9904565840112558</v>
      </c>
      <c r="L251" s="107"/>
      <c r="M251" s="227">
        <v>0.8</v>
      </c>
      <c r="N251" s="47"/>
      <c r="O251" s="47"/>
      <c r="P251" s="232">
        <f t="shared" si="31"/>
        <v>14.839981384166457</v>
      </c>
      <c r="Q251" s="232">
        <f t="shared" si="32"/>
        <v>42.164391551838023</v>
      </c>
      <c r="R251" s="232">
        <f t="shared" si="33"/>
        <v>70.077689869674927</v>
      </c>
      <c r="S251" s="47"/>
      <c r="T251" s="234">
        <f>SUMPRODUCT($P$4:$R$4,((P251:R251)/M251))*'Realized Pricing'!$L$12</f>
        <v>41.131923402560645</v>
      </c>
      <c r="U251" s="241">
        <f t="shared" si="27"/>
        <v>82.91279458504097</v>
      </c>
      <c r="V251" s="233">
        <f t="shared" si="34"/>
        <v>4.8555714939452832</v>
      </c>
    </row>
    <row r="252" spans="1:22">
      <c r="A252" s="84" t="s">
        <v>632</v>
      </c>
      <c r="B252" s="84">
        <f t="shared" si="36"/>
        <v>11</v>
      </c>
      <c r="C252" s="47"/>
      <c r="D252" s="47" t="str">
        <f t="shared" si="35"/>
        <v>02/2036</v>
      </c>
      <c r="E252" s="93">
        <f t="shared" si="37"/>
        <v>70.676936244031538</v>
      </c>
      <c r="F252" s="105">
        <f>(E252*'Realized Pricing'!$L$2)/M252</f>
        <v>82.91279458504097</v>
      </c>
      <c r="G252" s="47"/>
      <c r="H252" s="47"/>
      <c r="I252" s="47"/>
      <c r="J252" s="228">
        <f t="shared" si="30"/>
        <v>3.9427240530835701</v>
      </c>
      <c r="K252" s="236">
        <f>((J252-'Realized Pricing'!$B$32)/M252)*'Realized Pricing'!$L$7</f>
        <v>4.0684944037110977</v>
      </c>
      <c r="L252" s="107"/>
      <c r="M252" s="227">
        <v>0.8</v>
      </c>
      <c r="N252" s="47"/>
      <c r="O252" s="47"/>
      <c r="P252" s="232">
        <f t="shared" si="31"/>
        <v>15.062581104928952</v>
      </c>
      <c r="Q252" s="232">
        <f t="shared" si="32"/>
        <v>42.79685742511559</v>
      </c>
      <c r="R252" s="232">
        <f t="shared" si="33"/>
        <v>71.128855217720044</v>
      </c>
      <c r="S252" s="47"/>
      <c r="T252" s="234">
        <f>SUMPRODUCT($P$4:$R$4,((P252:R252)/M252))*'Realized Pricing'!$L$12</f>
        <v>41.748902253599056</v>
      </c>
      <c r="U252" s="241">
        <f t="shared" si="27"/>
        <v>82.91279458504097</v>
      </c>
      <c r="V252" s="233">
        <f t="shared" si="34"/>
        <v>4.9284050663544621</v>
      </c>
    </row>
    <row r="253" spans="1:22">
      <c r="A253" s="84" t="s">
        <v>633</v>
      </c>
      <c r="B253" s="84">
        <f t="shared" si="36"/>
        <v>12</v>
      </c>
      <c r="C253" s="47"/>
      <c r="D253" s="47" t="str">
        <f t="shared" si="35"/>
        <v>03/2036</v>
      </c>
      <c r="E253" s="93">
        <f t="shared" si="37"/>
        <v>71.737090287691998</v>
      </c>
      <c r="F253" s="105">
        <f>(E253*'Realized Pricing'!$L$2)/M253</f>
        <v>84.156486503816566</v>
      </c>
      <c r="G253" s="47"/>
      <c r="H253" s="47"/>
      <c r="I253" s="47"/>
      <c r="J253" s="228">
        <f t="shared" si="30"/>
        <v>3.9427240530835701</v>
      </c>
      <c r="K253" s="236">
        <f>((J253-'Realized Pricing'!$B$32)/M253)*'Realized Pricing'!$L$7</f>
        <v>4.0684944037110977</v>
      </c>
      <c r="L253" s="107"/>
      <c r="M253" s="227">
        <v>0.8</v>
      </c>
      <c r="N253" s="47"/>
      <c r="O253" s="47"/>
      <c r="P253" s="232">
        <f t="shared" si="31"/>
        <v>15.062581104928952</v>
      </c>
      <c r="Q253" s="232">
        <f t="shared" si="32"/>
        <v>42.79685742511559</v>
      </c>
      <c r="R253" s="232">
        <f t="shared" si="33"/>
        <v>71.128855217720044</v>
      </c>
      <c r="S253" s="47"/>
      <c r="T253" s="234">
        <f>SUMPRODUCT($P$4:$R$4,((P253:R253)/M253))*'Realized Pricing'!$L$12</f>
        <v>41.748902253599056</v>
      </c>
      <c r="U253" s="241">
        <f t="shared" si="27"/>
        <v>84.156486503816566</v>
      </c>
      <c r="V253" s="233">
        <f t="shared" si="34"/>
        <v>4.9284050663544621</v>
      </c>
    </row>
    <row r="254" spans="1:22">
      <c r="A254" s="84" t="s">
        <v>634</v>
      </c>
      <c r="B254" s="84">
        <f t="shared" si="36"/>
        <v>12</v>
      </c>
      <c r="C254" s="47"/>
      <c r="D254" s="47" t="str">
        <f t="shared" si="35"/>
        <v>04/2036</v>
      </c>
      <c r="E254" s="93">
        <f t="shared" si="37"/>
        <v>71.737090287691998</v>
      </c>
      <c r="F254" s="105">
        <f>(E254*'Realized Pricing'!$L$2)/M254</f>
        <v>84.156486503816566</v>
      </c>
      <c r="G254" s="47"/>
      <c r="H254" s="47"/>
      <c r="I254" s="47"/>
      <c r="J254" s="228">
        <f t="shared" si="30"/>
        <v>3.9427240530835701</v>
      </c>
      <c r="K254" s="236">
        <f>((J254-'Realized Pricing'!$B$32)/M254)*'Realized Pricing'!$L$7</f>
        <v>4.0684944037110977</v>
      </c>
      <c r="L254" s="107"/>
      <c r="M254" s="227">
        <v>0.8</v>
      </c>
      <c r="N254" s="47"/>
      <c r="O254" s="47"/>
      <c r="P254" s="232">
        <f t="shared" si="31"/>
        <v>15.062581104928952</v>
      </c>
      <c r="Q254" s="232">
        <f t="shared" si="32"/>
        <v>42.79685742511559</v>
      </c>
      <c r="R254" s="232">
        <f t="shared" si="33"/>
        <v>71.128855217720044</v>
      </c>
      <c r="S254" s="47"/>
      <c r="T254" s="234">
        <f>SUMPRODUCT($P$4:$R$4,((P254:R254)/M254))*'Realized Pricing'!$L$12</f>
        <v>41.748902253599056</v>
      </c>
      <c r="U254" s="241">
        <f t="shared" si="27"/>
        <v>84.156486503816566</v>
      </c>
      <c r="V254" s="233">
        <f t="shared" si="34"/>
        <v>4.9284050663544621</v>
      </c>
    </row>
    <row r="255" spans="1:22">
      <c r="A255" s="84" t="s">
        <v>635</v>
      </c>
      <c r="B255" s="84">
        <f t="shared" si="36"/>
        <v>12</v>
      </c>
      <c r="C255" s="47"/>
      <c r="D255" s="47" t="str">
        <f t="shared" si="35"/>
        <v>05/2036</v>
      </c>
      <c r="E255" s="93">
        <f t="shared" si="37"/>
        <v>71.737090287691998</v>
      </c>
      <c r="F255" s="105">
        <f>(E255*'Realized Pricing'!$L$2)/M255</f>
        <v>84.156486503816566</v>
      </c>
      <c r="G255" s="47"/>
      <c r="H255" s="47"/>
      <c r="I255" s="47"/>
      <c r="J255" s="228">
        <f t="shared" ref="J255:J286" si="38">$Y$3*(1+$AB$3)^B209</f>
        <v>3.9427240530835701</v>
      </c>
      <c r="K255" s="236">
        <f>((J255-'Realized Pricing'!$B$32)/M255)*'Realized Pricing'!$L$7</f>
        <v>4.0684944037110977</v>
      </c>
      <c r="L255" s="107"/>
      <c r="M255" s="227">
        <v>0.8</v>
      </c>
      <c r="N255" s="47"/>
      <c r="O255" s="47"/>
      <c r="P255" s="232">
        <f t="shared" ref="P255:P286" si="39">$P$158 * (1+$AB$3)^B209</f>
        <v>15.062581104928952</v>
      </c>
      <c r="Q255" s="232">
        <f t="shared" ref="Q255:Q286" si="40">$Q$158 * (1+$AB$3)^B209</f>
        <v>42.79685742511559</v>
      </c>
      <c r="R255" s="232">
        <f t="shared" ref="R255:R286" si="41">$R$158 * (1+$AB$3)^B209</f>
        <v>71.128855217720044</v>
      </c>
      <c r="S255" s="47"/>
      <c r="T255" s="234">
        <f>SUMPRODUCT($P$4:$R$4,((P255:R255)/M255))*'Realized Pricing'!$L$12</f>
        <v>41.748902253599056</v>
      </c>
      <c r="U255" s="241">
        <f t="shared" si="27"/>
        <v>84.156486503816566</v>
      </c>
      <c r="V255" s="233">
        <f t="shared" si="34"/>
        <v>4.9284050663544621</v>
      </c>
    </row>
    <row r="256" spans="1:22">
      <c r="A256" s="84" t="s">
        <v>636</v>
      </c>
      <c r="B256" s="84">
        <f t="shared" si="36"/>
        <v>12</v>
      </c>
      <c r="C256" s="47"/>
      <c r="D256" s="47" t="str">
        <f t="shared" si="35"/>
        <v>06/2036</v>
      </c>
      <c r="E256" s="93">
        <f t="shared" si="37"/>
        <v>71.737090287691998</v>
      </c>
      <c r="F256" s="105">
        <f>(E256*'Realized Pricing'!$L$2)/M256</f>
        <v>84.156486503816566</v>
      </c>
      <c r="G256" s="47"/>
      <c r="H256" s="47"/>
      <c r="I256" s="47"/>
      <c r="J256" s="228">
        <f t="shared" si="38"/>
        <v>3.9427240530835701</v>
      </c>
      <c r="K256" s="236">
        <f>((J256-'Realized Pricing'!$B$32)/M256)*'Realized Pricing'!$L$7</f>
        <v>4.0684944037110977</v>
      </c>
      <c r="L256" s="107"/>
      <c r="M256" s="227">
        <v>0.8</v>
      </c>
      <c r="N256" s="47"/>
      <c r="O256" s="47"/>
      <c r="P256" s="232">
        <f t="shared" si="39"/>
        <v>15.062581104928952</v>
      </c>
      <c r="Q256" s="232">
        <f t="shared" si="40"/>
        <v>42.79685742511559</v>
      </c>
      <c r="R256" s="232">
        <f t="shared" si="41"/>
        <v>71.128855217720044</v>
      </c>
      <c r="S256" s="47"/>
      <c r="T256" s="234">
        <f>SUMPRODUCT($P$4:$R$4,((P256:R256)/M256))*'Realized Pricing'!$L$12</f>
        <v>41.748902253599056</v>
      </c>
      <c r="U256" s="241">
        <f t="shared" si="27"/>
        <v>84.156486503816566</v>
      </c>
      <c r="V256" s="233">
        <f t="shared" si="34"/>
        <v>4.9284050663544621</v>
      </c>
    </row>
    <row r="257" spans="1:22">
      <c r="A257" s="84" t="s">
        <v>637</v>
      </c>
      <c r="B257" s="84">
        <f t="shared" si="36"/>
        <v>12</v>
      </c>
      <c r="C257" s="47"/>
      <c r="D257" s="47" t="str">
        <f t="shared" si="35"/>
        <v>07/2036</v>
      </c>
      <c r="E257" s="93">
        <f t="shared" si="37"/>
        <v>71.737090287691998</v>
      </c>
      <c r="F257" s="105">
        <f>(E257*'Realized Pricing'!$L$2)/M257</f>
        <v>84.156486503816566</v>
      </c>
      <c r="G257" s="47"/>
      <c r="H257" s="47"/>
      <c r="I257" s="47"/>
      <c r="J257" s="228">
        <f t="shared" si="38"/>
        <v>3.9427240530835701</v>
      </c>
      <c r="K257" s="236">
        <f>((J257-'Realized Pricing'!$B$32)/M257)*'Realized Pricing'!$L$7</f>
        <v>4.0684944037110977</v>
      </c>
      <c r="L257" s="107"/>
      <c r="M257" s="227">
        <v>0.8</v>
      </c>
      <c r="N257" s="47"/>
      <c r="O257" s="47"/>
      <c r="P257" s="232">
        <f t="shared" si="39"/>
        <v>15.062581104928952</v>
      </c>
      <c r="Q257" s="232">
        <f t="shared" si="40"/>
        <v>42.79685742511559</v>
      </c>
      <c r="R257" s="232">
        <f t="shared" si="41"/>
        <v>71.128855217720044</v>
      </c>
      <c r="S257" s="47"/>
      <c r="T257" s="234">
        <f>SUMPRODUCT($P$4:$R$4,((P257:R257)/M257))*'Realized Pricing'!$L$12</f>
        <v>41.748902253599056</v>
      </c>
      <c r="U257" s="241">
        <f t="shared" si="27"/>
        <v>84.156486503816566</v>
      </c>
      <c r="V257" s="233">
        <f t="shared" si="34"/>
        <v>4.9284050663544621</v>
      </c>
    </row>
    <row r="258" spans="1:22">
      <c r="A258" s="84" t="s">
        <v>638</v>
      </c>
      <c r="B258" s="84">
        <f t="shared" si="36"/>
        <v>12</v>
      </c>
      <c r="C258" s="47"/>
      <c r="D258" s="47" t="str">
        <f t="shared" si="35"/>
        <v>08/2036</v>
      </c>
      <c r="E258" s="93">
        <f t="shared" si="37"/>
        <v>71.737090287691998</v>
      </c>
      <c r="F258" s="105">
        <f>(E258*'Realized Pricing'!$L$2)/M258</f>
        <v>84.156486503816566</v>
      </c>
      <c r="G258" s="47"/>
      <c r="H258" s="47"/>
      <c r="I258" s="47"/>
      <c r="J258" s="228">
        <f t="shared" si="38"/>
        <v>3.9427240530835701</v>
      </c>
      <c r="K258" s="236">
        <f>((J258-'Realized Pricing'!$B$32)/M258)*'Realized Pricing'!$L$7</f>
        <v>4.0684944037110977</v>
      </c>
      <c r="L258" s="107"/>
      <c r="M258" s="227">
        <v>0.8</v>
      </c>
      <c r="N258" s="47"/>
      <c r="O258" s="47"/>
      <c r="P258" s="232">
        <f t="shared" si="39"/>
        <v>15.062581104928952</v>
      </c>
      <c r="Q258" s="232">
        <f t="shared" si="40"/>
        <v>42.79685742511559</v>
      </c>
      <c r="R258" s="232">
        <f t="shared" si="41"/>
        <v>71.128855217720044</v>
      </c>
      <c r="S258" s="47"/>
      <c r="T258" s="234">
        <f>SUMPRODUCT($P$4:$R$4,((P258:R258)/M258))*'Realized Pricing'!$L$12</f>
        <v>41.748902253599056</v>
      </c>
      <c r="U258" s="241">
        <f t="shared" si="27"/>
        <v>84.156486503816566</v>
      </c>
      <c r="V258" s="233">
        <f t="shared" si="34"/>
        <v>4.9284050663544621</v>
      </c>
    </row>
    <row r="259" spans="1:22">
      <c r="A259" s="84" t="s">
        <v>639</v>
      </c>
      <c r="B259" s="84">
        <f t="shared" si="36"/>
        <v>12</v>
      </c>
      <c r="C259" s="47"/>
      <c r="D259" s="47" t="str">
        <f t="shared" si="35"/>
        <v>09/2036</v>
      </c>
      <c r="E259" s="93">
        <f t="shared" si="37"/>
        <v>71.737090287691998</v>
      </c>
      <c r="F259" s="105">
        <f>(E259*'Realized Pricing'!$L$2)/M259</f>
        <v>84.156486503816566</v>
      </c>
      <c r="G259" s="47"/>
      <c r="H259" s="47"/>
      <c r="I259" s="47"/>
      <c r="J259" s="228">
        <f t="shared" si="38"/>
        <v>3.9427240530835701</v>
      </c>
      <c r="K259" s="236">
        <f>((J259-'Realized Pricing'!$B$32)/M259)*'Realized Pricing'!$L$7</f>
        <v>4.0684944037110977</v>
      </c>
      <c r="L259" s="107"/>
      <c r="M259" s="227">
        <v>0.8</v>
      </c>
      <c r="N259" s="47"/>
      <c r="O259" s="47"/>
      <c r="P259" s="232">
        <f t="shared" si="39"/>
        <v>15.062581104928952</v>
      </c>
      <c r="Q259" s="232">
        <f t="shared" si="40"/>
        <v>42.79685742511559</v>
      </c>
      <c r="R259" s="232">
        <f t="shared" si="41"/>
        <v>71.128855217720044</v>
      </c>
      <c r="S259" s="47"/>
      <c r="T259" s="234">
        <f>SUMPRODUCT($P$4:$R$4,((P259:R259)/M259))*'Realized Pricing'!$L$12</f>
        <v>41.748902253599056</v>
      </c>
      <c r="U259" s="241">
        <f t="shared" si="27"/>
        <v>84.156486503816566</v>
      </c>
      <c r="V259" s="233">
        <f t="shared" si="34"/>
        <v>4.9284050663544621</v>
      </c>
    </row>
    <row r="260" spans="1:22">
      <c r="A260" s="84" t="s">
        <v>640</v>
      </c>
      <c r="B260" s="84">
        <f t="shared" si="36"/>
        <v>12</v>
      </c>
      <c r="C260" s="47"/>
      <c r="D260" s="47" t="str">
        <f t="shared" si="35"/>
        <v>10/2036</v>
      </c>
      <c r="E260" s="93">
        <f t="shared" si="37"/>
        <v>71.737090287691998</v>
      </c>
      <c r="F260" s="105">
        <f>(E260*'Realized Pricing'!$L$2)/M260</f>
        <v>84.156486503816566</v>
      </c>
      <c r="G260" s="47"/>
      <c r="H260" s="47"/>
      <c r="I260" s="47"/>
      <c r="J260" s="228">
        <f t="shared" si="38"/>
        <v>3.9427240530835701</v>
      </c>
      <c r="K260" s="236">
        <f>((J260-'Realized Pricing'!$B$32)/M260)*'Realized Pricing'!$L$7</f>
        <v>4.0684944037110977</v>
      </c>
      <c r="L260" s="107"/>
      <c r="M260" s="227">
        <v>0.8</v>
      </c>
      <c r="N260" s="47"/>
      <c r="O260" s="47"/>
      <c r="P260" s="232">
        <f t="shared" si="39"/>
        <v>15.062581104928952</v>
      </c>
      <c r="Q260" s="232">
        <f t="shared" si="40"/>
        <v>42.79685742511559</v>
      </c>
      <c r="R260" s="232">
        <f t="shared" si="41"/>
        <v>71.128855217720044</v>
      </c>
      <c r="S260" s="47"/>
      <c r="T260" s="234">
        <f>SUMPRODUCT($P$4:$R$4,((P260:R260)/M260))*'Realized Pricing'!$L$12</f>
        <v>41.748902253599056</v>
      </c>
      <c r="U260" s="241">
        <f t="shared" si="27"/>
        <v>84.156486503816566</v>
      </c>
      <c r="V260" s="233">
        <f t="shared" si="34"/>
        <v>4.9284050663544621</v>
      </c>
    </row>
    <row r="261" spans="1:22">
      <c r="A261" s="84" t="s">
        <v>641</v>
      </c>
      <c r="B261" s="84">
        <f t="shared" si="36"/>
        <v>12</v>
      </c>
      <c r="C261" s="47"/>
      <c r="D261" s="47" t="str">
        <f t="shared" si="35"/>
        <v>11/2036</v>
      </c>
      <c r="E261" s="93">
        <f t="shared" si="37"/>
        <v>71.737090287691998</v>
      </c>
      <c r="F261" s="105">
        <f>(E261*'Realized Pricing'!$L$2)/M261</f>
        <v>84.156486503816566</v>
      </c>
      <c r="G261" s="47"/>
      <c r="H261" s="47"/>
      <c r="I261" s="47"/>
      <c r="J261" s="228">
        <f t="shared" si="38"/>
        <v>3.9427240530835701</v>
      </c>
      <c r="K261" s="236">
        <f>((J261-'Realized Pricing'!$B$32)/M261)*'Realized Pricing'!$L$7</f>
        <v>4.0684944037110977</v>
      </c>
      <c r="L261" s="107"/>
      <c r="M261" s="227">
        <v>0.8</v>
      </c>
      <c r="N261" s="47"/>
      <c r="O261" s="47"/>
      <c r="P261" s="232">
        <f t="shared" si="39"/>
        <v>15.062581104928952</v>
      </c>
      <c r="Q261" s="232">
        <f t="shared" si="40"/>
        <v>42.79685742511559</v>
      </c>
      <c r="R261" s="232">
        <f t="shared" si="41"/>
        <v>71.128855217720044</v>
      </c>
      <c r="S261" s="47"/>
      <c r="T261" s="234">
        <f>SUMPRODUCT($P$4:$R$4,((P261:R261)/M261))*'Realized Pricing'!$L$12</f>
        <v>41.748902253599056</v>
      </c>
      <c r="U261" s="241">
        <f t="shared" si="27"/>
        <v>84.156486503816566</v>
      </c>
      <c r="V261" s="233">
        <f t="shared" si="34"/>
        <v>4.9284050663544621</v>
      </c>
    </row>
    <row r="262" spans="1:22">
      <c r="A262" s="84" t="s">
        <v>631</v>
      </c>
      <c r="B262" s="84">
        <f t="shared" si="36"/>
        <v>12</v>
      </c>
      <c r="C262" s="47"/>
      <c r="D262" s="47" t="str">
        <f t="shared" si="35"/>
        <v>01/2036</v>
      </c>
      <c r="E262" s="93">
        <f t="shared" si="37"/>
        <v>71.737090287691998</v>
      </c>
      <c r="F262" s="105">
        <f>(E262*'Realized Pricing'!$L$2)/M262</f>
        <v>84.156486503816566</v>
      </c>
      <c r="G262" s="47"/>
      <c r="H262" s="47"/>
      <c r="I262" s="47"/>
      <c r="J262" s="228">
        <f t="shared" si="38"/>
        <v>3.9427240530835701</v>
      </c>
      <c r="K262" s="236">
        <f>((J262-'Realized Pricing'!$B$32)/M262)*'Realized Pricing'!$L$7</f>
        <v>4.0684944037110977</v>
      </c>
      <c r="L262" s="107"/>
      <c r="M262" s="227">
        <v>0.8</v>
      </c>
      <c r="N262" s="47"/>
      <c r="O262" s="47"/>
      <c r="P262" s="232">
        <f t="shared" si="39"/>
        <v>15.062581104928952</v>
      </c>
      <c r="Q262" s="232">
        <f t="shared" si="40"/>
        <v>42.79685742511559</v>
      </c>
      <c r="R262" s="232">
        <f t="shared" si="41"/>
        <v>71.128855217720044</v>
      </c>
      <c r="S262" s="47"/>
      <c r="T262" s="234">
        <f>SUMPRODUCT($P$4:$R$4,((P262:R262)/M262))*'Realized Pricing'!$L$12</f>
        <v>41.748902253599056</v>
      </c>
      <c r="U262" s="241">
        <f t="shared" ref="U262:U325" si="42">F262</f>
        <v>84.156486503816566</v>
      </c>
      <c r="V262" s="233">
        <f t="shared" si="34"/>
        <v>4.9284050663544621</v>
      </c>
    </row>
    <row r="263" spans="1:22">
      <c r="A263" s="84" t="s">
        <v>632</v>
      </c>
      <c r="B263" s="84">
        <f t="shared" si="36"/>
        <v>12</v>
      </c>
      <c r="C263" s="47"/>
      <c r="D263" s="47" t="str">
        <f t="shared" si="35"/>
        <v>02/2036</v>
      </c>
      <c r="E263" s="93">
        <f t="shared" si="37"/>
        <v>71.737090287691998</v>
      </c>
      <c r="F263" s="105">
        <f>(E263*'Realized Pricing'!$L$2)/M263</f>
        <v>84.156486503816566</v>
      </c>
      <c r="G263" s="47"/>
      <c r="H263" s="47"/>
      <c r="I263" s="47"/>
      <c r="J263" s="228">
        <f t="shared" si="38"/>
        <v>3.9427240530835701</v>
      </c>
      <c r="K263" s="236">
        <f>((J263-'Realized Pricing'!$B$32)/M263)*'Realized Pricing'!$L$7</f>
        <v>4.0684944037110977</v>
      </c>
      <c r="L263" s="107"/>
      <c r="M263" s="227">
        <v>0.8</v>
      </c>
      <c r="N263" s="47"/>
      <c r="O263" s="47"/>
      <c r="P263" s="232">
        <f t="shared" si="39"/>
        <v>15.062581104928952</v>
      </c>
      <c r="Q263" s="232">
        <f t="shared" si="40"/>
        <v>42.79685742511559</v>
      </c>
      <c r="R263" s="232">
        <f t="shared" si="41"/>
        <v>71.128855217720044</v>
      </c>
      <c r="S263" s="47"/>
      <c r="T263" s="234">
        <f>SUMPRODUCT($P$4:$R$4,((P263:R263)/M263))*'Realized Pricing'!$L$12</f>
        <v>41.748902253599056</v>
      </c>
      <c r="U263" s="241">
        <f t="shared" si="42"/>
        <v>84.156486503816566</v>
      </c>
      <c r="V263" s="233">
        <f t="shared" si="34"/>
        <v>4.9284050663544621</v>
      </c>
    </row>
    <row r="264" spans="1:22">
      <c r="A264" s="84" t="s">
        <v>633</v>
      </c>
      <c r="B264" s="84">
        <f t="shared" si="36"/>
        <v>12</v>
      </c>
      <c r="C264" s="47"/>
      <c r="D264" s="47" t="str">
        <f t="shared" si="35"/>
        <v>03/2036</v>
      </c>
      <c r="E264" s="93">
        <f t="shared" si="37"/>
        <v>71.737090287691998</v>
      </c>
      <c r="F264" s="105">
        <f>(E264*'Realized Pricing'!$L$2)/M264</f>
        <v>84.156486503816566</v>
      </c>
      <c r="G264" s="47"/>
      <c r="H264" s="47"/>
      <c r="I264" s="47"/>
      <c r="J264" s="228">
        <f t="shared" si="38"/>
        <v>4.0018649138798228</v>
      </c>
      <c r="K264" s="236">
        <f>((J264-'Realized Pricing'!$B$32)/M264)*'Realized Pricing'!$L$7</f>
        <v>4.147702790706437</v>
      </c>
      <c r="L264" s="107"/>
      <c r="M264" s="227">
        <v>0.8</v>
      </c>
      <c r="N264" s="47"/>
      <c r="O264" s="47"/>
      <c r="P264" s="232">
        <f t="shared" si="39"/>
        <v>15.288519821502884</v>
      </c>
      <c r="Q264" s="232">
        <f t="shared" si="40"/>
        <v>43.43881028649232</v>
      </c>
      <c r="R264" s="232">
        <f t="shared" si="41"/>
        <v>72.195788045985836</v>
      </c>
      <c r="S264" s="47"/>
      <c r="T264" s="234">
        <f>SUMPRODUCT($P$4:$R$4,((P264:R264)/M264))*'Realized Pricing'!$L$12</f>
        <v>42.375135787403032</v>
      </c>
      <c r="U264" s="241">
        <f t="shared" si="42"/>
        <v>84.156486503816566</v>
      </c>
      <c r="V264" s="233">
        <f t="shared" si="34"/>
        <v>5.002331142349778</v>
      </c>
    </row>
    <row r="265" spans="1:22">
      <c r="A265" s="84" t="s">
        <v>634</v>
      </c>
      <c r="B265" s="84">
        <f t="shared" si="36"/>
        <v>13</v>
      </c>
      <c r="C265" s="47"/>
      <c r="D265" s="47" t="str">
        <f t="shared" si="35"/>
        <v>04/2036</v>
      </c>
      <c r="E265" s="93">
        <f t="shared" si="37"/>
        <v>72.813146642007368</v>
      </c>
      <c r="F265" s="105">
        <f>(E265*'Realized Pricing'!$L$2)/M265</f>
        <v>85.418833801373808</v>
      </c>
      <c r="G265" s="47"/>
      <c r="H265" s="47"/>
      <c r="I265" s="47"/>
      <c r="J265" s="228">
        <f t="shared" si="38"/>
        <v>4.0018649138798228</v>
      </c>
      <c r="K265" s="236">
        <f>((J265-'Realized Pricing'!$B$32)/M265)*'Realized Pricing'!$L$7</f>
        <v>4.147702790706437</v>
      </c>
      <c r="L265" s="107"/>
      <c r="M265" s="227">
        <v>0.8</v>
      </c>
      <c r="N265" s="47"/>
      <c r="O265" s="47"/>
      <c r="P265" s="232">
        <f t="shared" si="39"/>
        <v>15.288519821502884</v>
      </c>
      <c r="Q265" s="232">
        <f t="shared" si="40"/>
        <v>43.43881028649232</v>
      </c>
      <c r="R265" s="232">
        <f t="shared" si="41"/>
        <v>72.195788045985836</v>
      </c>
      <c r="S265" s="47"/>
      <c r="T265" s="234">
        <f>SUMPRODUCT($P$4:$R$4,((P265:R265)/M265))*'Realized Pricing'!$L$12</f>
        <v>42.375135787403032</v>
      </c>
      <c r="U265" s="241">
        <f t="shared" si="42"/>
        <v>85.418833801373808</v>
      </c>
      <c r="V265" s="233">
        <f t="shared" si="34"/>
        <v>5.002331142349778</v>
      </c>
    </row>
    <row r="266" spans="1:22">
      <c r="A266" s="84" t="s">
        <v>635</v>
      </c>
      <c r="B266" s="84">
        <f t="shared" si="36"/>
        <v>13</v>
      </c>
      <c r="C266" s="47"/>
      <c r="D266" s="47" t="str">
        <f t="shared" si="35"/>
        <v>05/2036</v>
      </c>
      <c r="E266" s="93">
        <f t="shared" si="37"/>
        <v>72.813146642007368</v>
      </c>
      <c r="F266" s="105">
        <f>(E266*'Realized Pricing'!$L$2)/M266</f>
        <v>85.418833801373808</v>
      </c>
      <c r="G266" s="47"/>
      <c r="H266" s="47"/>
      <c r="I266" s="47"/>
      <c r="J266" s="228">
        <f t="shared" si="38"/>
        <v>4.0018649138798228</v>
      </c>
      <c r="K266" s="236">
        <f>((J266-'Realized Pricing'!$B$32)/M266)*'Realized Pricing'!$L$7</f>
        <v>4.147702790706437</v>
      </c>
      <c r="L266" s="107"/>
      <c r="M266" s="227">
        <v>0.8</v>
      </c>
      <c r="N266" s="47"/>
      <c r="O266" s="47"/>
      <c r="P266" s="232">
        <f t="shared" si="39"/>
        <v>15.288519821502884</v>
      </c>
      <c r="Q266" s="232">
        <f t="shared" si="40"/>
        <v>43.43881028649232</v>
      </c>
      <c r="R266" s="232">
        <f t="shared" si="41"/>
        <v>72.195788045985836</v>
      </c>
      <c r="S266" s="47"/>
      <c r="T266" s="234">
        <f>SUMPRODUCT($P$4:$R$4,((P266:R266)/M266))*'Realized Pricing'!$L$12</f>
        <v>42.375135787403032</v>
      </c>
      <c r="U266" s="241">
        <f t="shared" si="42"/>
        <v>85.418833801373808</v>
      </c>
      <c r="V266" s="233">
        <f t="shared" si="34"/>
        <v>5.002331142349778</v>
      </c>
    </row>
    <row r="267" spans="1:22">
      <c r="A267" s="84" t="s">
        <v>636</v>
      </c>
      <c r="B267" s="84">
        <f t="shared" si="36"/>
        <v>13</v>
      </c>
      <c r="C267" s="47"/>
      <c r="D267" s="47" t="str">
        <f t="shared" si="35"/>
        <v>06/2036</v>
      </c>
      <c r="E267" s="93">
        <f t="shared" si="37"/>
        <v>72.813146642007368</v>
      </c>
      <c r="F267" s="105">
        <f>(E267*'Realized Pricing'!$L$2)/M267</f>
        <v>85.418833801373808</v>
      </c>
      <c r="G267" s="47"/>
      <c r="H267" s="47"/>
      <c r="I267" s="47"/>
      <c r="J267" s="228">
        <f t="shared" si="38"/>
        <v>4.0018649138798228</v>
      </c>
      <c r="K267" s="236">
        <f>((J267-'Realized Pricing'!$B$32)/M267)*'Realized Pricing'!$L$7</f>
        <v>4.147702790706437</v>
      </c>
      <c r="L267" s="107"/>
      <c r="M267" s="227">
        <v>0.8</v>
      </c>
      <c r="N267" s="47"/>
      <c r="O267" s="47"/>
      <c r="P267" s="232">
        <f t="shared" si="39"/>
        <v>15.288519821502884</v>
      </c>
      <c r="Q267" s="232">
        <f t="shared" si="40"/>
        <v>43.43881028649232</v>
      </c>
      <c r="R267" s="232">
        <f t="shared" si="41"/>
        <v>72.195788045985836</v>
      </c>
      <c r="S267" s="47"/>
      <c r="T267" s="234">
        <f>SUMPRODUCT($P$4:$R$4,((P267:R267)/M267))*'Realized Pricing'!$L$12</f>
        <v>42.375135787403032</v>
      </c>
      <c r="U267" s="241">
        <f t="shared" si="42"/>
        <v>85.418833801373808</v>
      </c>
      <c r="V267" s="233">
        <f t="shared" si="34"/>
        <v>5.002331142349778</v>
      </c>
    </row>
    <row r="268" spans="1:22">
      <c r="A268" s="84" t="s">
        <v>637</v>
      </c>
      <c r="B268" s="84">
        <f t="shared" si="36"/>
        <v>13</v>
      </c>
      <c r="C268" s="47"/>
      <c r="D268" s="47" t="str">
        <f t="shared" si="35"/>
        <v>07/2036</v>
      </c>
      <c r="E268" s="93">
        <f t="shared" si="37"/>
        <v>72.813146642007368</v>
      </c>
      <c r="F268" s="105">
        <f>(E268*'Realized Pricing'!$L$2)/M268</f>
        <v>85.418833801373808</v>
      </c>
      <c r="G268" s="47"/>
      <c r="H268" s="47"/>
      <c r="I268" s="47"/>
      <c r="J268" s="228">
        <f t="shared" si="38"/>
        <v>4.0018649138798228</v>
      </c>
      <c r="K268" s="236">
        <f>((J268-'Realized Pricing'!$B$32)/M268)*'Realized Pricing'!$L$7</f>
        <v>4.147702790706437</v>
      </c>
      <c r="L268" s="107"/>
      <c r="M268" s="227">
        <v>0.8</v>
      </c>
      <c r="N268" s="47"/>
      <c r="O268" s="47"/>
      <c r="P268" s="232">
        <f t="shared" si="39"/>
        <v>15.288519821502884</v>
      </c>
      <c r="Q268" s="232">
        <f t="shared" si="40"/>
        <v>43.43881028649232</v>
      </c>
      <c r="R268" s="232">
        <f t="shared" si="41"/>
        <v>72.195788045985836</v>
      </c>
      <c r="S268" s="47"/>
      <c r="T268" s="234">
        <f>SUMPRODUCT($P$4:$R$4,((P268:R268)/M268))*'Realized Pricing'!$L$12</f>
        <v>42.375135787403032</v>
      </c>
      <c r="U268" s="241">
        <f t="shared" si="42"/>
        <v>85.418833801373808</v>
      </c>
      <c r="V268" s="233">
        <f t="shared" si="34"/>
        <v>5.002331142349778</v>
      </c>
    </row>
    <row r="269" spans="1:22">
      <c r="A269" s="84" t="s">
        <v>638</v>
      </c>
      <c r="B269" s="84">
        <f t="shared" si="36"/>
        <v>13</v>
      </c>
      <c r="C269" s="47"/>
      <c r="D269" s="47" t="str">
        <f t="shared" si="35"/>
        <v>08/2036</v>
      </c>
      <c r="E269" s="93">
        <f t="shared" si="37"/>
        <v>72.813146642007368</v>
      </c>
      <c r="F269" s="105">
        <f>(E269*'Realized Pricing'!$L$2)/M269</f>
        <v>85.418833801373808</v>
      </c>
      <c r="G269" s="47"/>
      <c r="H269" s="47"/>
      <c r="I269" s="47"/>
      <c r="J269" s="228">
        <f t="shared" si="38"/>
        <v>4.0018649138798228</v>
      </c>
      <c r="K269" s="236">
        <f>((J269-'Realized Pricing'!$B$32)/M269)*'Realized Pricing'!$L$7</f>
        <v>4.147702790706437</v>
      </c>
      <c r="L269" s="107"/>
      <c r="M269" s="227">
        <v>0.8</v>
      </c>
      <c r="N269" s="47"/>
      <c r="O269" s="47"/>
      <c r="P269" s="232">
        <f t="shared" si="39"/>
        <v>15.288519821502884</v>
      </c>
      <c r="Q269" s="232">
        <f t="shared" si="40"/>
        <v>43.43881028649232</v>
      </c>
      <c r="R269" s="232">
        <f t="shared" si="41"/>
        <v>72.195788045985836</v>
      </c>
      <c r="S269" s="47"/>
      <c r="T269" s="234">
        <f>SUMPRODUCT($P$4:$R$4,((P269:R269)/M269))*'Realized Pricing'!$L$12</f>
        <v>42.375135787403032</v>
      </c>
      <c r="U269" s="241">
        <f t="shared" si="42"/>
        <v>85.418833801373808</v>
      </c>
      <c r="V269" s="233">
        <f t="shared" si="34"/>
        <v>5.002331142349778</v>
      </c>
    </row>
    <row r="270" spans="1:22">
      <c r="A270" s="84" t="s">
        <v>639</v>
      </c>
      <c r="B270" s="84">
        <f t="shared" si="36"/>
        <v>13</v>
      </c>
      <c r="C270" s="47"/>
      <c r="D270" s="47" t="str">
        <f t="shared" si="35"/>
        <v>09/2036</v>
      </c>
      <c r="E270" s="93">
        <f t="shared" si="37"/>
        <v>72.813146642007368</v>
      </c>
      <c r="F270" s="105">
        <f>(E270*'Realized Pricing'!$L$2)/M270</f>
        <v>85.418833801373808</v>
      </c>
      <c r="G270" s="47"/>
      <c r="H270" s="47"/>
      <c r="I270" s="47"/>
      <c r="J270" s="228">
        <f t="shared" si="38"/>
        <v>4.0018649138798228</v>
      </c>
      <c r="K270" s="236">
        <f>((J270-'Realized Pricing'!$B$32)/M270)*'Realized Pricing'!$L$7</f>
        <v>4.147702790706437</v>
      </c>
      <c r="L270" s="107"/>
      <c r="M270" s="227">
        <v>0.8</v>
      </c>
      <c r="N270" s="47"/>
      <c r="O270" s="47"/>
      <c r="P270" s="232">
        <f t="shared" si="39"/>
        <v>15.288519821502884</v>
      </c>
      <c r="Q270" s="232">
        <f t="shared" si="40"/>
        <v>43.43881028649232</v>
      </c>
      <c r="R270" s="232">
        <f t="shared" si="41"/>
        <v>72.195788045985836</v>
      </c>
      <c r="S270" s="47"/>
      <c r="T270" s="234">
        <f>SUMPRODUCT($P$4:$R$4,((P270:R270)/M270))*'Realized Pricing'!$L$12</f>
        <v>42.375135787403032</v>
      </c>
      <c r="U270" s="241">
        <f t="shared" si="42"/>
        <v>85.418833801373808</v>
      </c>
      <c r="V270" s="233">
        <f t="shared" si="34"/>
        <v>5.002331142349778</v>
      </c>
    </row>
    <row r="271" spans="1:22">
      <c r="A271" s="84" t="s">
        <v>640</v>
      </c>
      <c r="B271" s="84">
        <f t="shared" si="36"/>
        <v>13</v>
      </c>
      <c r="C271" s="47"/>
      <c r="D271" s="47" t="str">
        <f t="shared" si="35"/>
        <v>10/2036</v>
      </c>
      <c r="E271" s="93">
        <f t="shared" si="37"/>
        <v>72.813146642007368</v>
      </c>
      <c r="F271" s="105">
        <f>(E271*'Realized Pricing'!$L$2)/M271</f>
        <v>85.418833801373808</v>
      </c>
      <c r="G271" s="47"/>
      <c r="H271" s="47"/>
      <c r="I271" s="47"/>
      <c r="J271" s="228">
        <f t="shared" si="38"/>
        <v>4.0018649138798228</v>
      </c>
      <c r="K271" s="236">
        <f>((J271-'Realized Pricing'!$B$32)/M271)*'Realized Pricing'!$L$7</f>
        <v>4.147702790706437</v>
      </c>
      <c r="L271" s="107"/>
      <c r="M271" s="227">
        <v>0.8</v>
      </c>
      <c r="N271" s="47"/>
      <c r="O271" s="47"/>
      <c r="P271" s="232">
        <f t="shared" si="39"/>
        <v>15.288519821502884</v>
      </c>
      <c r="Q271" s="232">
        <f t="shared" si="40"/>
        <v>43.43881028649232</v>
      </c>
      <c r="R271" s="232">
        <f t="shared" si="41"/>
        <v>72.195788045985836</v>
      </c>
      <c r="S271" s="47"/>
      <c r="T271" s="234">
        <f>SUMPRODUCT($P$4:$R$4,((P271:R271)/M271))*'Realized Pricing'!$L$12</f>
        <v>42.375135787403032</v>
      </c>
      <c r="U271" s="241">
        <f t="shared" si="42"/>
        <v>85.418833801373808</v>
      </c>
      <c r="V271" s="233">
        <f t="shared" si="34"/>
        <v>5.002331142349778</v>
      </c>
    </row>
    <row r="272" spans="1:22">
      <c r="A272" s="84" t="s">
        <v>641</v>
      </c>
      <c r="B272" s="84">
        <f t="shared" si="36"/>
        <v>13</v>
      </c>
      <c r="C272" s="47"/>
      <c r="D272" s="47" t="str">
        <f t="shared" si="35"/>
        <v>11/2036</v>
      </c>
      <c r="E272" s="93">
        <f t="shared" si="37"/>
        <v>72.813146642007368</v>
      </c>
      <c r="F272" s="105">
        <f>(E272*'Realized Pricing'!$L$2)/M272</f>
        <v>85.418833801373808</v>
      </c>
      <c r="G272" s="47"/>
      <c r="H272" s="47"/>
      <c r="I272" s="47"/>
      <c r="J272" s="228">
        <f t="shared" si="38"/>
        <v>4.0018649138798228</v>
      </c>
      <c r="K272" s="236">
        <f>((J272-'Realized Pricing'!$B$32)/M272)*'Realized Pricing'!$L$7</f>
        <v>4.147702790706437</v>
      </c>
      <c r="L272" s="107"/>
      <c r="M272" s="227">
        <v>0.8</v>
      </c>
      <c r="N272" s="47"/>
      <c r="O272" s="47"/>
      <c r="P272" s="232">
        <f t="shared" si="39"/>
        <v>15.288519821502884</v>
      </c>
      <c r="Q272" s="232">
        <f t="shared" si="40"/>
        <v>43.43881028649232</v>
      </c>
      <c r="R272" s="232">
        <f t="shared" si="41"/>
        <v>72.195788045985836</v>
      </c>
      <c r="S272" s="47"/>
      <c r="T272" s="234">
        <f>SUMPRODUCT($P$4:$R$4,((P272:R272)/M272))*'Realized Pricing'!$L$12</f>
        <v>42.375135787403032</v>
      </c>
      <c r="U272" s="241">
        <f t="shared" si="42"/>
        <v>85.418833801373808</v>
      </c>
      <c r="V272" s="233">
        <f t="shared" si="34"/>
        <v>5.002331142349778</v>
      </c>
    </row>
    <row r="273" spans="1:22">
      <c r="A273" s="84" t="s">
        <v>584</v>
      </c>
      <c r="B273" s="84">
        <f t="shared" si="36"/>
        <v>13</v>
      </c>
      <c r="C273" s="47"/>
      <c r="D273" s="47" t="str">
        <f t="shared" si="35"/>
        <v>12/2036</v>
      </c>
      <c r="E273" s="93">
        <f t="shared" si="37"/>
        <v>72.813146642007368</v>
      </c>
      <c r="F273" s="105">
        <f>(E273*'Realized Pricing'!$L$2)/M273</f>
        <v>85.418833801373808</v>
      </c>
      <c r="G273" s="47"/>
      <c r="H273" s="47"/>
      <c r="I273" s="47"/>
      <c r="J273" s="228">
        <f t="shared" si="38"/>
        <v>4.0018649138798228</v>
      </c>
      <c r="K273" s="236">
        <f>((J273-'Realized Pricing'!$B$32)/M273)*'Realized Pricing'!$L$7</f>
        <v>4.147702790706437</v>
      </c>
      <c r="L273" s="107"/>
      <c r="M273" s="227">
        <v>0.8</v>
      </c>
      <c r="N273" s="47"/>
      <c r="O273" s="47"/>
      <c r="P273" s="232">
        <f t="shared" si="39"/>
        <v>15.288519821502884</v>
      </c>
      <c r="Q273" s="232">
        <f t="shared" si="40"/>
        <v>43.43881028649232</v>
      </c>
      <c r="R273" s="232">
        <f t="shared" si="41"/>
        <v>72.195788045985836</v>
      </c>
      <c r="S273" s="47"/>
      <c r="T273" s="234">
        <f>SUMPRODUCT($P$4:$R$4,((P273:R273)/M273))*'Realized Pricing'!$L$12</f>
        <v>42.375135787403032</v>
      </c>
      <c r="U273" s="241">
        <f t="shared" si="42"/>
        <v>85.418833801373808</v>
      </c>
      <c r="V273" s="233">
        <f t="shared" si="34"/>
        <v>5.002331142349778</v>
      </c>
    </row>
    <row r="274" spans="1:22">
      <c r="A274" s="84" t="s">
        <v>642</v>
      </c>
      <c r="B274" s="84">
        <f t="shared" si="36"/>
        <v>13</v>
      </c>
      <c r="C274" s="47"/>
      <c r="D274" s="47" t="str">
        <f t="shared" si="35"/>
        <v>01/2037</v>
      </c>
      <c r="E274" s="93">
        <f t="shared" si="37"/>
        <v>72.813146642007368</v>
      </c>
      <c r="F274" s="105">
        <f>(E274*'Realized Pricing'!$L$2)/M274</f>
        <v>85.418833801373808</v>
      </c>
      <c r="G274" s="47"/>
      <c r="H274" s="47"/>
      <c r="I274" s="47"/>
      <c r="J274" s="228">
        <f t="shared" si="38"/>
        <v>4.0018649138798228</v>
      </c>
      <c r="K274" s="236">
        <f>((J274-'Realized Pricing'!$B$32)/M274)*'Realized Pricing'!$L$7</f>
        <v>4.147702790706437</v>
      </c>
      <c r="L274" s="107"/>
      <c r="M274" s="227">
        <v>0.8</v>
      </c>
      <c r="N274" s="47"/>
      <c r="O274" s="47"/>
      <c r="P274" s="232">
        <f t="shared" si="39"/>
        <v>15.288519821502884</v>
      </c>
      <c r="Q274" s="232">
        <f t="shared" si="40"/>
        <v>43.43881028649232</v>
      </c>
      <c r="R274" s="232">
        <f t="shared" si="41"/>
        <v>72.195788045985836</v>
      </c>
      <c r="S274" s="47"/>
      <c r="T274" s="234">
        <f>SUMPRODUCT($P$4:$R$4,((P274:R274)/M274))*'Realized Pricing'!$L$12</f>
        <v>42.375135787403032</v>
      </c>
      <c r="U274" s="241">
        <f t="shared" si="42"/>
        <v>85.418833801373808</v>
      </c>
      <c r="V274" s="233">
        <f t="shared" si="34"/>
        <v>5.002331142349778</v>
      </c>
    </row>
    <row r="275" spans="1:22">
      <c r="A275" s="84" t="s">
        <v>643</v>
      </c>
      <c r="B275" s="84">
        <f t="shared" si="36"/>
        <v>13</v>
      </c>
      <c r="C275" s="47"/>
      <c r="D275" s="47" t="str">
        <f t="shared" si="35"/>
        <v>02/2037</v>
      </c>
      <c r="E275" s="93">
        <f t="shared" si="37"/>
        <v>72.813146642007368</v>
      </c>
      <c r="F275" s="105">
        <f>(E275*'Realized Pricing'!$L$2)/M275</f>
        <v>85.418833801373808</v>
      </c>
      <c r="G275" s="47"/>
      <c r="H275" s="47"/>
      <c r="I275" s="47"/>
      <c r="J275" s="228">
        <f t="shared" si="38"/>
        <v>4.0618928875880203</v>
      </c>
      <c r="K275" s="236">
        <f>((J275-'Realized Pricing'!$B$32)/M275)*'Realized Pricing'!$L$7</f>
        <v>4.2280993035067072</v>
      </c>
      <c r="L275" s="107"/>
      <c r="M275" s="227">
        <v>0.8</v>
      </c>
      <c r="N275" s="47"/>
      <c r="O275" s="47"/>
      <c r="P275" s="232">
        <f t="shared" si="39"/>
        <v>15.517847618825426</v>
      </c>
      <c r="Q275" s="232">
        <f t="shared" si="40"/>
        <v>44.090392440789699</v>
      </c>
      <c r="R275" s="232">
        <f t="shared" si="41"/>
        <v>73.278724866675617</v>
      </c>
      <c r="S275" s="47"/>
      <c r="T275" s="234">
        <f>SUMPRODUCT($P$4:$R$4,((P275:R275)/M275))*'Realized Pricing'!$L$12</f>
        <v>43.010762824214076</v>
      </c>
      <c r="U275" s="241">
        <f t="shared" si="42"/>
        <v>85.418833801373808</v>
      </c>
      <c r="V275" s="233">
        <f t="shared" si="34"/>
        <v>5.0773661094850251</v>
      </c>
    </row>
    <row r="276" spans="1:22">
      <c r="A276" s="84" t="s">
        <v>644</v>
      </c>
      <c r="B276" s="84">
        <f t="shared" si="36"/>
        <v>13</v>
      </c>
      <c r="C276" s="47"/>
      <c r="D276" s="47" t="str">
        <f t="shared" si="35"/>
        <v>03/2037</v>
      </c>
      <c r="E276" s="93">
        <f t="shared" si="37"/>
        <v>72.813146642007368</v>
      </c>
      <c r="F276" s="105">
        <f>(E276*'Realized Pricing'!$L$2)/M276</f>
        <v>85.418833801373808</v>
      </c>
      <c r="G276" s="47"/>
      <c r="H276" s="47"/>
      <c r="I276" s="47"/>
      <c r="J276" s="228">
        <f t="shared" si="38"/>
        <v>4.0618928875880203</v>
      </c>
      <c r="K276" s="236">
        <f>((J276-'Realized Pricing'!$B$32)/M276)*'Realized Pricing'!$L$7</f>
        <v>4.2280993035067072</v>
      </c>
      <c r="L276" s="107"/>
      <c r="M276" s="227">
        <v>0.8</v>
      </c>
      <c r="N276" s="47"/>
      <c r="O276" s="47"/>
      <c r="P276" s="232">
        <f t="shared" si="39"/>
        <v>15.517847618825426</v>
      </c>
      <c r="Q276" s="232">
        <f t="shared" si="40"/>
        <v>44.090392440789699</v>
      </c>
      <c r="R276" s="232">
        <f t="shared" si="41"/>
        <v>73.278724866675617</v>
      </c>
      <c r="S276" s="47"/>
      <c r="T276" s="234">
        <f>SUMPRODUCT($P$4:$R$4,((P276:R276)/M276))*'Realized Pricing'!$L$12</f>
        <v>43.010762824214076</v>
      </c>
      <c r="U276" s="241">
        <f t="shared" si="42"/>
        <v>85.418833801373808</v>
      </c>
      <c r="V276" s="233">
        <f t="shared" si="34"/>
        <v>5.0773661094850251</v>
      </c>
    </row>
    <row r="277" spans="1:22">
      <c r="A277" s="84" t="s">
        <v>645</v>
      </c>
      <c r="B277" s="84">
        <f t="shared" si="36"/>
        <v>14</v>
      </c>
      <c r="C277" s="47"/>
      <c r="D277" s="47" t="str">
        <f t="shared" si="35"/>
        <v>04/2037</v>
      </c>
      <c r="E277" s="93">
        <f t="shared" si="37"/>
        <v>73.90534384163746</v>
      </c>
      <c r="F277" s="105">
        <f>(E277*'Realized Pricing'!$L$2)/M277</f>
        <v>86.700116308394399</v>
      </c>
      <c r="G277" s="47"/>
      <c r="H277" s="47"/>
      <c r="I277" s="47"/>
      <c r="J277" s="228">
        <f t="shared" si="38"/>
        <v>4.0618928875880203</v>
      </c>
      <c r="K277" s="236">
        <f>((J277-'Realized Pricing'!$B$32)/M277)*'Realized Pricing'!$L$7</f>
        <v>4.2280993035067072</v>
      </c>
      <c r="L277" s="107"/>
      <c r="M277" s="227">
        <v>0.8</v>
      </c>
      <c r="N277" s="47"/>
      <c r="O277" s="47"/>
      <c r="P277" s="232">
        <f t="shared" si="39"/>
        <v>15.517847618825426</v>
      </c>
      <c r="Q277" s="232">
        <f t="shared" si="40"/>
        <v>44.090392440789699</v>
      </c>
      <c r="R277" s="232">
        <f t="shared" si="41"/>
        <v>73.278724866675617</v>
      </c>
      <c r="S277" s="47"/>
      <c r="T277" s="234">
        <f>SUMPRODUCT($P$4:$R$4,((P277:R277)/M277))*'Realized Pricing'!$L$12</f>
        <v>43.010762824214076</v>
      </c>
      <c r="U277" s="241">
        <f t="shared" si="42"/>
        <v>86.700116308394399</v>
      </c>
      <c r="V277" s="233">
        <f t="shared" si="34"/>
        <v>5.0773661094850251</v>
      </c>
    </row>
    <row r="278" spans="1:22">
      <c r="A278" s="84" t="s">
        <v>646</v>
      </c>
      <c r="B278" s="84">
        <f t="shared" si="36"/>
        <v>14</v>
      </c>
      <c r="C278" s="47"/>
      <c r="D278" s="47" t="str">
        <f t="shared" si="35"/>
        <v>05/2037</v>
      </c>
      <c r="E278" s="93">
        <f t="shared" si="37"/>
        <v>73.90534384163746</v>
      </c>
      <c r="F278" s="105">
        <f>(E278*'Realized Pricing'!$L$2)/M278</f>
        <v>86.700116308394399</v>
      </c>
      <c r="G278" s="47"/>
      <c r="H278" s="47"/>
      <c r="I278" s="47"/>
      <c r="J278" s="228">
        <f t="shared" si="38"/>
        <v>4.0618928875880203</v>
      </c>
      <c r="K278" s="236">
        <f>((J278-'Realized Pricing'!$B$32)/M278)*'Realized Pricing'!$L$7</f>
        <v>4.2280993035067072</v>
      </c>
      <c r="L278" s="107"/>
      <c r="M278" s="227">
        <v>0.8</v>
      </c>
      <c r="N278" s="47"/>
      <c r="O278" s="47"/>
      <c r="P278" s="232">
        <f t="shared" si="39"/>
        <v>15.517847618825426</v>
      </c>
      <c r="Q278" s="232">
        <f t="shared" si="40"/>
        <v>44.090392440789699</v>
      </c>
      <c r="R278" s="232">
        <f t="shared" si="41"/>
        <v>73.278724866675617</v>
      </c>
      <c r="S278" s="47"/>
      <c r="T278" s="234">
        <f>SUMPRODUCT($P$4:$R$4,((P278:R278)/M278))*'Realized Pricing'!$L$12</f>
        <v>43.010762824214076</v>
      </c>
      <c r="U278" s="241">
        <f t="shared" si="42"/>
        <v>86.700116308394399</v>
      </c>
      <c r="V278" s="233">
        <f t="shared" si="34"/>
        <v>5.0773661094850251</v>
      </c>
    </row>
    <row r="279" spans="1:22">
      <c r="A279" s="84" t="s">
        <v>647</v>
      </c>
      <c r="B279" s="84">
        <f t="shared" si="36"/>
        <v>14</v>
      </c>
      <c r="C279" s="47"/>
      <c r="D279" s="47" t="str">
        <f t="shared" si="35"/>
        <v>06/2037</v>
      </c>
      <c r="E279" s="93">
        <f t="shared" si="37"/>
        <v>73.90534384163746</v>
      </c>
      <c r="F279" s="105">
        <f>(E279*'Realized Pricing'!$L$2)/M279</f>
        <v>86.700116308394399</v>
      </c>
      <c r="G279" s="47"/>
      <c r="H279" s="47"/>
      <c r="I279" s="47"/>
      <c r="J279" s="228">
        <f t="shared" si="38"/>
        <v>4.0618928875880203</v>
      </c>
      <c r="K279" s="236">
        <f>((J279-'Realized Pricing'!$B$32)/M279)*'Realized Pricing'!$L$7</f>
        <v>4.2280993035067072</v>
      </c>
      <c r="L279" s="107"/>
      <c r="M279" s="227">
        <v>0.8</v>
      </c>
      <c r="N279" s="47"/>
      <c r="O279" s="47"/>
      <c r="P279" s="232">
        <f t="shared" si="39"/>
        <v>15.517847618825426</v>
      </c>
      <c r="Q279" s="232">
        <f t="shared" si="40"/>
        <v>44.090392440789699</v>
      </c>
      <c r="R279" s="232">
        <f t="shared" si="41"/>
        <v>73.278724866675617</v>
      </c>
      <c r="S279" s="47"/>
      <c r="T279" s="234">
        <f>SUMPRODUCT($P$4:$R$4,((P279:R279)/M279))*'Realized Pricing'!$L$12</f>
        <v>43.010762824214076</v>
      </c>
      <c r="U279" s="241">
        <f t="shared" si="42"/>
        <v>86.700116308394399</v>
      </c>
      <c r="V279" s="233">
        <f t="shared" si="34"/>
        <v>5.0773661094850251</v>
      </c>
    </row>
    <row r="280" spans="1:22">
      <c r="A280" s="84" t="s">
        <v>648</v>
      </c>
      <c r="B280" s="84">
        <f t="shared" si="36"/>
        <v>14</v>
      </c>
      <c r="C280" s="47"/>
      <c r="D280" s="47" t="str">
        <f t="shared" si="35"/>
        <v>07/2037</v>
      </c>
      <c r="E280" s="93">
        <f t="shared" si="37"/>
        <v>73.90534384163746</v>
      </c>
      <c r="F280" s="105">
        <f>(E280*'Realized Pricing'!$L$2)/M280</f>
        <v>86.700116308394399</v>
      </c>
      <c r="G280" s="47"/>
      <c r="H280" s="47"/>
      <c r="I280" s="47"/>
      <c r="J280" s="228">
        <f t="shared" si="38"/>
        <v>4.0618928875880203</v>
      </c>
      <c r="K280" s="236">
        <f>((J280-'Realized Pricing'!$B$32)/M280)*'Realized Pricing'!$L$7</f>
        <v>4.2280993035067072</v>
      </c>
      <c r="L280" s="107"/>
      <c r="M280" s="227">
        <v>0.8</v>
      </c>
      <c r="N280" s="47"/>
      <c r="O280" s="47"/>
      <c r="P280" s="232">
        <f t="shared" si="39"/>
        <v>15.517847618825426</v>
      </c>
      <c r="Q280" s="232">
        <f t="shared" si="40"/>
        <v>44.090392440789699</v>
      </c>
      <c r="R280" s="232">
        <f t="shared" si="41"/>
        <v>73.278724866675617</v>
      </c>
      <c r="S280" s="47"/>
      <c r="T280" s="234">
        <f>SUMPRODUCT($P$4:$R$4,((P280:R280)/M280))*'Realized Pricing'!$L$12</f>
        <v>43.010762824214076</v>
      </c>
      <c r="U280" s="241">
        <f t="shared" si="42"/>
        <v>86.700116308394399</v>
      </c>
      <c r="V280" s="233">
        <f t="shared" si="34"/>
        <v>5.0773661094850251</v>
      </c>
    </row>
    <row r="281" spans="1:22">
      <c r="A281" s="84" t="s">
        <v>649</v>
      </c>
      <c r="B281" s="84">
        <f t="shared" si="36"/>
        <v>14</v>
      </c>
      <c r="C281" s="47"/>
      <c r="D281" s="47" t="str">
        <f t="shared" si="35"/>
        <v>08/2037</v>
      </c>
      <c r="E281" s="93">
        <f t="shared" si="37"/>
        <v>73.90534384163746</v>
      </c>
      <c r="F281" s="105">
        <f>(E281*'Realized Pricing'!$L$2)/M281</f>
        <v>86.700116308394399</v>
      </c>
      <c r="G281" s="47"/>
      <c r="H281" s="47"/>
      <c r="I281" s="47"/>
      <c r="J281" s="228">
        <f t="shared" si="38"/>
        <v>4.0618928875880203</v>
      </c>
      <c r="K281" s="236">
        <f>((J281-'Realized Pricing'!$B$32)/M281)*'Realized Pricing'!$L$7</f>
        <v>4.2280993035067072</v>
      </c>
      <c r="L281" s="107"/>
      <c r="M281" s="227">
        <v>0.8</v>
      </c>
      <c r="N281" s="47"/>
      <c r="O281" s="47"/>
      <c r="P281" s="232">
        <f t="shared" si="39"/>
        <v>15.517847618825426</v>
      </c>
      <c r="Q281" s="232">
        <f t="shared" si="40"/>
        <v>44.090392440789699</v>
      </c>
      <c r="R281" s="232">
        <f t="shared" si="41"/>
        <v>73.278724866675617</v>
      </c>
      <c r="S281" s="47"/>
      <c r="T281" s="234">
        <f>SUMPRODUCT($P$4:$R$4,((P281:R281)/M281))*'Realized Pricing'!$L$12</f>
        <v>43.010762824214076</v>
      </c>
      <c r="U281" s="241">
        <f t="shared" si="42"/>
        <v>86.700116308394399</v>
      </c>
      <c r="V281" s="233">
        <f t="shared" si="34"/>
        <v>5.0773661094850251</v>
      </c>
    </row>
    <row r="282" spans="1:22">
      <c r="A282" s="84" t="s">
        <v>650</v>
      </c>
      <c r="B282" s="84">
        <f t="shared" si="36"/>
        <v>14</v>
      </c>
      <c r="C282" s="47"/>
      <c r="D282" s="47" t="str">
        <f t="shared" si="35"/>
        <v>09/2037</v>
      </c>
      <c r="E282" s="93">
        <f t="shared" si="37"/>
        <v>73.90534384163746</v>
      </c>
      <c r="F282" s="105">
        <f>(E282*'Realized Pricing'!$L$2)/M282</f>
        <v>86.700116308394399</v>
      </c>
      <c r="G282" s="47"/>
      <c r="H282" s="47"/>
      <c r="I282" s="47"/>
      <c r="J282" s="228">
        <f t="shared" si="38"/>
        <v>4.0618928875880203</v>
      </c>
      <c r="K282" s="236">
        <f>((J282-'Realized Pricing'!$B$32)/M282)*'Realized Pricing'!$L$7</f>
        <v>4.2280993035067072</v>
      </c>
      <c r="L282" s="107"/>
      <c r="M282" s="227">
        <v>0.8</v>
      </c>
      <c r="N282" s="47"/>
      <c r="O282" s="47"/>
      <c r="P282" s="232">
        <f t="shared" si="39"/>
        <v>15.517847618825426</v>
      </c>
      <c r="Q282" s="232">
        <f t="shared" si="40"/>
        <v>44.090392440789699</v>
      </c>
      <c r="R282" s="232">
        <f t="shared" si="41"/>
        <v>73.278724866675617</v>
      </c>
      <c r="S282" s="47"/>
      <c r="T282" s="234">
        <f>SUMPRODUCT($P$4:$R$4,((P282:R282)/M282))*'Realized Pricing'!$L$12</f>
        <v>43.010762824214076</v>
      </c>
      <c r="U282" s="241">
        <f t="shared" si="42"/>
        <v>86.700116308394399</v>
      </c>
      <c r="V282" s="233">
        <f t="shared" si="34"/>
        <v>5.0773661094850251</v>
      </c>
    </row>
    <row r="283" spans="1:22">
      <c r="A283" s="84" t="s">
        <v>651</v>
      </c>
      <c r="B283" s="84">
        <f t="shared" si="36"/>
        <v>14</v>
      </c>
      <c r="C283" s="47"/>
      <c r="D283" s="47" t="str">
        <f t="shared" si="35"/>
        <v>10/2037</v>
      </c>
      <c r="E283" s="93">
        <f t="shared" si="37"/>
        <v>73.90534384163746</v>
      </c>
      <c r="F283" s="105">
        <f>(E283*'Realized Pricing'!$L$2)/M283</f>
        <v>86.700116308394399</v>
      </c>
      <c r="G283" s="47"/>
      <c r="H283" s="47"/>
      <c r="I283" s="47"/>
      <c r="J283" s="228">
        <f t="shared" si="38"/>
        <v>4.0618928875880203</v>
      </c>
      <c r="K283" s="236">
        <f>((J283-'Realized Pricing'!$B$32)/M283)*'Realized Pricing'!$L$7</f>
        <v>4.2280993035067072</v>
      </c>
      <c r="L283" s="107"/>
      <c r="M283" s="227">
        <v>0.8</v>
      </c>
      <c r="N283" s="47"/>
      <c r="O283" s="47"/>
      <c r="P283" s="232">
        <f t="shared" si="39"/>
        <v>15.517847618825426</v>
      </c>
      <c r="Q283" s="232">
        <f t="shared" si="40"/>
        <v>44.090392440789699</v>
      </c>
      <c r="R283" s="232">
        <f t="shared" si="41"/>
        <v>73.278724866675617</v>
      </c>
      <c r="S283" s="47"/>
      <c r="T283" s="234">
        <f>SUMPRODUCT($P$4:$R$4,((P283:R283)/M283))*'Realized Pricing'!$L$12</f>
        <v>43.010762824214076</v>
      </c>
      <c r="U283" s="241">
        <f t="shared" si="42"/>
        <v>86.700116308394399</v>
      </c>
      <c r="V283" s="233">
        <f t="shared" si="34"/>
        <v>5.0773661094850251</v>
      </c>
    </row>
    <row r="284" spans="1:22">
      <c r="A284" s="84" t="s">
        <v>652</v>
      </c>
      <c r="B284" s="84">
        <f t="shared" si="36"/>
        <v>14</v>
      </c>
      <c r="C284" s="47"/>
      <c r="D284" s="47" t="str">
        <f t="shared" si="35"/>
        <v>11/2037</v>
      </c>
      <c r="E284" s="93">
        <f t="shared" si="37"/>
        <v>73.90534384163746</v>
      </c>
      <c r="F284" s="105">
        <f>(E284*'Realized Pricing'!$L$2)/M284</f>
        <v>86.700116308394399</v>
      </c>
      <c r="G284" s="47"/>
      <c r="H284" s="47"/>
      <c r="I284" s="47"/>
      <c r="J284" s="228">
        <f t="shared" si="38"/>
        <v>4.0618928875880203</v>
      </c>
      <c r="K284" s="236">
        <f>((J284-'Realized Pricing'!$B$32)/M284)*'Realized Pricing'!$L$7</f>
        <v>4.2280993035067072</v>
      </c>
      <c r="L284" s="107"/>
      <c r="M284" s="227">
        <v>0.8</v>
      </c>
      <c r="N284" s="47"/>
      <c r="O284" s="47"/>
      <c r="P284" s="232">
        <f t="shared" si="39"/>
        <v>15.517847618825426</v>
      </c>
      <c r="Q284" s="232">
        <f t="shared" si="40"/>
        <v>44.090392440789699</v>
      </c>
      <c r="R284" s="232">
        <f t="shared" si="41"/>
        <v>73.278724866675617</v>
      </c>
      <c r="S284" s="47"/>
      <c r="T284" s="234">
        <f>SUMPRODUCT($P$4:$R$4,((P284:R284)/M284))*'Realized Pricing'!$L$12</f>
        <v>43.010762824214076</v>
      </c>
      <c r="U284" s="241">
        <f t="shared" si="42"/>
        <v>86.700116308394399</v>
      </c>
      <c r="V284" s="233">
        <f t="shared" si="34"/>
        <v>5.0773661094850251</v>
      </c>
    </row>
    <row r="285" spans="1:22">
      <c r="A285" s="84" t="s">
        <v>642</v>
      </c>
      <c r="B285" s="84">
        <f t="shared" si="36"/>
        <v>14</v>
      </c>
      <c r="C285" s="47"/>
      <c r="D285" s="47" t="str">
        <f t="shared" si="35"/>
        <v>01/2037</v>
      </c>
      <c r="E285" s="93">
        <f t="shared" si="37"/>
        <v>73.90534384163746</v>
      </c>
      <c r="F285" s="105">
        <f>(E285*'Realized Pricing'!$L$2)/M285</f>
        <v>86.700116308394399</v>
      </c>
      <c r="G285" s="47"/>
      <c r="H285" s="47"/>
      <c r="I285" s="47"/>
      <c r="J285" s="228">
        <f t="shared" si="38"/>
        <v>4.0618928875880203</v>
      </c>
      <c r="K285" s="236">
        <f>((J285-'Realized Pricing'!$B$32)/M285)*'Realized Pricing'!$L$7</f>
        <v>4.2280993035067072</v>
      </c>
      <c r="L285" s="107"/>
      <c r="M285" s="227">
        <v>0.8</v>
      </c>
      <c r="N285" s="47"/>
      <c r="O285" s="47"/>
      <c r="P285" s="232">
        <f t="shared" si="39"/>
        <v>15.517847618825426</v>
      </c>
      <c r="Q285" s="232">
        <f t="shared" si="40"/>
        <v>44.090392440789699</v>
      </c>
      <c r="R285" s="232">
        <f t="shared" si="41"/>
        <v>73.278724866675617</v>
      </c>
      <c r="S285" s="47"/>
      <c r="T285" s="234">
        <f>SUMPRODUCT($P$4:$R$4,((P285:R285)/M285))*'Realized Pricing'!$L$12</f>
        <v>43.010762824214076</v>
      </c>
      <c r="U285" s="241">
        <f t="shared" si="42"/>
        <v>86.700116308394399</v>
      </c>
      <c r="V285" s="233">
        <f t="shared" si="34"/>
        <v>5.0773661094850251</v>
      </c>
    </row>
    <row r="286" spans="1:22">
      <c r="A286" s="84" t="s">
        <v>643</v>
      </c>
      <c r="B286" s="84">
        <f t="shared" si="36"/>
        <v>14</v>
      </c>
      <c r="C286" s="47"/>
      <c r="D286" s="47" t="str">
        <f t="shared" si="35"/>
        <v>02/2037</v>
      </c>
      <c r="E286" s="93">
        <f t="shared" si="37"/>
        <v>73.90534384163746</v>
      </c>
      <c r="F286" s="105">
        <f>(E286*'Realized Pricing'!$L$2)/M286</f>
        <v>86.700116308394399</v>
      </c>
      <c r="G286" s="47"/>
      <c r="H286" s="47"/>
      <c r="I286" s="47"/>
      <c r="J286" s="228">
        <f t="shared" si="38"/>
        <v>4.0618928875880203</v>
      </c>
      <c r="K286" s="236">
        <f>((J286-'Realized Pricing'!$B$32)/M286)*'Realized Pricing'!$L$7</f>
        <v>4.2280993035067072</v>
      </c>
      <c r="L286" s="107"/>
      <c r="M286" s="227">
        <v>0.8</v>
      </c>
      <c r="N286" s="47"/>
      <c r="O286" s="47"/>
      <c r="P286" s="232">
        <f t="shared" si="39"/>
        <v>15.517847618825426</v>
      </c>
      <c r="Q286" s="232">
        <f t="shared" si="40"/>
        <v>44.090392440789699</v>
      </c>
      <c r="R286" s="232">
        <f t="shared" si="41"/>
        <v>73.278724866675617</v>
      </c>
      <c r="S286" s="47"/>
      <c r="T286" s="234">
        <f>SUMPRODUCT($P$4:$R$4,((P286:R286)/M286))*'Realized Pricing'!$L$12</f>
        <v>43.010762824214076</v>
      </c>
      <c r="U286" s="241">
        <f t="shared" si="42"/>
        <v>86.700116308394399</v>
      </c>
      <c r="V286" s="233">
        <f t="shared" si="34"/>
        <v>5.0773661094850251</v>
      </c>
    </row>
    <row r="287" spans="1:22">
      <c r="A287" s="84" t="s">
        <v>644</v>
      </c>
      <c r="B287" s="84">
        <f t="shared" si="36"/>
        <v>14</v>
      </c>
      <c r="C287" s="47"/>
      <c r="D287" s="47" t="str">
        <f t="shared" si="35"/>
        <v>03/2037</v>
      </c>
      <c r="E287" s="93">
        <f t="shared" si="37"/>
        <v>73.90534384163746</v>
      </c>
      <c r="F287" s="105">
        <f>(E287*'Realized Pricing'!$L$2)/M287</f>
        <v>86.700116308394399</v>
      </c>
      <c r="G287" s="47"/>
      <c r="H287" s="47"/>
      <c r="I287" s="47"/>
      <c r="J287" s="228">
        <f t="shared" ref="J287:J318" si="43">$Y$3*(1+$AB$3)^B241</f>
        <v>4.1228212809018396</v>
      </c>
      <c r="K287" s="236">
        <f>((J287-'Realized Pricing'!$B$32)/M287)*'Realized Pricing'!$L$7</f>
        <v>4.3097017639989801</v>
      </c>
      <c r="L287" s="107"/>
      <c r="M287" s="227">
        <v>0.8</v>
      </c>
      <c r="N287" s="47"/>
      <c r="O287" s="47"/>
      <c r="P287" s="232">
        <f t="shared" ref="P287:P318" si="44">$P$158 * (1+$AB$3)^B241</f>
        <v>15.750615333107806</v>
      </c>
      <c r="Q287" s="232">
        <f t="shared" ref="Q287:Q318" si="45">$Q$158 * (1+$AB$3)^B241</f>
        <v>44.751748327401536</v>
      </c>
      <c r="R287" s="232">
        <f t="shared" ref="R287:R318" si="46">$R$158 * (1+$AB$3)^B241</f>
        <v>74.377905739675754</v>
      </c>
      <c r="S287" s="47"/>
      <c r="T287" s="234">
        <f>SUMPRODUCT($P$4:$R$4,((P287:R287)/M287))*'Realized Pricing'!$L$12</f>
        <v>43.655924266577287</v>
      </c>
      <c r="U287" s="241">
        <f t="shared" si="42"/>
        <v>86.700116308394399</v>
      </c>
      <c r="V287" s="233">
        <f t="shared" ref="V287:V343" si="47">J287/M287</f>
        <v>5.1535266011272993</v>
      </c>
    </row>
    <row r="288" spans="1:22">
      <c r="A288" s="84" t="s">
        <v>645</v>
      </c>
      <c r="B288" s="84">
        <f t="shared" si="36"/>
        <v>14</v>
      </c>
      <c r="C288" s="47"/>
      <c r="D288" s="47" t="str">
        <f t="shared" ref="D288:D343" si="48">A288</f>
        <v>04/2037</v>
      </c>
      <c r="E288" s="93">
        <f t="shared" si="37"/>
        <v>73.90534384163746</v>
      </c>
      <c r="F288" s="105">
        <f>(E288*'Realized Pricing'!$L$2)/M288</f>
        <v>86.700116308394399</v>
      </c>
      <c r="G288" s="47"/>
      <c r="H288" s="47"/>
      <c r="I288" s="47"/>
      <c r="J288" s="228">
        <f t="shared" si="43"/>
        <v>4.1228212809018396</v>
      </c>
      <c r="K288" s="236">
        <f>((J288-'Realized Pricing'!$B$32)/M288)*'Realized Pricing'!$L$7</f>
        <v>4.3097017639989801</v>
      </c>
      <c r="L288" s="107"/>
      <c r="M288" s="227">
        <v>0.8</v>
      </c>
      <c r="N288" s="47"/>
      <c r="O288" s="47"/>
      <c r="P288" s="232">
        <f t="shared" si="44"/>
        <v>15.750615333107806</v>
      </c>
      <c r="Q288" s="232">
        <f t="shared" si="45"/>
        <v>44.751748327401536</v>
      </c>
      <c r="R288" s="232">
        <f t="shared" si="46"/>
        <v>74.377905739675754</v>
      </c>
      <c r="S288" s="47"/>
      <c r="T288" s="234">
        <f>SUMPRODUCT($P$4:$R$4,((P288:R288)/M288))*'Realized Pricing'!$L$12</f>
        <v>43.655924266577287</v>
      </c>
      <c r="U288" s="241">
        <f t="shared" si="42"/>
        <v>86.700116308394399</v>
      </c>
      <c r="V288" s="233">
        <f t="shared" si="47"/>
        <v>5.1535266011272993</v>
      </c>
    </row>
    <row r="289" spans="1:22">
      <c r="A289" s="84" t="s">
        <v>646</v>
      </c>
      <c r="B289" s="84">
        <f t="shared" si="36"/>
        <v>15</v>
      </c>
      <c r="C289" s="47"/>
      <c r="D289" s="47" t="str">
        <f t="shared" si="48"/>
        <v>05/2037</v>
      </c>
      <c r="E289" s="93">
        <f t="shared" si="37"/>
        <v>75.013923999262019</v>
      </c>
      <c r="F289" s="105">
        <f>(E289*'Realized Pricing'!$L$2)/M289</f>
        <v>88.000618053020304</v>
      </c>
      <c r="G289" s="47"/>
      <c r="H289" s="47"/>
      <c r="I289" s="47"/>
      <c r="J289" s="228">
        <f t="shared" si="43"/>
        <v>4.1228212809018396</v>
      </c>
      <c r="K289" s="236">
        <f>((J289-'Realized Pricing'!$B$32)/M289)*'Realized Pricing'!$L$7</f>
        <v>4.3097017639989801</v>
      </c>
      <c r="L289" s="107"/>
      <c r="M289" s="227">
        <v>0.8</v>
      </c>
      <c r="N289" s="47"/>
      <c r="O289" s="47"/>
      <c r="P289" s="232">
        <f t="shared" si="44"/>
        <v>15.750615333107806</v>
      </c>
      <c r="Q289" s="232">
        <f t="shared" si="45"/>
        <v>44.751748327401536</v>
      </c>
      <c r="R289" s="232">
        <f t="shared" si="46"/>
        <v>74.377905739675754</v>
      </c>
      <c r="S289" s="47"/>
      <c r="T289" s="234">
        <f>SUMPRODUCT($P$4:$R$4,((P289:R289)/M289))*'Realized Pricing'!$L$12</f>
        <v>43.655924266577287</v>
      </c>
      <c r="U289" s="241">
        <f t="shared" si="42"/>
        <v>88.000618053020304</v>
      </c>
      <c r="V289" s="233">
        <f t="shared" si="47"/>
        <v>5.1535266011272993</v>
      </c>
    </row>
    <row r="290" spans="1:22">
      <c r="A290" s="84" t="s">
        <v>647</v>
      </c>
      <c r="B290" s="84">
        <f t="shared" si="36"/>
        <v>15</v>
      </c>
      <c r="C290" s="47"/>
      <c r="D290" s="47" t="str">
        <f t="shared" si="48"/>
        <v>06/2037</v>
      </c>
      <c r="E290" s="93">
        <f t="shared" si="37"/>
        <v>75.013923999262019</v>
      </c>
      <c r="F290" s="105">
        <f>(E290*'Realized Pricing'!$L$2)/M290</f>
        <v>88.000618053020304</v>
      </c>
      <c r="G290" s="47"/>
      <c r="H290" s="47"/>
      <c r="I290" s="47"/>
      <c r="J290" s="228">
        <f t="shared" si="43"/>
        <v>4.1228212809018396</v>
      </c>
      <c r="K290" s="236">
        <f>((J290-'Realized Pricing'!$B$32)/M290)*'Realized Pricing'!$L$7</f>
        <v>4.3097017639989801</v>
      </c>
      <c r="L290" s="107"/>
      <c r="M290" s="227">
        <v>0.8</v>
      </c>
      <c r="N290" s="47"/>
      <c r="O290" s="47"/>
      <c r="P290" s="232">
        <f t="shared" si="44"/>
        <v>15.750615333107806</v>
      </c>
      <c r="Q290" s="232">
        <f t="shared" si="45"/>
        <v>44.751748327401536</v>
      </c>
      <c r="R290" s="232">
        <f t="shared" si="46"/>
        <v>74.377905739675754</v>
      </c>
      <c r="S290" s="47"/>
      <c r="T290" s="234">
        <f>SUMPRODUCT($P$4:$R$4,((P290:R290)/M290))*'Realized Pricing'!$L$12</f>
        <v>43.655924266577287</v>
      </c>
      <c r="U290" s="241">
        <f t="shared" si="42"/>
        <v>88.000618053020304</v>
      </c>
      <c r="V290" s="233">
        <f t="shared" si="47"/>
        <v>5.1535266011272993</v>
      </c>
    </row>
    <row r="291" spans="1:22">
      <c r="A291" s="84" t="s">
        <v>648</v>
      </c>
      <c r="B291" s="84">
        <f t="shared" si="36"/>
        <v>15</v>
      </c>
      <c r="C291" s="47"/>
      <c r="D291" s="47" t="str">
        <f t="shared" si="48"/>
        <v>07/2037</v>
      </c>
      <c r="E291" s="93">
        <f t="shared" si="37"/>
        <v>75.013923999262019</v>
      </c>
      <c r="F291" s="105">
        <f>(E291*'Realized Pricing'!$L$2)/M291</f>
        <v>88.000618053020304</v>
      </c>
      <c r="G291" s="47"/>
      <c r="H291" s="47"/>
      <c r="I291" s="47"/>
      <c r="J291" s="228">
        <f t="shared" si="43"/>
        <v>4.1228212809018396</v>
      </c>
      <c r="K291" s="236">
        <f>((J291-'Realized Pricing'!$B$32)/M291)*'Realized Pricing'!$L$7</f>
        <v>4.3097017639989801</v>
      </c>
      <c r="L291" s="107"/>
      <c r="M291" s="227">
        <v>0.8</v>
      </c>
      <c r="N291" s="47"/>
      <c r="O291" s="47"/>
      <c r="P291" s="232">
        <f t="shared" si="44"/>
        <v>15.750615333107806</v>
      </c>
      <c r="Q291" s="232">
        <f t="shared" si="45"/>
        <v>44.751748327401536</v>
      </c>
      <c r="R291" s="232">
        <f t="shared" si="46"/>
        <v>74.377905739675754</v>
      </c>
      <c r="S291" s="47"/>
      <c r="T291" s="234">
        <f>SUMPRODUCT($P$4:$R$4,((P291:R291)/M291))*'Realized Pricing'!$L$12</f>
        <v>43.655924266577287</v>
      </c>
      <c r="U291" s="241">
        <f t="shared" si="42"/>
        <v>88.000618053020304</v>
      </c>
      <c r="V291" s="233">
        <f t="shared" si="47"/>
        <v>5.1535266011272993</v>
      </c>
    </row>
    <row r="292" spans="1:22">
      <c r="A292" s="84" t="s">
        <v>649</v>
      </c>
      <c r="B292" s="84">
        <f t="shared" si="36"/>
        <v>15</v>
      </c>
      <c r="C292" s="47"/>
      <c r="D292" s="47" t="str">
        <f t="shared" si="48"/>
        <v>08/2037</v>
      </c>
      <c r="E292" s="93">
        <f t="shared" si="37"/>
        <v>75.013923999262019</v>
      </c>
      <c r="F292" s="105">
        <f>(E292*'Realized Pricing'!$L$2)/M292</f>
        <v>88.000618053020304</v>
      </c>
      <c r="G292" s="47"/>
      <c r="H292" s="47"/>
      <c r="I292" s="47"/>
      <c r="J292" s="228">
        <f t="shared" si="43"/>
        <v>4.1228212809018396</v>
      </c>
      <c r="K292" s="236">
        <f>((J292-'Realized Pricing'!$B$32)/M292)*'Realized Pricing'!$L$7</f>
        <v>4.3097017639989801</v>
      </c>
      <c r="L292" s="107"/>
      <c r="M292" s="227">
        <v>0.8</v>
      </c>
      <c r="N292" s="47"/>
      <c r="O292" s="47"/>
      <c r="P292" s="232">
        <f t="shared" si="44"/>
        <v>15.750615333107806</v>
      </c>
      <c r="Q292" s="232">
        <f t="shared" si="45"/>
        <v>44.751748327401536</v>
      </c>
      <c r="R292" s="232">
        <f t="shared" si="46"/>
        <v>74.377905739675754</v>
      </c>
      <c r="S292" s="47"/>
      <c r="T292" s="234">
        <f>SUMPRODUCT($P$4:$R$4,((P292:R292)/M292))*'Realized Pricing'!$L$12</f>
        <v>43.655924266577287</v>
      </c>
      <c r="U292" s="241">
        <f t="shared" si="42"/>
        <v>88.000618053020304</v>
      </c>
      <c r="V292" s="233">
        <f t="shared" si="47"/>
        <v>5.1535266011272993</v>
      </c>
    </row>
    <row r="293" spans="1:22">
      <c r="A293" s="84" t="s">
        <v>650</v>
      </c>
      <c r="B293" s="84">
        <f t="shared" si="36"/>
        <v>15</v>
      </c>
      <c r="C293" s="47"/>
      <c r="D293" s="47" t="str">
        <f t="shared" si="48"/>
        <v>09/2037</v>
      </c>
      <c r="E293" s="93">
        <f t="shared" si="37"/>
        <v>75.013923999262019</v>
      </c>
      <c r="F293" s="105">
        <f>(E293*'Realized Pricing'!$L$2)/M293</f>
        <v>88.000618053020304</v>
      </c>
      <c r="G293" s="47"/>
      <c r="H293" s="47"/>
      <c r="I293" s="47"/>
      <c r="J293" s="228">
        <f t="shared" si="43"/>
        <v>4.1228212809018396</v>
      </c>
      <c r="K293" s="236">
        <f>((J293-'Realized Pricing'!$B$32)/M293)*'Realized Pricing'!$L$7</f>
        <v>4.3097017639989801</v>
      </c>
      <c r="L293" s="107"/>
      <c r="M293" s="227">
        <v>0.8</v>
      </c>
      <c r="N293" s="47"/>
      <c r="O293" s="47"/>
      <c r="P293" s="232">
        <f t="shared" si="44"/>
        <v>15.750615333107806</v>
      </c>
      <c r="Q293" s="232">
        <f t="shared" si="45"/>
        <v>44.751748327401536</v>
      </c>
      <c r="R293" s="232">
        <f t="shared" si="46"/>
        <v>74.377905739675754</v>
      </c>
      <c r="S293" s="47"/>
      <c r="T293" s="234">
        <f>SUMPRODUCT($P$4:$R$4,((P293:R293)/M293))*'Realized Pricing'!$L$12</f>
        <v>43.655924266577287</v>
      </c>
      <c r="U293" s="241">
        <f t="shared" si="42"/>
        <v>88.000618053020304</v>
      </c>
      <c r="V293" s="233">
        <f t="shared" si="47"/>
        <v>5.1535266011272993</v>
      </c>
    </row>
    <row r="294" spans="1:22">
      <c r="A294" s="84" t="s">
        <v>651</v>
      </c>
      <c r="B294" s="84">
        <f t="shared" si="36"/>
        <v>15</v>
      </c>
      <c r="C294" s="47"/>
      <c r="D294" s="47" t="str">
        <f t="shared" si="48"/>
        <v>10/2037</v>
      </c>
      <c r="E294" s="93">
        <f t="shared" si="37"/>
        <v>75.013923999262019</v>
      </c>
      <c r="F294" s="105">
        <f>(E294*'Realized Pricing'!$L$2)/M294</f>
        <v>88.000618053020304</v>
      </c>
      <c r="G294" s="47"/>
      <c r="H294" s="47"/>
      <c r="I294" s="47"/>
      <c r="J294" s="228">
        <f t="shared" si="43"/>
        <v>4.1228212809018396</v>
      </c>
      <c r="K294" s="236">
        <f>((J294-'Realized Pricing'!$B$32)/M294)*'Realized Pricing'!$L$7</f>
        <v>4.3097017639989801</v>
      </c>
      <c r="L294" s="107"/>
      <c r="M294" s="227">
        <v>0.8</v>
      </c>
      <c r="N294" s="47"/>
      <c r="O294" s="47"/>
      <c r="P294" s="232">
        <f t="shared" si="44"/>
        <v>15.750615333107806</v>
      </c>
      <c r="Q294" s="232">
        <f t="shared" si="45"/>
        <v>44.751748327401536</v>
      </c>
      <c r="R294" s="232">
        <f t="shared" si="46"/>
        <v>74.377905739675754</v>
      </c>
      <c r="S294" s="47"/>
      <c r="T294" s="234">
        <f>SUMPRODUCT($P$4:$R$4,((P294:R294)/M294))*'Realized Pricing'!$L$12</f>
        <v>43.655924266577287</v>
      </c>
      <c r="U294" s="241">
        <f t="shared" si="42"/>
        <v>88.000618053020304</v>
      </c>
      <c r="V294" s="233">
        <f t="shared" si="47"/>
        <v>5.1535266011272993</v>
      </c>
    </row>
    <row r="295" spans="1:22">
      <c r="A295" s="84" t="s">
        <v>652</v>
      </c>
      <c r="B295" s="84">
        <f t="shared" ref="B295:B343" si="49">B283+1</f>
        <v>15</v>
      </c>
      <c r="C295" s="47"/>
      <c r="D295" s="47" t="str">
        <f t="shared" si="48"/>
        <v>11/2037</v>
      </c>
      <c r="E295" s="93">
        <f t="shared" si="37"/>
        <v>75.013923999262019</v>
      </c>
      <c r="F295" s="105">
        <f>(E295*'Realized Pricing'!$L$2)/M295</f>
        <v>88.000618053020304</v>
      </c>
      <c r="G295" s="47"/>
      <c r="H295" s="47"/>
      <c r="I295" s="47"/>
      <c r="J295" s="228">
        <f t="shared" si="43"/>
        <v>4.1228212809018396</v>
      </c>
      <c r="K295" s="236">
        <f>((J295-'Realized Pricing'!$B$32)/M295)*'Realized Pricing'!$L$7</f>
        <v>4.3097017639989801</v>
      </c>
      <c r="L295" s="107"/>
      <c r="M295" s="227">
        <v>0.8</v>
      </c>
      <c r="N295" s="47"/>
      <c r="O295" s="47"/>
      <c r="P295" s="232">
        <f t="shared" si="44"/>
        <v>15.750615333107806</v>
      </c>
      <c r="Q295" s="232">
        <f t="shared" si="45"/>
        <v>44.751748327401536</v>
      </c>
      <c r="R295" s="232">
        <f t="shared" si="46"/>
        <v>74.377905739675754</v>
      </c>
      <c r="S295" s="47"/>
      <c r="T295" s="234">
        <f>SUMPRODUCT($P$4:$R$4,((P295:R295)/M295))*'Realized Pricing'!$L$12</f>
        <v>43.655924266577287</v>
      </c>
      <c r="U295" s="241">
        <f t="shared" si="42"/>
        <v>88.000618053020304</v>
      </c>
      <c r="V295" s="233">
        <f t="shared" si="47"/>
        <v>5.1535266011272993</v>
      </c>
    </row>
    <row r="296" spans="1:22">
      <c r="A296" s="84" t="s">
        <v>585</v>
      </c>
      <c r="B296" s="84">
        <f t="shared" si="49"/>
        <v>15</v>
      </c>
      <c r="C296" s="47"/>
      <c r="D296" s="47" t="str">
        <f t="shared" si="48"/>
        <v>12/2037</v>
      </c>
      <c r="E296" s="93">
        <f t="shared" si="37"/>
        <v>75.013923999262019</v>
      </c>
      <c r="F296" s="105">
        <f>(E296*'Realized Pricing'!$L$2)/M296</f>
        <v>88.000618053020304</v>
      </c>
      <c r="G296" s="47"/>
      <c r="H296" s="47"/>
      <c r="I296" s="47"/>
      <c r="J296" s="228">
        <f t="shared" si="43"/>
        <v>4.1228212809018396</v>
      </c>
      <c r="K296" s="236">
        <f>((J296-'Realized Pricing'!$B$32)/M296)*'Realized Pricing'!$L$7</f>
        <v>4.3097017639989801</v>
      </c>
      <c r="L296" s="107"/>
      <c r="M296" s="227">
        <v>0.8</v>
      </c>
      <c r="N296" s="47"/>
      <c r="O296" s="47"/>
      <c r="P296" s="232">
        <f t="shared" si="44"/>
        <v>15.750615333107806</v>
      </c>
      <c r="Q296" s="232">
        <f t="shared" si="45"/>
        <v>44.751748327401536</v>
      </c>
      <c r="R296" s="232">
        <f t="shared" si="46"/>
        <v>74.377905739675754</v>
      </c>
      <c r="S296" s="47"/>
      <c r="T296" s="234">
        <f>SUMPRODUCT($P$4:$R$4,((P296:R296)/M296))*'Realized Pricing'!$L$12</f>
        <v>43.655924266577287</v>
      </c>
      <c r="U296" s="241">
        <f t="shared" si="42"/>
        <v>88.000618053020304</v>
      </c>
      <c r="V296" s="233">
        <f t="shared" si="47"/>
        <v>5.1535266011272993</v>
      </c>
    </row>
    <row r="297" spans="1:22">
      <c r="A297" s="84" t="s">
        <v>653</v>
      </c>
      <c r="B297" s="84">
        <f t="shared" si="49"/>
        <v>15</v>
      </c>
      <c r="C297" s="47"/>
      <c r="D297" s="47" t="str">
        <f t="shared" si="48"/>
        <v>01/2038</v>
      </c>
      <c r="E297" s="93">
        <f t="shared" si="37"/>
        <v>75.013923999262019</v>
      </c>
      <c r="F297" s="105">
        <f>(E297*'Realized Pricing'!$L$2)/M297</f>
        <v>88.000618053020304</v>
      </c>
      <c r="G297" s="47"/>
      <c r="H297" s="47"/>
      <c r="I297" s="47"/>
      <c r="J297" s="228">
        <f t="shared" si="43"/>
        <v>4.1228212809018396</v>
      </c>
      <c r="K297" s="236">
        <f>((J297-'Realized Pricing'!$B$32)/M297)*'Realized Pricing'!$L$7</f>
        <v>4.3097017639989801</v>
      </c>
      <c r="L297" s="107"/>
      <c r="M297" s="227">
        <v>0.8</v>
      </c>
      <c r="N297" s="47"/>
      <c r="O297" s="47"/>
      <c r="P297" s="232">
        <f t="shared" si="44"/>
        <v>15.750615333107806</v>
      </c>
      <c r="Q297" s="232">
        <f t="shared" si="45"/>
        <v>44.751748327401536</v>
      </c>
      <c r="R297" s="232">
        <f t="shared" si="46"/>
        <v>74.377905739675754</v>
      </c>
      <c r="S297" s="47"/>
      <c r="T297" s="234">
        <f>SUMPRODUCT($P$4:$R$4,((P297:R297)/M297))*'Realized Pricing'!$L$12</f>
        <v>43.655924266577287</v>
      </c>
      <c r="U297" s="241">
        <f t="shared" si="42"/>
        <v>88.000618053020304</v>
      </c>
      <c r="V297" s="233">
        <f t="shared" si="47"/>
        <v>5.1535266011272993</v>
      </c>
    </row>
    <row r="298" spans="1:22">
      <c r="A298" s="84" t="s">
        <v>654</v>
      </c>
      <c r="B298" s="84">
        <f t="shared" si="49"/>
        <v>15</v>
      </c>
      <c r="C298" s="47"/>
      <c r="D298" s="47" t="str">
        <f t="shared" si="48"/>
        <v>02/2038</v>
      </c>
      <c r="E298" s="93">
        <f t="shared" si="37"/>
        <v>75.013923999262019</v>
      </c>
      <c r="F298" s="105">
        <f>(E298*'Realized Pricing'!$L$2)/M298</f>
        <v>88.000618053020304</v>
      </c>
      <c r="G298" s="47"/>
      <c r="H298" s="47"/>
      <c r="I298" s="47"/>
      <c r="J298" s="228">
        <f t="shared" si="43"/>
        <v>4.1228212809018396</v>
      </c>
      <c r="K298" s="236">
        <f>((J298-'Realized Pricing'!$B$32)/M298)*'Realized Pricing'!$L$7</f>
        <v>4.3097017639989801</v>
      </c>
      <c r="L298" s="107"/>
      <c r="M298" s="227">
        <v>0.8</v>
      </c>
      <c r="N298" s="47"/>
      <c r="O298" s="47"/>
      <c r="P298" s="232">
        <f t="shared" si="44"/>
        <v>15.750615333107806</v>
      </c>
      <c r="Q298" s="232">
        <f t="shared" si="45"/>
        <v>44.751748327401536</v>
      </c>
      <c r="R298" s="232">
        <f t="shared" si="46"/>
        <v>74.377905739675754</v>
      </c>
      <c r="S298" s="47"/>
      <c r="T298" s="234">
        <f>SUMPRODUCT($P$4:$R$4,((P298:R298)/M298))*'Realized Pricing'!$L$12</f>
        <v>43.655924266577287</v>
      </c>
      <c r="U298" s="241">
        <f t="shared" si="42"/>
        <v>88.000618053020304</v>
      </c>
      <c r="V298" s="233">
        <f t="shared" si="47"/>
        <v>5.1535266011272993</v>
      </c>
    </row>
    <row r="299" spans="1:22">
      <c r="A299" s="84" t="s">
        <v>655</v>
      </c>
      <c r="B299" s="84">
        <f t="shared" si="49"/>
        <v>15</v>
      </c>
      <c r="C299" s="47"/>
      <c r="D299" s="47" t="str">
        <f t="shared" si="48"/>
        <v>03/2038</v>
      </c>
      <c r="E299" s="93">
        <f t="shared" si="37"/>
        <v>75.013923999262019</v>
      </c>
      <c r="F299" s="105">
        <f>(E299*'Realized Pricing'!$L$2)/M299</f>
        <v>88.000618053020304</v>
      </c>
      <c r="G299" s="47"/>
      <c r="H299" s="47"/>
      <c r="I299" s="47"/>
      <c r="J299" s="228">
        <f t="shared" si="43"/>
        <v>4.1846636001153668</v>
      </c>
      <c r="K299" s="236">
        <f>((J299-'Realized Pricing'!$B$32)/M299)*'Realized Pricing'!$L$7</f>
        <v>4.3925282613986383</v>
      </c>
      <c r="L299" s="107"/>
      <c r="M299" s="227">
        <v>0.8</v>
      </c>
      <c r="N299" s="47"/>
      <c r="O299" s="47"/>
      <c r="P299" s="232">
        <f t="shared" si="44"/>
        <v>15.98687456310442</v>
      </c>
      <c r="Q299" s="232">
        <f t="shared" si="45"/>
        <v>45.423024552312555</v>
      </c>
      <c r="R299" s="232">
        <f t="shared" si="46"/>
        <v>75.493574325770865</v>
      </c>
      <c r="S299" s="47"/>
      <c r="T299" s="234">
        <f>SUMPRODUCT($P$4:$R$4,((P299:R299)/M299))*'Realized Pricing'!$L$12</f>
        <v>44.310763130575936</v>
      </c>
      <c r="U299" s="241">
        <f t="shared" si="42"/>
        <v>88.000618053020304</v>
      </c>
      <c r="V299" s="233">
        <f t="shared" si="47"/>
        <v>5.2308295001442078</v>
      </c>
    </row>
    <row r="300" spans="1:22">
      <c r="A300" s="84" t="s">
        <v>656</v>
      </c>
      <c r="B300" s="84">
        <f t="shared" si="49"/>
        <v>15</v>
      </c>
      <c r="C300" s="47"/>
      <c r="D300" s="47" t="str">
        <f t="shared" si="48"/>
        <v>04/2038</v>
      </c>
      <c r="E300" s="93">
        <f t="shared" si="37"/>
        <v>75.013923999262019</v>
      </c>
      <c r="F300" s="105">
        <f>(E300*'Realized Pricing'!$L$2)/M300</f>
        <v>88.000618053020304</v>
      </c>
      <c r="G300" s="47"/>
      <c r="H300" s="47"/>
      <c r="I300" s="47"/>
      <c r="J300" s="228">
        <f t="shared" si="43"/>
        <v>4.1846636001153668</v>
      </c>
      <c r="K300" s="236">
        <f>((J300-'Realized Pricing'!$B$32)/M300)*'Realized Pricing'!$L$7</f>
        <v>4.3925282613986383</v>
      </c>
      <c r="L300" s="107"/>
      <c r="M300" s="227">
        <v>0.8</v>
      </c>
      <c r="N300" s="47"/>
      <c r="O300" s="47"/>
      <c r="P300" s="232">
        <f t="shared" si="44"/>
        <v>15.98687456310442</v>
      </c>
      <c r="Q300" s="232">
        <f t="shared" si="45"/>
        <v>45.423024552312555</v>
      </c>
      <c r="R300" s="232">
        <f t="shared" si="46"/>
        <v>75.493574325770865</v>
      </c>
      <c r="S300" s="47"/>
      <c r="T300" s="234">
        <f>SUMPRODUCT($P$4:$R$4,((P300:R300)/M300))*'Realized Pricing'!$L$12</f>
        <v>44.310763130575936</v>
      </c>
      <c r="U300" s="241">
        <f t="shared" si="42"/>
        <v>88.000618053020304</v>
      </c>
      <c r="V300" s="233">
        <f t="shared" si="47"/>
        <v>5.2308295001442078</v>
      </c>
    </row>
    <row r="301" spans="1:22">
      <c r="A301" s="84" t="s">
        <v>657</v>
      </c>
      <c r="B301" s="84">
        <f t="shared" si="49"/>
        <v>16</v>
      </c>
      <c r="C301" s="47"/>
      <c r="D301" s="47" t="str">
        <f t="shared" si="48"/>
        <v>05/2038</v>
      </c>
      <c r="E301" s="93">
        <f t="shared" si="37"/>
        <v>76.139132859250935</v>
      </c>
      <c r="F301" s="105">
        <f>(E301*'Realized Pricing'!$L$2)/M301</f>
        <v>89.3206273238156</v>
      </c>
      <c r="G301" s="47"/>
      <c r="H301" s="47"/>
      <c r="I301" s="47"/>
      <c r="J301" s="228">
        <f t="shared" si="43"/>
        <v>4.1846636001153668</v>
      </c>
      <c r="K301" s="236">
        <f>((J301-'Realized Pricing'!$B$32)/M301)*'Realized Pricing'!$L$7</f>
        <v>4.3925282613986383</v>
      </c>
      <c r="L301" s="107"/>
      <c r="M301" s="227">
        <v>0.8</v>
      </c>
      <c r="N301" s="47"/>
      <c r="O301" s="47"/>
      <c r="P301" s="232">
        <f t="shared" si="44"/>
        <v>15.98687456310442</v>
      </c>
      <c r="Q301" s="232">
        <f t="shared" si="45"/>
        <v>45.423024552312555</v>
      </c>
      <c r="R301" s="232">
        <f t="shared" si="46"/>
        <v>75.493574325770865</v>
      </c>
      <c r="S301" s="47"/>
      <c r="T301" s="234">
        <f>SUMPRODUCT($P$4:$R$4,((P301:R301)/M301))*'Realized Pricing'!$L$12</f>
        <v>44.310763130575936</v>
      </c>
      <c r="U301" s="241">
        <f t="shared" si="42"/>
        <v>89.3206273238156</v>
      </c>
      <c r="V301" s="233">
        <f t="shared" si="47"/>
        <v>5.2308295001442078</v>
      </c>
    </row>
    <row r="302" spans="1:22">
      <c r="A302" s="84" t="s">
        <v>658</v>
      </c>
      <c r="B302" s="84">
        <f t="shared" si="49"/>
        <v>16</v>
      </c>
      <c r="C302" s="47"/>
      <c r="D302" s="47" t="str">
        <f t="shared" si="48"/>
        <v>06/2038</v>
      </c>
      <c r="E302" s="93">
        <f t="shared" si="37"/>
        <v>76.139132859250935</v>
      </c>
      <c r="F302" s="105">
        <f>(E302*'Realized Pricing'!$L$2)/M302</f>
        <v>89.3206273238156</v>
      </c>
      <c r="G302" s="47"/>
      <c r="H302" s="47"/>
      <c r="I302" s="47"/>
      <c r="J302" s="228">
        <f t="shared" si="43"/>
        <v>4.1846636001153668</v>
      </c>
      <c r="K302" s="236">
        <f>((J302-'Realized Pricing'!$B$32)/M302)*'Realized Pricing'!$L$7</f>
        <v>4.3925282613986383</v>
      </c>
      <c r="L302" s="107"/>
      <c r="M302" s="227">
        <v>0.8</v>
      </c>
      <c r="N302" s="47"/>
      <c r="O302" s="47"/>
      <c r="P302" s="232">
        <f t="shared" si="44"/>
        <v>15.98687456310442</v>
      </c>
      <c r="Q302" s="232">
        <f t="shared" si="45"/>
        <v>45.423024552312555</v>
      </c>
      <c r="R302" s="232">
        <f t="shared" si="46"/>
        <v>75.493574325770865</v>
      </c>
      <c r="S302" s="47"/>
      <c r="T302" s="234">
        <f>SUMPRODUCT($P$4:$R$4,((P302:R302)/M302))*'Realized Pricing'!$L$12</f>
        <v>44.310763130575936</v>
      </c>
      <c r="U302" s="241">
        <f t="shared" si="42"/>
        <v>89.3206273238156</v>
      </c>
      <c r="V302" s="233">
        <f t="shared" si="47"/>
        <v>5.2308295001442078</v>
      </c>
    </row>
    <row r="303" spans="1:22">
      <c r="A303" s="84" t="s">
        <v>659</v>
      </c>
      <c r="B303" s="84">
        <f t="shared" si="49"/>
        <v>16</v>
      </c>
      <c r="C303" s="47"/>
      <c r="D303" s="47" t="str">
        <f t="shared" si="48"/>
        <v>07/2038</v>
      </c>
      <c r="E303" s="93">
        <f t="shared" si="37"/>
        <v>76.139132859250935</v>
      </c>
      <c r="F303" s="105">
        <f>(E303*'Realized Pricing'!$L$2)/M303</f>
        <v>89.3206273238156</v>
      </c>
      <c r="G303" s="47"/>
      <c r="H303" s="47"/>
      <c r="I303" s="47"/>
      <c r="J303" s="228">
        <f t="shared" si="43"/>
        <v>4.1846636001153668</v>
      </c>
      <c r="K303" s="236">
        <f>((J303-'Realized Pricing'!$B$32)/M303)*'Realized Pricing'!$L$7</f>
        <v>4.3925282613986383</v>
      </c>
      <c r="L303" s="107"/>
      <c r="M303" s="227">
        <v>0.8</v>
      </c>
      <c r="N303" s="47"/>
      <c r="O303" s="47"/>
      <c r="P303" s="232">
        <f t="shared" si="44"/>
        <v>15.98687456310442</v>
      </c>
      <c r="Q303" s="232">
        <f t="shared" si="45"/>
        <v>45.423024552312555</v>
      </c>
      <c r="R303" s="232">
        <f t="shared" si="46"/>
        <v>75.493574325770865</v>
      </c>
      <c r="S303" s="47"/>
      <c r="T303" s="234">
        <f>SUMPRODUCT($P$4:$R$4,((P303:R303)/M303))*'Realized Pricing'!$L$12</f>
        <v>44.310763130575936</v>
      </c>
      <c r="U303" s="241">
        <f t="shared" si="42"/>
        <v>89.3206273238156</v>
      </c>
      <c r="V303" s="233">
        <f t="shared" si="47"/>
        <v>5.2308295001442078</v>
      </c>
    </row>
    <row r="304" spans="1:22">
      <c r="A304" s="84" t="s">
        <v>660</v>
      </c>
      <c r="B304" s="84">
        <f t="shared" si="49"/>
        <v>16</v>
      </c>
      <c r="C304" s="47"/>
      <c r="D304" s="47" t="str">
        <f t="shared" si="48"/>
        <v>08/2038</v>
      </c>
      <c r="E304" s="93">
        <f t="shared" si="37"/>
        <v>76.139132859250935</v>
      </c>
      <c r="F304" s="105">
        <f>(E304*'Realized Pricing'!$L$2)/M304</f>
        <v>89.3206273238156</v>
      </c>
      <c r="G304" s="47"/>
      <c r="H304" s="47"/>
      <c r="I304" s="47"/>
      <c r="J304" s="228">
        <f t="shared" si="43"/>
        <v>4.1846636001153668</v>
      </c>
      <c r="K304" s="236">
        <f>((J304-'Realized Pricing'!$B$32)/M304)*'Realized Pricing'!$L$7</f>
        <v>4.3925282613986383</v>
      </c>
      <c r="L304" s="107"/>
      <c r="M304" s="227">
        <v>0.8</v>
      </c>
      <c r="N304" s="47"/>
      <c r="O304" s="47"/>
      <c r="P304" s="232">
        <f t="shared" si="44"/>
        <v>15.98687456310442</v>
      </c>
      <c r="Q304" s="232">
        <f t="shared" si="45"/>
        <v>45.423024552312555</v>
      </c>
      <c r="R304" s="232">
        <f t="shared" si="46"/>
        <v>75.493574325770865</v>
      </c>
      <c r="S304" s="47"/>
      <c r="T304" s="234">
        <f>SUMPRODUCT($P$4:$R$4,((P304:R304)/M304))*'Realized Pricing'!$L$12</f>
        <v>44.310763130575936</v>
      </c>
      <c r="U304" s="241">
        <f t="shared" si="42"/>
        <v>89.3206273238156</v>
      </c>
      <c r="V304" s="233">
        <f t="shared" si="47"/>
        <v>5.2308295001442078</v>
      </c>
    </row>
    <row r="305" spans="1:22">
      <c r="A305" s="84" t="s">
        <v>661</v>
      </c>
      <c r="B305" s="84">
        <f t="shared" si="49"/>
        <v>16</v>
      </c>
      <c r="C305" s="47"/>
      <c r="D305" s="47" t="str">
        <f t="shared" si="48"/>
        <v>09/2038</v>
      </c>
      <c r="E305" s="93">
        <f t="shared" ref="E305:E343" si="50">$X$3*(1+$AB$3)^B305</f>
        <v>76.139132859250935</v>
      </c>
      <c r="F305" s="105">
        <f>(E305*'Realized Pricing'!$L$2)/M305</f>
        <v>89.3206273238156</v>
      </c>
      <c r="G305" s="47"/>
      <c r="H305" s="47"/>
      <c r="I305" s="47"/>
      <c r="J305" s="228">
        <f t="shared" si="43"/>
        <v>4.1846636001153668</v>
      </c>
      <c r="K305" s="236">
        <f>((J305-'Realized Pricing'!$B$32)/M305)*'Realized Pricing'!$L$7</f>
        <v>4.3925282613986383</v>
      </c>
      <c r="L305" s="107"/>
      <c r="M305" s="227">
        <v>0.8</v>
      </c>
      <c r="N305" s="47"/>
      <c r="O305" s="47"/>
      <c r="P305" s="232">
        <f t="shared" si="44"/>
        <v>15.98687456310442</v>
      </c>
      <c r="Q305" s="232">
        <f t="shared" si="45"/>
        <v>45.423024552312555</v>
      </c>
      <c r="R305" s="232">
        <f t="shared" si="46"/>
        <v>75.493574325770865</v>
      </c>
      <c r="S305" s="47"/>
      <c r="T305" s="234">
        <f>SUMPRODUCT($P$4:$R$4,((P305:R305)/M305))*'Realized Pricing'!$L$12</f>
        <v>44.310763130575936</v>
      </c>
      <c r="U305" s="241">
        <f t="shared" si="42"/>
        <v>89.3206273238156</v>
      </c>
      <c r="V305" s="233">
        <f t="shared" si="47"/>
        <v>5.2308295001442078</v>
      </c>
    </row>
    <row r="306" spans="1:22">
      <c r="A306" s="84" t="s">
        <v>662</v>
      </c>
      <c r="B306" s="84">
        <f t="shared" si="49"/>
        <v>16</v>
      </c>
      <c r="C306" s="47"/>
      <c r="D306" s="47" t="str">
        <f t="shared" si="48"/>
        <v>10/2038</v>
      </c>
      <c r="E306" s="93">
        <f t="shared" si="50"/>
        <v>76.139132859250935</v>
      </c>
      <c r="F306" s="105">
        <f>(E306*'Realized Pricing'!$L$2)/M306</f>
        <v>89.3206273238156</v>
      </c>
      <c r="G306" s="47"/>
      <c r="H306" s="47"/>
      <c r="I306" s="47"/>
      <c r="J306" s="228">
        <f t="shared" si="43"/>
        <v>4.1846636001153668</v>
      </c>
      <c r="K306" s="236">
        <f>((J306-'Realized Pricing'!$B$32)/M306)*'Realized Pricing'!$L$7</f>
        <v>4.3925282613986383</v>
      </c>
      <c r="L306" s="107"/>
      <c r="M306" s="227">
        <v>0.8</v>
      </c>
      <c r="N306" s="47"/>
      <c r="O306" s="47"/>
      <c r="P306" s="232">
        <f t="shared" si="44"/>
        <v>15.98687456310442</v>
      </c>
      <c r="Q306" s="232">
        <f t="shared" si="45"/>
        <v>45.423024552312555</v>
      </c>
      <c r="R306" s="232">
        <f t="shared" si="46"/>
        <v>75.493574325770865</v>
      </c>
      <c r="S306" s="47"/>
      <c r="T306" s="234">
        <f>SUMPRODUCT($P$4:$R$4,((P306:R306)/M306))*'Realized Pricing'!$L$12</f>
        <v>44.310763130575936</v>
      </c>
      <c r="U306" s="241">
        <f t="shared" si="42"/>
        <v>89.3206273238156</v>
      </c>
      <c r="V306" s="233">
        <f t="shared" si="47"/>
        <v>5.2308295001442078</v>
      </c>
    </row>
    <row r="307" spans="1:22">
      <c r="A307" s="84" t="s">
        <v>663</v>
      </c>
      <c r="B307" s="84">
        <f t="shared" si="49"/>
        <v>16</v>
      </c>
      <c r="C307" s="47"/>
      <c r="D307" s="47" t="str">
        <f t="shared" si="48"/>
        <v>11/2038</v>
      </c>
      <c r="E307" s="93">
        <f t="shared" si="50"/>
        <v>76.139132859250935</v>
      </c>
      <c r="F307" s="105">
        <f>(E307*'Realized Pricing'!$L$2)/M307</f>
        <v>89.3206273238156</v>
      </c>
      <c r="G307" s="47"/>
      <c r="H307" s="47"/>
      <c r="I307" s="47"/>
      <c r="J307" s="228">
        <f t="shared" si="43"/>
        <v>4.1846636001153668</v>
      </c>
      <c r="K307" s="236">
        <f>((J307-'Realized Pricing'!$B$32)/M307)*'Realized Pricing'!$L$7</f>
        <v>4.3925282613986383</v>
      </c>
      <c r="L307" s="107"/>
      <c r="M307" s="227">
        <v>0.8</v>
      </c>
      <c r="N307" s="47"/>
      <c r="O307" s="47"/>
      <c r="P307" s="232">
        <f t="shared" si="44"/>
        <v>15.98687456310442</v>
      </c>
      <c r="Q307" s="232">
        <f t="shared" si="45"/>
        <v>45.423024552312555</v>
      </c>
      <c r="R307" s="232">
        <f t="shared" si="46"/>
        <v>75.493574325770865</v>
      </c>
      <c r="S307" s="47"/>
      <c r="T307" s="234">
        <f>SUMPRODUCT($P$4:$R$4,((P307:R307)/M307))*'Realized Pricing'!$L$12</f>
        <v>44.310763130575936</v>
      </c>
      <c r="U307" s="241">
        <f t="shared" si="42"/>
        <v>89.3206273238156</v>
      </c>
      <c r="V307" s="233">
        <f t="shared" si="47"/>
        <v>5.2308295001442078</v>
      </c>
    </row>
    <row r="308" spans="1:22">
      <c r="A308" s="84" t="s">
        <v>653</v>
      </c>
      <c r="B308" s="84">
        <f t="shared" si="49"/>
        <v>16</v>
      </c>
      <c r="C308" s="47"/>
      <c r="D308" s="47" t="str">
        <f t="shared" si="48"/>
        <v>01/2038</v>
      </c>
      <c r="E308" s="93">
        <f t="shared" si="50"/>
        <v>76.139132859250935</v>
      </c>
      <c r="F308" s="105">
        <f>(E308*'Realized Pricing'!$L$2)/M308</f>
        <v>89.3206273238156</v>
      </c>
      <c r="G308" s="47"/>
      <c r="H308" s="47"/>
      <c r="I308" s="47"/>
      <c r="J308" s="228">
        <f t="shared" si="43"/>
        <v>4.1846636001153668</v>
      </c>
      <c r="K308" s="236">
        <f>((J308-'Realized Pricing'!$B$32)/M308)*'Realized Pricing'!$L$7</f>
        <v>4.3925282613986383</v>
      </c>
      <c r="L308" s="107"/>
      <c r="M308" s="227">
        <v>0.8</v>
      </c>
      <c r="N308" s="47"/>
      <c r="O308" s="47"/>
      <c r="P308" s="232">
        <f t="shared" si="44"/>
        <v>15.98687456310442</v>
      </c>
      <c r="Q308" s="232">
        <f t="shared" si="45"/>
        <v>45.423024552312555</v>
      </c>
      <c r="R308" s="232">
        <f t="shared" si="46"/>
        <v>75.493574325770865</v>
      </c>
      <c r="S308" s="47"/>
      <c r="T308" s="234">
        <f>SUMPRODUCT($P$4:$R$4,((P308:R308)/M308))*'Realized Pricing'!$L$12</f>
        <v>44.310763130575936</v>
      </c>
      <c r="U308" s="241">
        <f t="shared" si="42"/>
        <v>89.3206273238156</v>
      </c>
      <c r="V308" s="233">
        <f t="shared" si="47"/>
        <v>5.2308295001442078</v>
      </c>
    </row>
    <row r="309" spans="1:22">
      <c r="A309" s="84" t="s">
        <v>654</v>
      </c>
      <c r="B309" s="84">
        <f t="shared" si="49"/>
        <v>16</v>
      </c>
      <c r="C309" s="47"/>
      <c r="D309" s="47" t="str">
        <f t="shared" si="48"/>
        <v>02/2038</v>
      </c>
      <c r="E309" s="93">
        <f t="shared" si="50"/>
        <v>76.139132859250935</v>
      </c>
      <c r="F309" s="105">
        <f>(E309*'Realized Pricing'!$L$2)/M309</f>
        <v>89.3206273238156</v>
      </c>
      <c r="G309" s="47"/>
      <c r="H309" s="47"/>
      <c r="I309" s="47"/>
      <c r="J309" s="228">
        <f t="shared" si="43"/>
        <v>4.1846636001153668</v>
      </c>
      <c r="K309" s="236">
        <f>((J309-'Realized Pricing'!$B$32)/M309)*'Realized Pricing'!$L$7</f>
        <v>4.3925282613986383</v>
      </c>
      <c r="L309" s="107"/>
      <c r="M309" s="227">
        <v>0.8</v>
      </c>
      <c r="N309" s="47"/>
      <c r="O309" s="47"/>
      <c r="P309" s="232">
        <f t="shared" si="44"/>
        <v>15.98687456310442</v>
      </c>
      <c r="Q309" s="232">
        <f t="shared" si="45"/>
        <v>45.423024552312555</v>
      </c>
      <c r="R309" s="232">
        <f t="shared" si="46"/>
        <v>75.493574325770865</v>
      </c>
      <c r="S309" s="47"/>
      <c r="T309" s="234">
        <f>SUMPRODUCT($P$4:$R$4,((P309:R309)/M309))*'Realized Pricing'!$L$12</f>
        <v>44.310763130575936</v>
      </c>
      <c r="U309" s="241">
        <f t="shared" si="42"/>
        <v>89.3206273238156</v>
      </c>
      <c r="V309" s="233">
        <f t="shared" si="47"/>
        <v>5.2308295001442078</v>
      </c>
    </row>
    <row r="310" spans="1:22">
      <c r="A310" s="84" t="s">
        <v>655</v>
      </c>
      <c r="B310" s="84">
        <f t="shared" si="49"/>
        <v>16</v>
      </c>
      <c r="C310" s="47"/>
      <c r="D310" s="47" t="str">
        <f t="shared" si="48"/>
        <v>03/2038</v>
      </c>
      <c r="E310" s="93">
        <f t="shared" si="50"/>
        <v>76.139132859250935</v>
      </c>
      <c r="F310" s="105">
        <f>(E310*'Realized Pricing'!$L$2)/M310</f>
        <v>89.3206273238156</v>
      </c>
      <c r="G310" s="47"/>
      <c r="H310" s="47"/>
      <c r="I310" s="47"/>
      <c r="J310" s="228">
        <f t="shared" si="43"/>
        <v>4.1846636001153668</v>
      </c>
      <c r="K310" s="236">
        <f>((J310-'Realized Pricing'!$B$32)/M310)*'Realized Pricing'!$L$7</f>
        <v>4.3925282613986383</v>
      </c>
      <c r="L310" s="107"/>
      <c r="M310" s="227">
        <v>0.8</v>
      </c>
      <c r="N310" s="47"/>
      <c r="O310" s="47"/>
      <c r="P310" s="232">
        <f t="shared" si="44"/>
        <v>15.98687456310442</v>
      </c>
      <c r="Q310" s="232">
        <f t="shared" si="45"/>
        <v>45.423024552312555</v>
      </c>
      <c r="R310" s="232">
        <f t="shared" si="46"/>
        <v>75.493574325770865</v>
      </c>
      <c r="S310" s="47"/>
      <c r="T310" s="234">
        <f>SUMPRODUCT($P$4:$R$4,((P310:R310)/M310))*'Realized Pricing'!$L$12</f>
        <v>44.310763130575936</v>
      </c>
      <c r="U310" s="241">
        <f t="shared" si="42"/>
        <v>89.3206273238156</v>
      </c>
      <c r="V310" s="233">
        <f t="shared" si="47"/>
        <v>5.2308295001442078</v>
      </c>
    </row>
    <row r="311" spans="1:22">
      <c r="A311" s="84" t="s">
        <v>656</v>
      </c>
      <c r="B311" s="84">
        <f t="shared" si="49"/>
        <v>16</v>
      </c>
      <c r="C311" s="47"/>
      <c r="D311" s="47" t="str">
        <f t="shared" si="48"/>
        <v>04/2038</v>
      </c>
      <c r="E311" s="93">
        <f t="shared" si="50"/>
        <v>76.139132859250935</v>
      </c>
      <c r="F311" s="105">
        <f>(E311*'Realized Pricing'!$L$2)/M311</f>
        <v>89.3206273238156</v>
      </c>
      <c r="G311" s="47"/>
      <c r="H311" s="47"/>
      <c r="I311" s="47"/>
      <c r="J311" s="228">
        <f t="shared" si="43"/>
        <v>4.2474335541170962</v>
      </c>
      <c r="K311" s="236">
        <f>((J311-'Realized Pricing'!$B$32)/M311)*'Realized Pricing'!$L$7</f>
        <v>4.4765971562592899</v>
      </c>
      <c r="L311" s="107"/>
      <c r="M311" s="227">
        <v>0.8</v>
      </c>
      <c r="N311" s="47"/>
      <c r="O311" s="47"/>
      <c r="P311" s="232">
        <f t="shared" si="44"/>
        <v>16.226677681550985</v>
      </c>
      <c r="Q311" s="232">
        <f t="shared" si="45"/>
        <v>46.104369920597236</v>
      </c>
      <c r="R311" s="232">
        <f t="shared" si="46"/>
        <v>76.625977940657421</v>
      </c>
      <c r="S311" s="47"/>
      <c r="T311" s="234">
        <f>SUMPRODUCT($P$4:$R$4,((P311:R311)/M311))*'Realized Pricing'!$L$12</f>
        <v>44.975424577534568</v>
      </c>
      <c r="U311" s="241">
        <f t="shared" si="42"/>
        <v>89.3206273238156</v>
      </c>
      <c r="V311" s="233">
        <f t="shared" si="47"/>
        <v>5.3092919426463698</v>
      </c>
    </row>
    <row r="312" spans="1:22">
      <c r="A312" s="84" t="s">
        <v>657</v>
      </c>
      <c r="B312" s="84">
        <f t="shared" si="49"/>
        <v>16</v>
      </c>
      <c r="C312" s="47"/>
      <c r="D312" s="47" t="str">
        <f t="shared" si="48"/>
        <v>05/2038</v>
      </c>
      <c r="E312" s="93">
        <f t="shared" si="50"/>
        <v>76.139132859250935</v>
      </c>
      <c r="F312" s="105">
        <f>(E312*'Realized Pricing'!$L$2)/M312</f>
        <v>89.3206273238156</v>
      </c>
      <c r="G312" s="47"/>
      <c r="H312" s="47"/>
      <c r="I312" s="47"/>
      <c r="J312" s="228">
        <f t="shared" si="43"/>
        <v>4.2474335541170962</v>
      </c>
      <c r="K312" s="236">
        <f>((J312-'Realized Pricing'!$B$32)/M312)*'Realized Pricing'!$L$7</f>
        <v>4.4765971562592899</v>
      </c>
      <c r="L312" s="107"/>
      <c r="M312" s="227">
        <v>0.8</v>
      </c>
      <c r="N312" s="47"/>
      <c r="O312" s="47"/>
      <c r="P312" s="232">
        <f t="shared" si="44"/>
        <v>16.226677681550985</v>
      </c>
      <c r="Q312" s="232">
        <f t="shared" si="45"/>
        <v>46.104369920597236</v>
      </c>
      <c r="R312" s="232">
        <f t="shared" si="46"/>
        <v>76.625977940657421</v>
      </c>
      <c r="S312" s="47"/>
      <c r="T312" s="234">
        <f>SUMPRODUCT($P$4:$R$4,((P312:R312)/M312))*'Realized Pricing'!$L$12</f>
        <v>44.975424577534568</v>
      </c>
      <c r="U312" s="241">
        <f t="shared" si="42"/>
        <v>89.3206273238156</v>
      </c>
      <c r="V312" s="233">
        <f t="shared" si="47"/>
        <v>5.3092919426463698</v>
      </c>
    </row>
    <row r="313" spans="1:22">
      <c r="A313" s="84" t="s">
        <v>658</v>
      </c>
      <c r="B313" s="84">
        <f t="shared" si="49"/>
        <v>17</v>
      </c>
      <c r="C313" s="47"/>
      <c r="D313" s="47" t="str">
        <f t="shared" si="48"/>
        <v>06/2038</v>
      </c>
      <c r="E313" s="93">
        <f t="shared" si="50"/>
        <v>77.281219852139685</v>
      </c>
      <c r="F313" s="105">
        <f>(E313*'Realized Pricing'!$L$2)/M313</f>
        <v>90.660436733672796</v>
      </c>
      <c r="G313" s="47"/>
      <c r="H313" s="47"/>
      <c r="I313" s="47"/>
      <c r="J313" s="228">
        <f t="shared" si="43"/>
        <v>4.2474335541170962</v>
      </c>
      <c r="K313" s="236">
        <f>((J313-'Realized Pricing'!$B$32)/M313)*'Realized Pricing'!$L$7</f>
        <v>4.4765971562592899</v>
      </c>
      <c r="L313" s="107"/>
      <c r="M313" s="227">
        <v>0.8</v>
      </c>
      <c r="N313" s="47"/>
      <c r="O313" s="47"/>
      <c r="P313" s="232">
        <f t="shared" si="44"/>
        <v>16.226677681550985</v>
      </c>
      <c r="Q313" s="232">
        <f t="shared" si="45"/>
        <v>46.104369920597236</v>
      </c>
      <c r="R313" s="232">
        <f t="shared" si="46"/>
        <v>76.625977940657421</v>
      </c>
      <c r="S313" s="47"/>
      <c r="T313" s="234">
        <f>SUMPRODUCT($P$4:$R$4,((P313:R313)/M313))*'Realized Pricing'!$L$12</f>
        <v>44.975424577534568</v>
      </c>
      <c r="U313" s="241">
        <f t="shared" si="42"/>
        <v>90.660436733672796</v>
      </c>
      <c r="V313" s="233">
        <f t="shared" si="47"/>
        <v>5.3092919426463698</v>
      </c>
    </row>
    <row r="314" spans="1:22">
      <c r="A314" s="84" t="s">
        <v>659</v>
      </c>
      <c r="B314" s="84">
        <f t="shared" si="49"/>
        <v>17</v>
      </c>
      <c r="C314" s="47"/>
      <c r="D314" s="47" t="str">
        <f t="shared" si="48"/>
        <v>07/2038</v>
      </c>
      <c r="E314" s="93">
        <f t="shared" si="50"/>
        <v>77.281219852139685</v>
      </c>
      <c r="F314" s="105">
        <f>(E314*'Realized Pricing'!$L$2)/M314</f>
        <v>90.660436733672796</v>
      </c>
      <c r="G314" s="47"/>
      <c r="H314" s="47"/>
      <c r="I314" s="47"/>
      <c r="J314" s="228">
        <f t="shared" si="43"/>
        <v>4.2474335541170962</v>
      </c>
      <c r="K314" s="236">
        <f>((J314-'Realized Pricing'!$B$32)/M314)*'Realized Pricing'!$L$7</f>
        <v>4.4765971562592899</v>
      </c>
      <c r="L314" s="107"/>
      <c r="M314" s="227">
        <v>0.8</v>
      </c>
      <c r="N314" s="47"/>
      <c r="O314" s="47"/>
      <c r="P314" s="232">
        <f t="shared" si="44"/>
        <v>16.226677681550985</v>
      </c>
      <c r="Q314" s="232">
        <f t="shared" si="45"/>
        <v>46.104369920597236</v>
      </c>
      <c r="R314" s="232">
        <f t="shared" si="46"/>
        <v>76.625977940657421</v>
      </c>
      <c r="S314" s="47"/>
      <c r="T314" s="234">
        <f>SUMPRODUCT($P$4:$R$4,((P314:R314)/M314))*'Realized Pricing'!$L$12</f>
        <v>44.975424577534568</v>
      </c>
      <c r="U314" s="241">
        <f t="shared" si="42"/>
        <v>90.660436733672796</v>
      </c>
      <c r="V314" s="233">
        <f t="shared" si="47"/>
        <v>5.3092919426463698</v>
      </c>
    </row>
    <row r="315" spans="1:22">
      <c r="A315" s="84" t="s">
        <v>660</v>
      </c>
      <c r="B315" s="84">
        <f t="shared" si="49"/>
        <v>17</v>
      </c>
      <c r="C315" s="47"/>
      <c r="D315" s="47" t="str">
        <f t="shared" si="48"/>
        <v>08/2038</v>
      </c>
      <c r="E315" s="93">
        <f t="shared" si="50"/>
        <v>77.281219852139685</v>
      </c>
      <c r="F315" s="105">
        <f>(E315*'Realized Pricing'!$L$2)/M315</f>
        <v>90.660436733672796</v>
      </c>
      <c r="G315" s="47"/>
      <c r="H315" s="47"/>
      <c r="I315" s="47"/>
      <c r="J315" s="228">
        <f t="shared" si="43"/>
        <v>4.2474335541170962</v>
      </c>
      <c r="K315" s="236">
        <f>((J315-'Realized Pricing'!$B$32)/M315)*'Realized Pricing'!$L$7</f>
        <v>4.4765971562592899</v>
      </c>
      <c r="L315" s="107"/>
      <c r="M315" s="227">
        <v>0.8</v>
      </c>
      <c r="N315" s="47"/>
      <c r="O315" s="47"/>
      <c r="P315" s="232">
        <f t="shared" si="44"/>
        <v>16.226677681550985</v>
      </c>
      <c r="Q315" s="232">
        <f t="shared" si="45"/>
        <v>46.104369920597236</v>
      </c>
      <c r="R315" s="232">
        <f t="shared" si="46"/>
        <v>76.625977940657421</v>
      </c>
      <c r="S315" s="47"/>
      <c r="T315" s="234">
        <f>SUMPRODUCT($P$4:$R$4,((P315:R315)/M315))*'Realized Pricing'!$L$12</f>
        <v>44.975424577534568</v>
      </c>
      <c r="U315" s="241">
        <f t="shared" si="42"/>
        <v>90.660436733672796</v>
      </c>
      <c r="V315" s="233">
        <f t="shared" si="47"/>
        <v>5.3092919426463698</v>
      </c>
    </row>
    <row r="316" spans="1:22">
      <c r="A316" s="84" t="s">
        <v>661</v>
      </c>
      <c r="B316" s="84">
        <f t="shared" si="49"/>
        <v>17</v>
      </c>
      <c r="C316" s="47"/>
      <c r="D316" s="47" t="str">
        <f t="shared" si="48"/>
        <v>09/2038</v>
      </c>
      <c r="E316" s="93">
        <f t="shared" si="50"/>
        <v>77.281219852139685</v>
      </c>
      <c r="F316" s="105">
        <f>(E316*'Realized Pricing'!$L$2)/M316</f>
        <v>90.660436733672796</v>
      </c>
      <c r="G316" s="47"/>
      <c r="H316" s="47"/>
      <c r="I316" s="47"/>
      <c r="J316" s="228">
        <f t="shared" si="43"/>
        <v>4.2474335541170962</v>
      </c>
      <c r="K316" s="236">
        <f>((J316-'Realized Pricing'!$B$32)/M316)*'Realized Pricing'!$L$7</f>
        <v>4.4765971562592899</v>
      </c>
      <c r="L316" s="107"/>
      <c r="M316" s="227">
        <v>0.8</v>
      </c>
      <c r="N316" s="47"/>
      <c r="O316" s="47"/>
      <c r="P316" s="232">
        <f t="shared" si="44"/>
        <v>16.226677681550985</v>
      </c>
      <c r="Q316" s="232">
        <f t="shared" si="45"/>
        <v>46.104369920597236</v>
      </c>
      <c r="R316" s="232">
        <f t="shared" si="46"/>
        <v>76.625977940657421</v>
      </c>
      <c r="S316" s="47"/>
      <c r="T316" s="234">
        <f>SUMPRODUCT($P$4:$R$4,((P316:R316)/M316))*'Realized Pricing'!$L$12</f>
        <v>44.975424577534568</v>
      </c>
      <c r="U316" s="241">
        <f t="shared" si="42"/>
        <v>90.660436733672796</v>
      </c>
      <c r="V316" s="233">
        <f t="shared" si="47"/>
        <v>5.3092919426463698</v>
      </c>
    </row>
    <row r="317" spans="1:22">
      <c r="A317" s="84" t="s">
        <v>662</v>
      </c>
      <c r="B317" s="84">
        <f t="shared" si="49"/>
        <v>17</v>
      </c>
      <c r="C317" s="47"/>
      <c r="D317" s="47" t="str">
        <f t="shared" si="48"/>
        <v>10/2038</v>
      </c>
      <c r="E317" s="93">
        <f t="shared" si="50"/>
        <v>77.281219852139685</v>
      </c>
      <c r="F317" s="105">
        <f>(E317*'Realized Pricing'!$L$2)/M317</f>
        <v>90.660436733672796</v>
      </c>
      <c r="G317" s="47"/>
      <c r="H317" s="47"/>
      <c r="I317" s="47"/>
      <c r="J317" s="228">
        <f t="shared" si="43"/>
        <v>4.2474335541170962</v>
      </c>
      <c r="K317" s="236">
        <f>((J317-'Realized Pricing'!$B$32)/M317)*'Realized Pricing'!$L$7</f>
        <v>4.4765971562592899</v>
      </c>
      <c r="L317" s="107"/>
      <c r="M317" s="227">
        <v>0.8</v>
      </c>
      <c r="N317" s="47"/>
      <c r="O317" s="47"/>
      <c r="P317" s="232">
        <f t="shared" si="44"/>
        <v>16.226677681550985</v>
      </c>
      <c r="Q317" s="232">
        <f t="shared" si="45"/>
        <v>46.104369920597236</v>
      </c>
      <c r="R317" s="232">
        <f t="shared" si="46"/>
        <v>76.625977940657421</v>
      </c>
      <c r="S317" s="47"/>
      <c r="T317" s="234">
        <f>SUMPRODUCT($P$4:$R$4,((P317:R317)/M317))*'Realized Pricing'!$L$12</f>
        <v>44.975424577534568</v>
      </c>
      <c r="U317" s="241">
        <f t="shared" si="42"/>
        <v>90.660436733672796</v>
      </c>
      <c r="V317" s="233">
        <f t="shared" si="47"/>
        <v>5.3092919426463698</v>
      </c>
    </row>
    <row r="318" spans="1:22">
      <c r="A318" s="84" t="s">
        <v>663</v>
      </c>
      <c r="B318" s="84">
        <f t="shared" si="49"/>
        <v>17</v>
      </c>
      <c r="C318" s="47"/>
      <c r="D318" s="47" t="str">
        <f t="shared" si="48"/>
        <v>11/2038</v>
      </c>
      <c r="E318" s="93">
        <f t="shared" si="50"/>
        <v>77.281219852139685</v>
      </c>
      <c r="F318" s="105">
        <f>(E318*'Realized Pricing'!$L$2)/M318</f>
        <v>90.660436733672796</v>
      </c>
      <c r="G318" s="47"/>
      <c r="H318" s="47"/>
      <c r="I318" s="47"/>
      <c r="J318" s="228">
        <f t="shared" si="43"/>
        <v>4.2474335541170962</v>
      </c>
      <c r="K318" s="236">
        <f>((J318-'Realized Pricing'!$B$32)/M318)*'Realized Pricing'!$L$7</f>
        <v>4.4765971562592899</v>
      </c>
      <c r="L318" s="107"/>
      <c r="M318" s="227">
        <v>0.8</v>
      </c>
      <c r="N318" s="47"/>
      <c r="O318" s="47"/>
      <c r="P318" s="232">
        <f t="shared" si="44"/>
        <v>16.226677681550985</v>
      </c>
      <c r="Q318" s="232">
        <f t="shared" si="45"/>
        <v>46.104369920597236</v>
      </c>
      <c r="R318" s="232">
        <f t="shared" si="46"/>
        <v>76.625977940657421</v>
      </c>
      <c r="S318" s="47"/>
      <c r="T318" s="234">
        <f>SUMPRODUCT($P$4:$R$4,((P318:R318)/M318))*'Realized Pricing'!$L$12</f>
        <v>44.975424577534568</v>
      </c>
      <c r="U318" s="241">
        <f t="shared" si="42"/>
        <v>90.660436733672796</v>
      </c>
      <c r="V318" s="233">
        <f t="shared" si="47"/>
        <v>5.3092919426463698</v>
      </c>
    </row>
    <row r="319" spans="1:22">
      <c r="A319" s="84" t="s">
        <v>586</v>
      </c>
      <c r="B319" s="84">
        <f t="shared" si="49"/>
        <v>17</v>
      </c>
      <c r="C319" s="47"/>
      <c r="D319" s="47" t="str">
        <f t="shared" si="48"/>
        <v>12/2038</v>
      </c>
      <c r="E319" s="93">
        <f t="shared" si="50"/>
        <v>77.281219852139685</v>
      </c>
      <c r="F319" s="105">
        <f>(E319*'Realized Pricing'!$L$2)/M319</f>
        <v>90.660436733672796</v>
      </c>
      <c r="G319" s="47"/>
      <c r="H319" s="47"/>
      <c r="I319" s="47"/>
      <c r="J319" s="228">
        <f t="shared" ref="J319:J343" si="51">$Y$3*(1+$AB$3)^B273</f>
        <v>4.2474335541170962</v>
      </c>
      <c r="K319" s="236">
        <f>((J319-'Realized Pricing'!$B$32)/M319)*'Realized Pricing'!$L$7</f>
        <v>4.4765971562592899</v>
      </c>
      <c r="L319" s="107"/>
      <c r="M319" s="227">
        <v>0.8</v>
      </c>
      <c r="N319" s="47"/>
      <c r="O319" s="47"/>
      <c r="P319" s="232">
        <f t="shared" ref="P319:P343" si="52">$P$158 * (1+$AB$3)^B273</f>
        <v>16.226677681550985</v>
      </c>
      <c r="Q319" s="232">
        <f t="shared" ref="Q319:Q343" si="53">$Q$158 * (1+$AB$3)^B273</f>
        <v>46.104369920597236</v>
      </c>
      <c r="R319" s="232">
        <f t="shared" ref="R319:R343" si="54">$R$158 * (1+$AB$3)^B273</f>
        <v>76.625977940657421</v>
      </c>
      <c r="S319" s="47"/>
      <c r="T319" s="234">
        <f>SUMPRODUCT($P$4:$R$4,((P319:R319)/M319))*'Realized Pricing'!$L$12</f>
        <v>44.975424577534568</v>
      </c>
      <c r="U319" s="241">
        <f t="shared" si="42"/>
        <v>90.660436733672796</v>
      </c>
      <c r="V319" s="233">
        <f t="shared" si="47"/>
        <v>5.3092919426463698</v>
      </c>
    </row>
    <row r="320" spans="1:22">
      <c r="A320" s="84" t="s">
        <v>664</v>
      </c>
      <c r="B320" s="84">
        <f t="shared" si="49"/>
        <v>17</v>
      </c>
      <c r="C320" s="47"/>
      <c r="D320" s="47" t="str">
        <f t="shared" si="48"/>
        <v>01/2039</v>
      </c>
      <c r="E320" s="93">
        <f t="shared" si="50"/>
        <v>77.281219852139685</v>
      </c>
      <c r="F320" s="105">
        <f>(E320*'Realized Pricing'!$L$2)/M320</f>
        <v>90.660436733672796</v>
      </c>
      <c r="G320" s="47"/>
      <c r="H320" s="47"/>
      <c r="I320" s="47"/>
      <c r="J320" s="228">
        <f t="shared" si="51"/>
        <v>4.2474335541170962</v>
      </c>
      <c r="K320" s="236">
        <f>((J320-'Realized Pricing'!$B$32)/M320)*'Realized Pricing'!$L$7</f>
        <v>4.4765971562592899</v>
      </c>
      <c r="L320" s="107"/>
      <c r="M320" s="227">
        <v>0.8</v>
      </c>
      <c r="N320" s="47"/>
      <c r="O320" s="47"/>
      <c r="P320" s="232">
        <f t="shared" si="52"/>
        <v>16.226677681550985</v>
      </c>
      <c r="Q320" s="232">
        <f t="shared" si="53"/>
        <v>46.104369920597236</v>
      </c>
      <c r="R320" s="232">
        <f t="shared" si="54"/>
        <v>76.625977940657421</v>
      </c>
      <c r="S320" s="47"/>
      <c r="T320" s="234">
        <f>SUMPRODUCT($P$4:$R$4,((P320:R320)/M320))*'Realized Pricing'!$L$12</f>
        <v>44.975424577534568</v>
      </c>
      <c r="U320" s="241">
        <f t="shared" si="42"/>
        <v>90.660436733672796</v>
      </c>
      <c r="V320" s="233">
        <f t="shared" si="47"/>
        <v>5.3092919426463698</v>
      </c>
    </row>
    <row r="321" spans="1:22">
      <c r="A321" s="84" t="s">
        <v>665</v>
      </c>
      <c r="B321" s="84">
        <f t="shared" si="49"/>
        <v>17</v>
      </c>
      <c r="C321" s="47"/>
      <c r="D321" s="47" t="str">
        <f t="shared" si="48"/>
        <v>02/2039</v>
      </c>
      <c r="E321" s="93">
        <f t="shared" si="50"/>
        <v>77.281219852139685</v>
      </c>
      <c r="F321" s="105">
        <f>(E321*'Realized Pricing'!$L$2)/M321</f>
        <v>90.660436733672796</v>
      </c>
      <c r="G321" s="47"/>
      <c r="H321" s="47"/>
      <c r="I321" s="47"/>
      <c r="J321" s="228">
        <f t="shared" si="51"/>
        <v>4.2474335541170962</v>
      </c>
      <c r="K321" s="236">
        <f>((J321-'Realized Pricing'!$B$32)/M321)*'Realized Pricing'!$L$7</f>
        <v>4.4765971562592899</v>
      </c>
      <c r="L321" s="107"/>
      <c r="M321" s="227">
        <v>0.8</v>
      </c>
      <c r="N321" s="47"/>
      <c r="O321" s="47"/>
      <c r="P321" s="232">
        <f t="shared" si="52"/>
        <v>16.226677681550985</v>
      </c>
      <c r="Q321" s="232">
        <f t="shared" si="53"/>
        <v>46.104369920597236</v>
      </c>
      <c r="R321" s="232">
        <f t="shared" si="54"/>
        <v>76.625977940657421</v>
      </c>
      <c r="S321" s="47"/>
      <c r="T321" s="234">
        <f>SUMPRODUCT($P$4:$R$4,((P321:R321)/M321))*'Realized Pricing'!$L$12</f>
        <v>44.975424577534568</v>
      </c>
      <c r="U321" s="241">
        <f t="shared" si="42"/>
        <v>90.660436733672796</v>
      </c>
      <c r="V321" s="233">
        <f t="shared" si="47"/>
        <v>5.3092919426463698</v>
      </c>
    </row>
    <row r="322" spans="1:22">
      <c r="A322" s="84" t="s">
        <v>666</v>
      </c>
      <c r="B322" s="84">
        <f t="shared" si="49"/>
        <v>17</v>
      </c>
      <c r="C322" s="47"/>
      <c r="D322" s="47" t="str">
        <f t="shared" si="48"/>
        <v>03/2039</v>
      </c>
      <c r="E322" s="93">
        <f t="shared" si="50"/>
        <v>77.281219852139685</v>
      </c>
      <c r="F322" s="105">
        <f>(E322*'Realized Pricing'!$L$2)/M322</f>
        <v>90.660436733672796</v>
      </c>
      <c r="G322" s="47"/>
      <c r="H322" s="47"/>
      <c r="I322" s="47"/>
      <c r="J322" s="228">
        <f t="shared" si="51"/>
        <v>4.2474335541170962</v>
      </c>
      <c r="K322" s="236">
        <f>((J322-'Realized Pricing'!$B$32)/M322)*'Realized Pricing'!$L$7</f>
        <v>4.4765971562592899</v>
      </c>
      <c r="L322" s="107"/>
      <c r="M322" s="227">
        <v>0.8</v>
      </c>
      <c r="N322" s="47"/>
      <c r="O322" s="47"/>
      <c r="P322" s="232">
        <f t="shared" si="52"/>
        <v>16.226677681550985</v>
      </c>
      <c r="Q322" s="232">
        <f t="shared" si="53"/>
        <v>46.104369920597236</v>
      </c>
      <c r="R322" s="232">
        <f t="shared" si="54"/>
        <v>76.625977940657421</v>
      </c>
      <c r="S322" s="47"/>
      <c r="T322" s="234">
        <f>SUMPRODUCT($P$4:$R$4,((P322:R322)/M322))*'Realized Pricing'!$L$12</f>
        <v>44.975424577534568</v>
      </c>
      <c r="U322" s="241">
        <f t="shared" si="42"/>
        <v>90.660436733672796</v>
      </c>
      <c r="V322" s="233">
        <f t="shared" si="47"/>
        <v>5.3092919426463698</v>
      </c>
    </row>
    <row r="323" spans="1:22">
      <c r="A323" s="84" t="s">
        <v>667</v>
      </c>
      <c r="B323" s="84">
        <f t="shared" si="49"/>
        <v>17</v>
      </c>
      <c r="C323" s="47"/>
      <c r="D323" s="47" t="str">
        <f t="shared" si="48"/>
        <v>04/2039</v>
      </c>
      <c r="E323" s="93">
        <f t="shared" si="50"/>
        <v>77.281219852139685</v>
      </c>
      <c r="F323" s="105">
        <f>(E323*'Realized Pricing'!$L$2)/M323</f>
        <v>90.660436733672796</v>
      </c>
      <c r="G323" s="47"/>
      <c r="H323" s="47"/>
      <c r="I323" s="47"/>
      <c r="J323" s="228">
        <f t="shared" si="51"/>
        <v>4.3111450574288517</v>
      </c>
      <c r="K323" s="236">
        <f>((J323-'Realized Pricing'!$B$32)/M323)*'Realized Pricing'!$L$7</f>
        <v>4.5619270845428526</v>
      </c>
      <c r="L323" s="107"/>
      <c r="M323" s="227">
        <v>0.8</v>
      </c>
      <c r="N323" s="47"/>
      <c r="O323" s="47"/>
      <c r="P323" s="232">
        <f t="shared" si="52"/>
        <v>16.470077846774245</v>
      </c>
      <c r="Q323" s="232">
        <f t="shared" si="53"/>
        <v>46.795935469406182</v>
      </c>
      <c r="R323" s="232">
        <f t="shared" si="54"/>
        <v>77.775367609767272</v>
      </c>
      <c r="S323" s="47"/>
      <c r="T323" s="234">
        <f>SUMPRODUCT($P$4:$R$4,((P323:R323)/M323))*'Realized Pricing'!$L$12</f>
        <v>45.650055946197583</v>
      </c>
      <c r="U323" s="241">
        <f t="shared" si="42"/>
        <v>90.660436733672796</v>
      </c>
      <c r="V323" s="233">
        <f t="shared" si="47"/>
        <v>5.3889313217860639</v>
      </c>
    </row>
    <row r="324" spans="1:22">
      <c r="A324" s="84" t="s">
        <v>668</v>
      </c>
      <c r="B324" s="84">
        <f t="shared" si="49"/>
        <v>17</v>
      </c>
      <c r="C324" s="47"/>
      <c r="D324" s="47" t="str">
        <f t="shared" si="48"/>
        <v>05/2039</v>
      </c>
      <c r="E324" s="93">
        <f t="shared" si="50"/>
        <v>77.281219852139685</v>
      </c>
      <c r="F324" s="105">
        <f>(E324*'Realized Pricing'!$L$2)/M324</f>
        <v>90.660436733672796</v>
      </c>
      <c r="G324" s="47"/>
      <c r="H324" s="47"/>
      <c r="I324" s="47"/>
      <c r="J324" s="228">
        <f t="shared" si="51"/>
        <v>4.3111450574288517</v>
      </c>
      <c r="K324" s="236">
        <f>((J324-'Realized Pricing'!$B$32)/M324)*'Realized Pricing'!$L$7</f>
        <v>4.5619270845428526</v>
      </c>
      <c r="L324" s="107"/>
      <c r="M324" s="227">
        <v>0.8</v>
      </c>
      <c r="N324" s="47"/>
      <c r="O324" s="47"/>
      <c r="P324" s="232">
        <f t="shared" si="52"/>
        <v>16.470077846774245</v>
      </c>
      <c r="Q324" s="232">
        <f t="shared" si="53"/>
        <v>46.795935469406182</v>
      </c>
      <c r="R324" s="232">
        <f t="shared" si="54"/>
        <v>77.775367609767272</v>
      </c>
      <c r="S324" s="47"/>
      <c r="T324" s="234">
        <f>SUMPRODUCT($P$4:$R$4,((P324:R324)/M324))*'Realized Pricing'!$L$12</f>
        <v>45.650055946197583</v>
      </c>
      <c r="U324" s="241">
        <f t="shared" si="42"/>
        <v>90.660436733672796</v>
      </c>
      <c r="V324" s="233">
        <f t="shared" si="47"/>
        <v>5.3889313217860639</v>
      </c>
    </row>
    <row r="325" spans="1:22">
      <c r="A325" s="84" t="s">
        <v>669</v>
      </c>
      <c r="B325" s="84">
        <f t="shared" si="49"/>
        <v>18</v>
      </c>
      <c r="C325" s="47"/>
      <c r="D325" s="47" t="str">
        <f t="shared" si="48"/>
        <v>06/2039</v>
      </c>
      <c r="E325" s="93">
        <f t="shared" si="50"/>
        <v>78.440438149921775</v>
      </c>
      <c r="F325" s="105">
        <f>(E325*'Realized Pricing'!$L$2)/M325</f>
        <v>92.020343284677892</v>
      </c>
      <c r="G325" s="47"/>
      <c r="H325" s="47"/>
      <c r="I325" s="47"/>
      <c r="J325" s="228">
        <f t="shared" si="51"/>
        <v>4.3111450574288517</v>
      </c>
      <c r="K325" s="236">
        <f>((J325-'Realized Pricing'!$B$32)/M325)*'Realized Pricing'!$L$7</f>
        <v>4.5619270845428526</v>
      </c>
      <c r="L325" s="107"/>
      <c r="M325" s="227">
        <v>0.8</v>
      </c>
      <c r="N325" s="47"/>
      <c r="O325" s="47"/>
      <c r="P325" s="232">
        <f t="shared" si="52"/>
        <v>16.470077846774245</v>
      </c>
      <c r="Q325" s="232">
        <f t="shared" si="53"/>
        <v>46.795935469406182</v>
      </c>
      <c r="R325" s="232">
        <f t="shared" si="54"/>
        <v>77.775367609767272</v>
      </c>
      <c r="S325" s="47"/>
      <c r="T325" s="234">
        <f>SUMPRODUCT($P$4:$R$4,((P325:R325)/M325))*'Realized Pricing'!$L$12</f>
        <v>45.650055946197583</v>
      </c>
      <c r="U325" s="241">
        <f t="shared" si="42"/>
        <v>92.020343284677892</v>
      </c>
      <c r="V325" s="233">
        <f t="shared" si="47"/>
        <v>5.3889313217860639</v>
      </c>
    </row>
    <row r="326" spans="1:22">
      <c r="A326" s="84" t="s">
        <v>670</v>
      </c>
      <c r="B326" s="84">
        <f t="shared" si="49"/>
        <v>18</v>
      </c>
      <c r="C326" s="47"/>
      <c r="D326" s="47" t="str">
        <f t="shared" si="48"/>
        <v>07/2039</v>
      </c>
      <c r="E326" s="93">
        <f t="shared" si="50"/>
        <v>78.440438149921775</v>
      </c>
      <c r="F326" s="105">
        <f>(E326*'Realized Pricing'!$L$2)/M326</f>
        <v>92.020343284677892</v>
      </c>
      <c r="G326" s="47"/>
      <c r="H326" s="47"/>
      <c r="I326" s="47"/>
      <c r="J326" s="228">
        <f t="shared" si="51"/>
        <v>4.3111450574288517</v>
      </c>
      <c r="K326" s="236">
        <f>((J326-'Realized Pricing'!$B$32)/M326)*'Realized Pricing'!$L$7</f>
        <v>4.5619270845428526</v>
      </c>
      <c r="L326" s="107"/>
      <c r="M326" s="227">
        <v>0.8</v>
      </c>
      <c r="N326" s="47"/>
      <c r="O326" s="47"/>
      <c r="P326" s="232">
        <f t="shared" si="52"/>
        <v>16.470077846774245</v>
      </c>
      <c r="Q326" s="232">
        <f t="shared" si="53"/>
        <v>46.795935469406182</v>
      </c>
      <c r="R326" s="232">
        <f t="shared" si="54"/>
        <v>77.775367609767272</v>
      </c>
      <c r="S326" s="47"/>
      <c r="T326" s="234">
        <f>SUMPRODUCT($P$4:$R$4,((P326:R326)/M326))*'Realized Pricing'!$L$12</f>
        <v>45.650055946197583</v>
      </c>
      <c r="U326" s="241">
        <f t="shared" ref="U326:U343" si="55">F326</f>
        <v>92.020343284677892</v>
      </c>
      <c r="V326" s="233">
        <f t="shared" si="47"/>
        <v>5.3889313217860639</v>
      </c>
    </row>
    <row r="327" spans="1:22">
      <c r="A327" s="84" t="s">
        <v>754</v>
      </c>
      <c r="B327" s="84">
        <f t="shared" si="49"/>
        <v>18</v>
      </c>
      <c r="C327" s="47"/>
      <c r="D327" s="47" t="str">
        <f t="shared" si="48"/>
        <v>08/2039</v>
      </c>
      <c r="E327" s="93">
        <f t="shared" si="50"/>
        <v>78.440438149921775</v>
      </c>
      <c r="F327" s="105">
        <f>(E327*'Realized Pricing'!$L$2)/M327</f>
        <v>92.020343284677892</v>
      </c>
      <c r="G327" s="47"/>
      <c r="H327" s="47"/>
      <c r="I327" s="47"/>
      <c r="J327" s="228">
        <f t="shared" si="51"/>
        <v>4.3111450574288517</v>
      </c>
      <c r="K327" s="236">
        <f>((J327-'Realized Pricing'!$B$32)/M327)*'Realized Pricing'!$L$7</f>
        <v>4.5619270845428526</v>
      </c>
      <c r="L327" s="107"/>
      <c r="M327" s="227">
        <v>0.8</v>
      </c>
      <c r="N327" s="47"/>
      <c r="O327" s="47"/>
      <c r="P327" s="232">
        <f t="shared" si="52"/>
        <v>16.470077846774245</v>
      </c>
      <c r="Q327" s="232">
        <f t="shared" si="53"/>
        <v>46.795935469406182</v>
      </c>
      <c r="R327" s="232">
        <f t="shared" si="54"/>
        <v>77.775367609767272</v>
      </c>
      <c r="S327" s="47"/>
      <c r="T327" s="234">
        <f>SUMPRODUCT($P$4:$R$4,((P327:R327)/M327))*'Realized Pricing'!$L$12</f>
        <v>45.650055946197583</v>
      </c>
      <c r="U327" s="241">
        <f t="shared" si="55"/>
        <v>92.020343284677892</v>
      </c>
      <c r="V327" s="233">
        <f t="shared" si="47"/>
        <v>5.3889313217860639</v>
      </c>
    </row>
    <row r="328" spans="1:22">
      <c r="A328" s="84" t="s">
        <v>755</v>
      </c>
      <c r="B328" s="84">
        <f t="shared" si="49"/>
        <v>18</v>
      </c>
      <c r="C328" s="47"/>
      <c r="D328" s="47" t="str">
        <f t="shared" si="48"/>
        <v>09/2039</v>
      </c>
      <c r="E328" s="93">
        <f t="shared" si="50"/>
        <v>78.440438149921775</v>
      </c>
      <c r="F328" s="105">
        <f>(E328*'Realized Pricing'!$L$2)/M328</f>
        <v>92.020343284677892</v>
      </c>
      <c r="G328" s="47"/>
      <c r="H328" s="47"/>
      <c r="I328" s="47"/>
      <c r="J328" s="228">
        <f t="shared" si="51"/>
        <v>4.3111450574288517</v>
      </c>
      <c r="K328" s="236">
        <f>((J328-'Realized Pricing'!$B$32)/M328)*'Realized Pricing'!$L$7</f>
        <v>4.5619270845428526</v>
      </c>
      <c r="L328" s="107"/>
      <c r="M328" s="227">
        <v>0.8</v>
      </c>
      <c r="N328" s="47"/>
      <c r="O328" s="47"/>
      <c r="P328" s="232">
        <f t="shared" si="52"/>
        <v>16.470077846774245</v>
      </c>
      <c r="Q328" s="232">
        <f t="shared" si="53"/>
        <v>46.795935469406182</v>
      </c>
      <c r="R328" s="232">
        <f t="shared" si="54"/>
        <v>77.775367609767272</v>
      </c>
      <c r="S328" s="47"/>
      <c r="T328" s="234">
        <f>SUMPRODUCT($P$4:$R$4,((P328:R328)/M328))*'Realized Pricing'!$L$12</f>
        <v>45.650055946197583</v>
      </c>
      <c r="U328" s="241">
        <f t="shared" si="55"/>
        <v>92.020343284677892</v>
      </c>
      <c r="V328" s="233">
        <f t="shared" si="47"/>
        <v>5.3889313217860639</v>
      </c>
    </row>
    <row r="329" spans="1:22">
      <c r="A329" s="84" t="s">
        <v>756</v>
      </c>
      <c r="B329" s="84">
        <f t="shared" si="49"/>
        <v>18</v>
      </c>
      <c r="C329" s="47"/>
      <c r="D329" s="47" t="str">
        <f t="shared" si="48"/>
        <v>10/2039</v>
      </c>
      <c r="E329" s="93">
        <f t="shared" si="50"/>
        <v>78.440438149921775</v>
      </c>
      <c r="F329" s="105">
        <f>(E329*'Realized Pricing'!$L$2)/M329</f>
        <v>92.020343284677892</v>
      </c>
      <c r="G329" s="47"/>
      <c r="H329" s="47"/>
      <c r="I329" s="47"/>
      <c r="J329" s="228">
        <f t="shared" si="51"/>
        <v>4.3111450574288517</v>
      </c>
      <c r="K329" s="236">
        <f>((J329-'Realized Pricing'!$B$32)/M329)*'Realized Pricing'!$L$7</f>
        <v>4.5619270845428526</v>
      </c>
      <c r="L329" s="107"/>
      <c r="M329" s="227">
        <v>0.8</v>
      </c>
      <c r="N329" s="47"/>
      <c r="O329" s="47"/>
      <c r="P329" s="232">
        <f t="shared" si="52"/>
        <v>16.470077846774245</v>
      </c>
      <c r="Q329" s="232">
        <f t="shared" si="53"/>
        <v>46.795935469406182</v>
      </c>
      <c r="R329" s="232">
        <f t="shared" si="54"/>
        <v>77.775367609767272</v>
      </c>
      <c r="S329" s="47"/>
      <c r="T329" s="234">
        <f>SUMPRODUCT($P$4:$R$4,((P329:R329)/M329))*'Realized Pricing'!$L$12</f>
        <v>45.650055946197583</v>
      </c>
      <c r="U329" s="241">
        <f t="shared" si="55"/>
        <v>92.020343284677892</v>
      </c>
      <c r="V329" s="233">
        <f t="shared" si="47"/>
        <v>5.3889313217860639</v>
      </c>
    </row>
    <row r="330" spans="1:22">
      <c r="A330" s="84" t="s">
        <v>757</v>
      </c>
      <c r="B330" s="84">
        <f t="shared" si="49"/>
        <v>18</v>
      </c>
      <c r="C330" s="47"/>
      <c r="D330" s="47" t="str">
        <f t="shared" si="48"/>
        <v>11/2039</v>
      </c>
      <c r="E330" s="93">
        <f t="shared" si="50"/>
        <v>78.440438149921775</v>
      </c>
      <c r="F330" s="105">
        <f>(E330*'Realized Pricing'!$L$2)/M330</f>
        <v>92.020343284677892</v>
      </c>
      <c r="G330" s="47"/>
      <c r="H330" s="47"/>
      <c r="I330" s="47"/>
      <c r="J330" s="228">
        <f t="shared" si="51"/>
        <v>4.3111450574288517</v>
      </c>
      <c r="K330" s="236">
        <f>((J330-'Realized Pricing'!$B$32)/M330)*'Realized Pricing'!$L$7</f>
        <v>4.5619270845428526</v>
      </c>
      <c r="L330" s="107"/>
      <c r="M330" s="227">
        <v>0.8</v>
      </c>
      <c r="N330" s="47"/>
      <c r="O330" s="47"/>
      <c r="P330" s="232">
        <f t="shared" si="52"/>
        <v>16.470077846774245</v>
      </c>
      <c r="Q330" s="232">
        <f t="shared" si="53"/>
        <v>46.795935469406182</v>
      </c>
      <c r="R330" s="232">
        <f t="shared" si="54"/>
        <v>77.775367609767272</v>
      </c>
      <c r="S330" s="47"/>
      <c r="T330" s="234">
        <f>SUMPRODUCT($P$4:$R$4,((P330:R330)/M330))*'Realized Pricing'!$L$12</f>
        <v>45.650055946197583</v>
      </c>
      <c r="U330" s="241">
        <f t="shared" si="55"/>
        <v>92.020343284677892</v>
      </c>
      <c r="V330" s="233">
        <f t="shared" si="47"/>
        <v>5.3889313217860639</v>
      </c>
    </row>
    <row r="331" spans="1:22">
      <c r="A331" s="84" t="s">
        <v>664</v>
      </c>
      <c r="B331" s="84">
        <f t="shared" si="49"/>
        <v>18</v>
      </c>
      <c r="C331" s="47"/>
      <c r="D331" s="47" t="str">
        <f t="shared" si="48"/>
        <v>01/2039</v>
      </c>
      <c r="E331" s="93">
        <f t="shared" si="50"/>
        <v>78.440438149921775</v>
      </c>
      <c r="F331" s="105">
        <f>(E331*'Realized Pricing'!$L$2)/M331</f>
        <v>92.020343284677892</v>
      </c>
      <c r="G331" s="47"/>
      <c r="H331" s="47"/>
      <c r="I331" s="47"/>
      <c r="J331" s="228">
        <f t="shared" si="51"/>
        <v>4.3111450574288517</v>
      </c>
      <c r="K331" s="236">
        <f>((J331-'Realized Pricing'!$B$32)/M331)*'Realized Pricing'!$L$7</f>
        <v>4.5619270845428526</v>
      </c>
      <c r="L331" s="107"/>
      <c r="M331" s="227">
        <v>0.8</v>
      </c>
      <c r="N331" s="47"/>
      <c r="O331" s="47"/>
      <c r="P331" s="232">
        <f t="shared" si="52"/>
        <v>16.470077846774245</v>
      </c>
      <c r="Q331" s="232">
        <f t="shared" si="53"/>
        <v>46.795935469406182</v>
      </c>
      <c r="R331" s="232">
        <f t="shared" si="54"/>
        <v>77.775367609767272</v>
      </c>
      <c r="S331" s="47"/>
      <c r="T331" s="234">
        <f>SUMPRODUCT($P$4:$R$4,((P331:R331)/M331))*'Realized Pricing'!$L$12</f>
        <v>45.650055946197583</v>
      </c>
      <c r="U331" s="241">
        <f t="shared" si="55"/>
        <v>92.020343284677892</v>
      </c>
      <c r="V331" s="233">
        <f t="shared" si="47"/>
        <v>5.3889313217860639</v>
      </c>
    </row>
    <row r="332" spans="1:22">
      <c r="A332" s="84" t="s">
        <v>665</v>
      </c>
      <c r="B332" s="84">
        <f t="shared" si="49"/>
        <v>18</v>
      </c>
      <c r="C332" s="47"/>
      <c r="D332" s="47" t="str">
        <f t="shared" si="48"/>
        <v>02/2039</v>
      </c>
      <c r="E332" s="93">
        <f t="shared" si="50"/>
        <v>78.440438149921775</v>
      </c>
      <c r="F332" s="105">
        <f>(E332*'Realized Pricing'!$L$2)/M332</f>
        <v>92.020343284677892</v>
      </c>
      <c r="G332" s="47"/>
      <c r="H332" s="47"/>
      <c r="I332" s="47"/>
      <c r="J332" s="228">
        <f t="shared" si="51"/>
        <v>4.3111450574288517</v>
      </c>
      <c r="K332" s="236">
        <f>((J332-'Realized Pricing'!$B$32)/M332)*'Realized Pricing'!$L$7</f>
        <v>4.5619270845428526</v>
      </c>
      <c r="L332" s="107"/>
      <c r="M332" s="227">
        <v>0.8</v>
      </c>
      <c r="N332" s="47"/>
      <c r="O332" s="47"/>
      <c r="P332" s="232">
        <f t="shared" si="52"/>
        <v>16.470077846774245</v>
      </c>
      <c r="Q332" s="232">
        <f t="shared" si="53"/>
        <v>46.795935469406182</v>
      </c>
      <c r="R332" s="232">
        <f t="shared" si="54"/>
        <v>77.775367609767272</v>
      </c>
      <c r="S332" s="47"/>
      <c r="T332" s="234">
        <f>SUMPRODUCT($P$4:$R$4,((P332:R332)/M332))*'Realized Pricing'!$L$12</f>
        <v>45.650055946197583</v>
      </c>
      <c r="U332" s="241">
        <f t="shared" si="55"/>
        <v>92.020343284677892</v>
      </c>
      <c r="V332" s="233">
        <f t="shared" si="47"/>
        <v>5.3889313217860639</v>
      </c>
    </row>
    <row r="333" spans="1:22">
      <c r="A333" s="84" t="s">
        <v>666</v>
      </c>
      <c r="B333" s="84">
        <f t="shared" si="49"/>
        <v>18</v>
      </c>
      <c r="C333" s="47"/>
      <c r="D333" s="47" t="str">
        <f t="shared" si="48"/>
        <v>03/2039</v>
      </c>
      <c r="E333" s="93">
        <f t="shared" si="50"/>
        <v>78.440438149921775</v>
      </c>
      <c r="F333" s="105">
        <f>(E333*'Realized Pricing'!$L$2)/M333</f>
        <v>92.020343284677892</v>
      </c>
      <c r="G333" s="47"/>
      <c r="H333" s="47"/>
      <c r="I333" s="47"/>
      <c r="J333" s="228">
        <f t="shared" si="51"/>
        <v>4.3111450574288517</v>
      </c>
      <c r="K333" s="236">
        <f>((J333-'Realized Pricing'!$B$32)/M333)*'Realized Pricing'!$L$7</f>
        <v>4.5619270845428526</v>
      </c>
      <c r="L333" s="107"/>
      <c r="M333" s="227">
        <v>0.8</v>
      </c>
      <c r="N333" s="47"/>
      <c r="O333" s="47"/>
      <c r="P333" s="232">
        <f t="shared" si="52"/>
        <v>16.470077846774245</v>
      </c>
      <c r="Q333" s="232">
        <f t="shared" si="53"/>
        <v>46.795935469406182</v>
      </c>
      <c r="R333" s="232">
        <f t="shared" si="54"/>
        <v>77.775367609767272</v>
      </c>
      <c r="S333" s="47"/>
      <c r="T333" s="234">
        <f>SUMPRODUCT($P$4:$R$4,((P333:R333)/M333))*'Realized Pricing'!$L$12</f>
        <v>45.650055946197583</v>
      </c>
      <c r="U333" s="241">
        <f t="shared" si="55"/>
        <v>92.020343284677892</v>
      </c>
      <c r="V333" s="233">
        <f t="shared" si="47"/>
        <v>5.3889313217860639</v>
      </c>
    </row>
    <row r="334" spans="1:22">
      <c r="A334" s="84" t="s">
        <v>667</v>
      </c>
      <c r="B334" s="84">
        <f t="shared" si="49"/>
        <v>18</v>
      </c>
      <c r="C334" s="47"/>
      <c r="D334" s="47" t="str">
        <f t="shared" si="48"/>
        <v>04/2039</v>
      </c>
      <c r="E334" s="93">
        <f t="shared" si="50"/>
        <v>78.440438149921775</v>
      </c>
      <c r="F334" s="105">
        <f>(E334*'Realized Pricing'!$L$2)/M334</f>
        <v>92.020343284677892</v>
      </c>
      <c r="G334" s="47"/>
      <c r="H334" s="47"/>
      <c r="I334" s="47"/>
      <c r="J334" s="228">
        <f t="shared" si="51"/>
        <v>4.3111450574288517</v>
      </c>
      <c r="K334" s="236">
        <f>((J334-'Realized Pricing'!$B$32)/M334)*'Realized Pricing'!$L$7</f>
        <v>4.5619270845428526</v>
      </c>
      <c r="L334" s="107"/>
      <c r="M334" s="227">
        <v>0.8</v>
      </c>
      <c r="N334" s="47"/>
      <c r="O334" s="47"/>
      <c r="P334" s="232">
        <f t="shared" si="52"/>
        <v>16.470077846774245</v>
      </c>
      <c r="Q334" s="232">
        <f t="shared" si="53"/>
        <v>46.795935469406182</v>
      </c>
      <c r="R334" s="232">
        <f t="shared" si="54"/>
        <v>77.775367609767272</v>
      </c>
      <c r="S334" s="47"/>
      <c r="T334" s="234">
        <f>SUMPRODUCT($P$4:$R$4,((P334:R334)/M334))*'Realized Pricing'!$L$12</f>
        <v>45.650055946197583</v>
      </c>
      <c r="U334" s="241">
        <f t="shared" si="55"/>
        <v>92.020343284677892</v>
      </c>
      <c r="V334" s="233">
        <f t="shared" si="47"/>
        <v>5.3889313217860639</v>
      </c>
    </row>
    <row r="335" spans="1:22">
      <c r="A335" s="84" t="s">
        <v>668</v>
      </c>
      <c r="B335" s="84">
        <f t="shared" si="49"/>
        <v>18</v>
      </c>
      <c r="C335" s="47"/>
      <c r="D335" s="47" t="str">
        <f t="shared" si="48"/>
        <v>05/2039</v>
      </c>
      <c r="E335" s="93">
        <f t="shared" si="50"/>
        <v>78.440438149921775</v>
      </c>
      <c r="F335" s="105">
        <f>(E335*'Realized Pricing'!$L$2)/M335</f>
        <v>92.020343284677892</v>
      </c>
      <c r="G335" s="47"/>
      <c r="H335" s="47"/>
      <c r="I335" s="47"/>
      <c r="J335" s="228">
        <f t="shared" si="51"/>
        <v>4.3758122332902847</v>
      </c>
      <c r="K335" s="236">
        <f>((J335-'Realized Pricing'!$B$32)/M335)*'Realized Pricing'!$L$7</f>
        <v>4.6485369617506684</v>
      </c>
      <c r="L335" s="107"/>
      <c r="M335" s="227">
        <v>0.8</v>
      </c>
      <c r="N335" s="47"/>
      <c r="O335" s="47"/>
      <c r="P335" s="232">
        <f t="shared" si="52"/>
        <v>16.717129014475859</v>
      </c>
      <c r="Q335" s="232">
        <f t="shared" si="53"/>
        <v>47.497874501447271</v>
      </c>
      <c r="R335" s="232">
        <f t="shared" si="54"/>
        <v>78.941998123913763</v>
      </c>
      <c r="S335" s="47"/>
      <c r="T335" s="234">
        <f>SUMPRODUCT($P$4:$R$4,((P335:R335)/M335))*'Realized Pricing'!$L$12</f>
        <v>46.334806785390533</v>
      </c>
      <c r="U335" s="241">
        <f t="shared" si="55"/>
        <v>92.020343284677892</v>
      </c>
      <c r="V335" s="233">
        <f t="shared" si="47"/>
        <v>5.4697652916128554</v>
      </c>
    </row>
    <row r="336" spans="1:22">
      <c r="A336" s="84" t="s">
        <v>669</v>
      </c>
      <c r="B336" s="84">
        <f t="shared" si="49"/>
        <v>18</v>
      </c>
      <c r="C336" s="47"/>
      <c r="D336" s="47" t="str">
        <f t="shared" si="48"/>
        <v>06/2039</v>
      </c>
      <c r="E336" s="93">
        <f t="shared" si="50"/>
        <v>78.440438149921775</v>
      </c>
      <c r="F336" s="105">
        <f>(E336*'Realized Pricing'!$L$2)/M336</f>
        <v>92.020343284677892</v>
      </c>
      <c r="G336" s="47"/>
      <c r="H336" s="47"/>
      <c r="I336" s="47"/>
      <c r="J336" s="228">
        <f t="shared" si="51"/>
        <v>4.3758122332902847</v>
      </c>
      <c r="K336" s="236">
        <f>((J336-'Realized Pricing'!$B$32)/M336)*'Realized Pricing'!$L$7</f>
        <v>4.6485369617506684</v>
      </c>
      <c r="L336" s="107"/>
      <c r="M336" s="227">
        <v>0.8</v>
      </c>
      <c r="N336" s="47"/>
      <c r="O336" s="47"/>
      <c r="P336" s="232">
        <f t="shared" si="52"/>
        <v>16.717129014475859</v>
      </c>
      <c r="Q336" s="232">
        <f t="shared" si="53"/>
        <v>47.497874501447271</v>
      </c>
      <c r="R336" s="232">
        <f t="shared" si="54"/>
        <v>78.941998123913763</v>
      </c>
      <c r="S336" s="47"/>
      <c r="T336" s="234">
        <f>SUMPRODUCT($P$4:$R$4,((P336:R336)/M336))*'Realized Pricing'!$L$12</f>
        <v>46.334806785390533</v>
      </c>
      <c r="U336" s="241">
        <f t="shared" si="55"/>
        <v>92.020343284677892</v>
      </c>
      <c r="V336" s="233">
        <f t="shared" si="47"/>
        <v>5.4697652916128554</v>
      </c>
    </row>
    <row r="337" spans="1:22">
      <c r="A337" s="84" t="s">
        <v>670</v>
      </c>
      <c r="B337" s="84">
        <f t="shared" si="49"/>
        <v>19</v>
      </c>
      <c r="C337" s="47"/>
      <c r="D337" s="47" t="str">
        <f t="shared" si="48"/>
        <v>07/2039</v>
      </c>
      <c r="E337" s="93">
        <f t="shared" si="50"/>
        <v>79.617044722170604</v>
      </c>
      <c r="F337" s="105">
        <f>(E337*'Realized Pricing'!$L$2)/M337</f>
        <v>93.400648433948064</v>
      </c>
      <c r="G337" s="47"/>
      <c r="H337" s="47"/>
      <c r="I337" s="47"/>
      <c r="J337" s="228">
        <f t="shared" si="51"/>
        <v>4.3758122332902847</v>
      </c>
      <c r="K337" s="236">
        <f>((J337-'Realized Pricing'!$B$32)/M337)*'Realized Pricing'!$L$7</f>
        <v>4.6485369617506684</v>
      </c>
      <c r="L337" s="107"/>
      <c r="M337" s="227">
        <v>0.8</v>
      </c>
      <c r="N337" s="47"/>
      <c r="O337" s="47"/>
      <c r="P337" s="232">
        <f t="shared" si="52"/>
        <v>16.717129014475859</v>
      </c>
      <c r="Q337" s="232">
        <f t="shared" si="53"/>
        <v>47.497874501447271</v>
      </c>
      <c r="R337" s="232">
        <f t="shared" si="54"/>
        <v>78.941998123913763</v>
      </c>
      <c r="S337" s="47"/>
      <c r="T337" s="234">
        <f>SUMPRODUCT($P$4:$R$4,((P337:R337)/M337))*'Realized Pricing'!$L$12</f>
        <v>46.334806785390533</v>
      </c>
      <c r="U337" s="241">
        <f t="shared" si="55"/>
        <v>93.400648433948064</v>
      </c>
      <c r="V337" s="233">
        <f t="shared" si="47"/>
        <v>5.4697652916128554</v>
      </c>
    </row>
    <row r="338" spans="1:22">
      <c r="A338" s="84" t="s">
        <v>754</v>
      </c>
      <c r="B338" s="84">
        <f t="shared" si="49"/>
        <v>19</v>
      </c>
      <c r="C338" s="47"/>
      <c r="D338" s="47" t="str">
        <f t="shared" si="48"/>
        <v>08/2039</v>
      </c>
      <c r="E338" s="93">
        <f t="shared" si="50"/>
        <v>79.617044722170604</v>
      </c>
      <c r="F338" s="105">
        <f>(E338*'Realized Pricing'!$L$2)/M338</f>
        <v>93.400648433948064</v>
      </c>
      <c r="G338" s="47"/>
      <c r="H338" s="47"/>
      <c r="I338" s="47"/>
      <c r="J338" s="228">
        <f t="shared" si="51"/>
        <v>4.3758122332902847</v>
      </c>
      <c r="K338" s="236">
        <f>((J338-'Realized Pricing'!$B$32)/M338)*'Realized Pricing'!$L$7</f>
        <v>4.6485369617506684</v>
      </c>
      <c r="L338" s="107"/>
      <c r="M338" s="227">
        <v>0.8</v>
      </c>
      <c r="N338" s="47"/>
      <c r="O338" s="47"/>
      <c r="P338" s="232">
        <f t="shared" si="52"/>
        <v>16.717129014475859</v>
      </c>
      <c r="Q338" s="232">
        <f t="shared" si="53"/>
        <v>47.497874501447271</v>
      </c>
      <c r="R338" s="232">
        <f t="shared" si="54"/>
        <v>78.941998123913763</v>
      </c>
      <c r="S338" s="47"/>
      <c r="T338" s="234">
        <f>SUMPRODUCT($P$4:$R$4,((P338:R338)/M338))*'Realized Pricing'!$L$12</f>
        <v>46.334806785390533</v>
      </c>
      <c r="U338" s="241">
        <f t="shared" si="55"/>
        <v>93.400648433948064</v>
      </c>
      <c r="V338" s="233">
        <f t="shared" si="47"/>
        <v>5.4697652916128554</v>
      </c>
    </row>
    <row r="339" spans="1:22">
      <c r="A339" s="84" t="s">
        <v>755</v>
      </c>
      <c r="B339" s="84">
        <f t="shared" si="49"/>
        <v>19</v>
      </c>
      <c r="C339" s="47"/>
      <c r="D339" s="47" t="str">
        <f t="shared" si="48"/>
        <v>09/2039</v>
      </c>
      <c r="E339" s="93">
        <f t="shared" si="50"/>
        <v>79.617044722170604</v>
      </c>
      <c r="F339" s="105">
        <f>(E339*'Realized Pricing'!$L$2)/M339</f>
        <v>93.400648433948064</v>
      </c>
      <c r="G339" s="47"/>
      <c r="H339" s="47"/>
      <c r="I339" s="47"/>
      <c r="J339" s="228">
        <f t="shared" si="51"/>
        <v>4.3758122332902847</v>
      </c>
      <c r="K339" s="236">
        <f>((J339-'Realized Pricing'!$B$32)/M339)*'Realized Pricing'!$L$7</f>
        <v>4.6485369617506684</v>
      </c>
      <c r="L339" s="107"/>
      <c r="M339" s="227">
        <v>0.8</v>
      </c>
      <c r="N339" s="47"/>
      <c r="O339" s="47"/>
      <c r="P339" s="232">
        <f t="shared" si="52"/>
        <v>16.717129014475859</v>
      </c>
      <c r="Q339" s="232">
        <f t="shared" si="53"/>
        <v>47.497874501447271</v>
      </c>
      <c r="R339" s="232">
        <f t="shared" si="54"/>
        <v>78.941998123913763</v>
      </c>
      <c r="S339" s="47"/>
      <c r="T339" s="234">
        <f>SUMPRODUCT($P$4:$R$4,((P339:R339)/M339))*'Realized Pricing'!$L$12</f>
        <v>46.334806785390533</v>
      </c>
      <c r="U339" s="241">
        <f t="shared" si="55"/>
        <v>93.400648433948064</v>
      </c>
      <c r="V339" s="233">
        <f t="shared" si="47"/>
        <v>5.4697652916128554</v>
      </c>
    </row>
    <row r="340" spans="1:22">
      <c r="A340" s="84" t="s">
        <v>756</v>
      </c>
      <c r="B340" s="84">
        <f t="shared" si="49"/>
        <v>19</v>
      </c>
      <c r="C340" s="47"/>
      <c r="D340" s="47" t="str">
        <f t="shared" si="48"/>
        <v>10/2039</v>
      </c>
      <c r="E340" s="93">
        <f t="shared" si="50"/>
        <v>79.617044722170604</v>
      </c>
      <c r="F340" s="105">
        <f>(E340*'Realized Pricing'!$L$2)/M340</f>
        <v>93.400648433948064</v>
      </c>
      <c r="G340" s="47"/>
      <c r="H340" s="47"/>
      <c r="I340" s="47"/>
      <c r="J340" s="228">
        <f t="shared" si="51"/>
        <v>4.3758122332902847</v>
      </c>
      <c r="K340" s="236">
        <f>((J340-'Realized Pricing'!$B$32)/M340)*'Realized Pricing'!$L$7</f>
        <v>4.6485369617506684</v>
      </c>
      <c r="L340" s="107"/>
      <c r="M340" s="227">
        <v>0.8</v>
      </c>
      <c r="N340" s="47"/>
      <c r="O340" s="47"/>
      <c r="P340" s="232">
        <f t="shared" si="52"/>
        <v>16.717129014475859</v>
      </c>
      <c r="Q340" s="232">
        <f t="shared" si="53"/>
        <v>47.497874501447271</v>
      </c>
      <c r="R340" s="232">
        <f t="shared" si="54"/>
        <v>78.941998123913763</v>
      </c>
      <c r="S340" s="47"/>
      <c r="T340" s="234">
        <f>SUMPRODUCT($P$4:$R$4,((P340:R340)/M340))*'Realized Pricing'!$L$12</f>
        <v>46.334806785390533</v>
      </c>
      <c r="U340" s="241">
        <f t="shared" si="55"/>
        <v>93.400648433948064</v>
      </c>
      <c r="V340" s="233">
        <f t="shared" si="47"/>
        <v>5.4697652916128554</v>
      </c>
    </row>
    <row r="341" spans="1:22">
      <c r="A341" s="84" t="s">
        <v>757</v>
      </c>
      <c r="B341" s="84">
        <f t="shared" si="49"/>
        <v>19</v>
      </c>
      <c r="C341" s="47"/>
      <c r="D341" s="47" t="str">
        <f t="shared" si="48"/>
        <v>11/2039</v>
      </c>
      <c r="E341" s="93">
        <f t="shared" si="50"/>
        <v>79.617044722170604</v>
      </c>
      <c r="F341" s="105">
        <f>(E341*'Realized Pricing'!$L$2)/M341</f>
        <v>93.400648433948064</v>
      </c>
      <c r="G341" s="47"/>
      <c r="H341" s="47"/>
      <c r="I341" s="47"/>
      <c r="J341" s="228">
        <f t="shared" si="51"/>
        <v>4.3758122332902847</v>
      </c>
      <c r="K341" s="236">
        <f>((J341-'Realized Pricing'!$B$32)/M341)*'Realized Pricing'!$L$7</f>
        <v>4.6485369617506684</v>
      </c>
      <c r="L341" s="107"/>
      <c r="M341" s="227">
        <v>0.8</v>
      </c>
      <c r="N341" s="47"/>
      <c r="O341" s="47"/>
      <c r="P341" s="232">
        <f t="shared" si="52"/>
        <v>16.717129014475859</v>
      </c>
      <c r="Q341" s="232">
        <f t="shared" si="53"/>
        <v>47.497874501447271</v>
      </c>
      <c r="R341" s="232">
        <f t="shared" si="54"/>
        <v>78.941998123913763</v>
      </c>
      <c r="S341" s="47"/>
      <c r="T341" s="234">
        <f>SUMPRODUCT($P$4:$R$4,((P341:R341)/M341))*'Realized Pricing'!$L$12</f>
        <v>46.334806785390533</v>
      </c>
      <c r="U341" s="241">
        <f t="shared" si="55"/>
        <v>93.400648433948064</v>
      </c>
      <c r="V341" s="233">
        <f t="shared" si="47"/>
        <v>5.4697652916128554</v>
      </c>
    </row>
    <row r="342" spans="1:22">
      <c r="A342" s="84" t="s">
        <v>753</v>
      </c>
      <c r="B342" s="84">
        <f t="shared" si="49"/>
        <v>19</v>
      </c>
      <c r="C342" s="47"/>
      <c r="D342" s="47" t="str">
        <f t="shared" si="48"/>
        <v>12/2039</v>
      </c>
      <c r="E342" s="93">
        <f t="shared" si="50"/>
        <v>79.617044722170604</v>
      </c>
      <c r="F342" s="105">
        <f>(E342*'Realized Pricing'!$L$2)/M342</f>
        <v>93.400648433948064</v>
      </c>
      <c r="G342" s="47"/>
      <c r="H342" s="47"/>
      <c r="I342" s="47"/>
      <c r="J342" s="228">
        <f t="shared" si="51"/>
        <v>4.3758122332902847</v>
      </c>
      <c r="K342" s="236">
        <f>((J342-'Realized Pricing'!$B$32)/M342)*'Realized Pricing'!$L$7</f>
        <v>4.6485369617506684</v>
      </c>
      <c r="L342" s="107"/>
      <c r="M342" s="227">
        <v>0.8</v>
      </c>
      <c r="N342" s="47"/>
      <c r="O342" s="47"/>
      <c r="P342" s="232">
        <f t="shared" si="52"/>
        <v>16.717129014475859</v>
      </c>
      <c r="Q342" s="232">
        <f t="shared" si="53"/>
        <v>47.497874501447271</v>
      </c>
      <c r="R342" s="232">
        <f t="shared" si="54"/>
        <v>78.941998123913763</v>
      </c>
      <c r="S342" s="47"/>
      <c r="T342" s="234">
        <f>SUMPRODUCT($P$4:$R$4,((P342:R342)/M342))*'Realized Pricing'!$L$12</f>
        <v>46.334806785390533</v>
      </c>
      <c r="U342" s="241">
        <f t="shared" si="55"/>
        <v>93.400648433948064</v>
      </c>
      <c r="V342" s="233">
        <f t="shared" si="47"/>
        <v>5.4697652916128554</v>
      </c>
    </row>
    <row r="343" spans="1:22">
      <c r="A343" s="84" t="s">
        <v>758</v>
      </c>
      <c r="B343" s="84">
        <f t="shared" si="49"/>
        <v>19</v>
      </c>
      <c r="C343" s="47"/>
      <c r="D343" s="47" t="str">
        <f t="shared" si="48"/>
        <v>01/2040</v>
      </c>
      <c r="E343" s="93">
        <f t="shared" si="50"/>
        <v>79.617044722170604</v>
      </c>
      <c r="F343" s="105">
        <f>(E343*'Realized Pricing'!$L$2)/M343</f>
        <v>93.400648433948064</v>
      </c>
      <c r="G343" s="47"/>
      <c r="H343" s="47"/>
      <c r="I343" s="47"/>
      <c r="J343" s="228">
        <f t="shared" si="51"/>
        <v>4.3758122332902847</v>
      </c>
      <c r="K343" s="236">
        <f>((J343-'Realized Pricing'!$B$32)/M343)*'Realized Pricing'!$L$7</f>
        <v>4.6485369617506684</v>
      </c>
      <c r="L343" s="107"/>
      <c r="M343" s="227">
        <v>0.8</v>
      </c>
      <c r="N343" s="47"/>
      <c r="O343" s="47"/>
      <c r="P343" s="232">
        <f t="shared" si="52"/>
        <v>16.717129014475859</v>
      </c>
      <c r="Q343" s="232">
        <f t="shared" si="53"/>
        <v>47.497874501447271</v>
      </c>
      <c r="R343" s="232">
        <f t="shared" si="54"/>
        <v>78.941998123913763</v>
      </c>
      <c r="S343" s="47"/>
      <c r="T343" s="234">
        <f>SUMPRODUCT($P$4:$R$4,((P343:R343)/M343))*'Realized Pricing'!$L$12</f>
        <v>46.334806785390533</v>
      </c>
      <c r="U343" s="241">
        <f t="shared" si="55"/>
        <v>93.400648433948064</v>
      </c>
      <c r="V343" s="233">
        <f t="shared" si="47"/>
        <v>5.4697652916128554</v>
      </c>
    </row>
    <row r="344" spans="1:22">
      <c r="T344" s="175"/>
      <c r="U344" s="108"/>
      <c r="V344" s="107"/>
    </row>
  </sheetData>
  <mergeCells count="10">
    <mergeCell ref="X1:Z1"/>
    <mergeCell ref="M1:R1"/>
    <mergeCell ref="T1:V1"/>
    <mergeCell ref="T2:V2"/>
    <mergeCell ref="C3:E3"/>
    <mergeCell ref="C2:E2"/>
    <mergeCell ref="G2:J2"/>
    <mergeCell ref="P2:R2"/>
    <mergeCell ref="G3:J3"/>
    <mergeCell ref="C1:K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P29"/>
  <sheetViews>
    <sheetView workbookViewId="0">
      <selection activeCell="P3" sqref="P3"/>
    </sheetView>
  </sheetViews>
  <sheetFormatPr defaultColWidth="11" defaultRowHeight="15.9"/>
  <cols>
    <col min="1" max="1" width="25.5" bestFit="1" customWidth="1"/>
    <col min="2" max="4" width="10.140625" customWidth="1"/>
    <col min="5" max="12" width="11.140625" customWidth="1"/>
    <col min="13" max="13" width="9.2109375" customWidth="1"/>
    <col min="14" max="14" width="14.2109375" style="1" bestFit="1" customWidth="1"/>
  </cols>
  <sheetData>
    <row r="1" spans="1:16">
      <c r="A1" s="1"/>
      <c r="B1" s="315">
        <v>2016</v>
      </c>
      <c r="C1" s="315"/>
      <c r="D1" s="315"/>
      <c r="E1" s="315"/>
      <c r="F1" s="315">
        <v>2017</v>
      </c>
      <c r="G1" s="315"/>
      <c r="H1" s="315"/>
      <c r="I1" s="315"/>
      <c r="J1" s="315">
        <v>2018</v>
      </c>
      <c r="K1" s="315"/>
      <c r="L1" s="315"/>
      <c r="M1" s="315"/>
      <c r="P1" s="163" t="s">
        <v>778</v>
      </c>
    </row>
    <row r="2" spans="1:16">
      <c r="A2" s="1"/>
      <c r="B2" s="48">
        <v>42460</v>
      </c>
      <c r="C2" s="48">
        <v>42551</v>
      </c>
      <c r="D2" s="48">
        <v>42643</v>
      </c>
      <c r="E2" s="48">
        <v>42735</v>
      </c>
      <c r="F2" s="48">
        <v>42825</v>
      </c>
      <c r="G2" s="48">
        <v>42916</v>
      </c>
      <c r="H2" s="48">
        <v>43008</v>
      </c>
      <c r="I2" s="48">
        <v>43100</v>
      </c>
      <c r="J2" s="48">
        <v>43190</v>
      </c>
      <c r="K2" s="48">
        <v>43281</v>
      </c>
      <c r="L2" s="48">
        <v>43373</v>
      </c>
      <c r="M2" s="48">
        <v>43465</v>
      </c>
      <c r="N2" s="71" t="s">
        <v>702</v>
      </c>
      <c r="P2" s="213">
        <v>0.02</v>
      </c>
    </row>
    <row r="3" spans="1:16">
      <c r="A3" s="71" t="s">
        <v>698</v>
      </c>
      <c r="B3" s="78">
        <f>6315833+30370</f>
        <v>6346203</v>
      </c>
      <c r="C3" s="78">
        <f>5694831+34837</f>
        <v>5729668</v>
      </c>
      <c r="D3" s="78">
        <f>6315833+30370</f>
        <v>6346203</v>
      </c>
      <c r="E3" s="135">
        <f>29078560+135312-D3-C3-B3</f>
        <v>10791798</v>
      </c>
      <c r="F3" s="136">
        <v>15549388</v>
      </c>
      <c r="G3" s="136">
        <v>19527395</v>
      </c>
      <c r="H3" s="136">
        <v>17663925</v>
      </c>
      <c r="I3" s="136">
        <f>77913091-H3-G3-F3</f>
        <v>25172383</v>
      </c>
      <c r="J3" s="136">
        <v>29749716</v>
      </c>
      <c r="K3" s="136">
        <v>29922471</v>
      </c>
      <c r="L3" s="136">
        <v>45131784</v>
      </c>
      <c r="M3" s="1"/>
      <c r="N3" s="78">
        <f>AVERAGE(E3:L3)</f>
        <v>24188607.5</v>
      </c>
    </row>
    <row r="4" spans="1:16">
      <c r="A4" s="71" t="s">
        <v>699</v>
      </c>
      <c r="B4" s="136">
        <v>-233391</v>
      </c>
      <c r="C4" s="136">
        <v>-116747</v>
      </c>
      <c r="D4" s="136">
        <v>-233391</v>
      </c>
      <c r="E4" s="137">
        <f>+-979164-D4-C4-B4</f>
        <v>-395635</v>
      </c>
      <c r="F4" s="136">
        <v>-1231175</v>
      </c>
      <c r="G4" s="136">
        <v>-1487371</v>
      </c>
      <c r="H4" s="136">
        <v>-1344746</v>
      </c>
      <c r="I4" s="136">
        <f>-6411927-H4-G4-F4</f>
        <v>-2348635</v>
      </c>
      <c r="J4" s="136">
        <v>-2801221</v>
      </c>
      <c r="K4" s="136">
        <v>-2684294</v>
      </c>
      <c r="L4" s="136">
        <v>-4156841</v>
      </c>
      <c r="M4" s="1"/>
      <c r="N4" s="78">
        <f>AVERAGE(E4:L4)</f>
        <v>-2056239.75</v>
      </c>
    </row>
    <row r="5" spans="1:16">
      <c r="A5" s="1"/>
      <c r="B5" s="84"/>
      <c r="C5" s="84"/>
      <c r="D5" s="84"/>
      <c r="E5" s="84"/>
      <c r="F5" s="1"/>
      <c r="G5" s="1"/>
      <c r="H5" s="1"/>
      <c r="I5" s="1"/>
      <c r="J5" s="1"/>
      <c r="K5" s="1"/>
      <c r="L5" s="1"/>
      <c r="M5" s="1"/>
      <c r="N5" s="78"/>
    </row>
    <row r="6" spans="1:16">
      <c r="A6" s="1"/>
      <c r="B6" s="84"/>
      <c r="C6" s="84"/>
      <c r="D6" s="84"/>
      <c r="E6" s="84"/>
      <c r="F6" s="1"/>
      <c r="G6" s="1"/>
      <c r="H6" s="1"/>
      <c r="I6" s="1"/>
      <c r="J6" s="1"/>
      <c r="K6" s="1"/>
      <c r="L6" s="1"/>
      <c r="M6" s="1"/>
      <c r="N6" s="78"/>
    </row>
    <row r="7" spans="1:16">
      <c r="A7" s="71" t="s">
        <v>686</v>
      </c>
      <c r="B7" s="136">
        <v>2101323</v>
      </c>
      <c r="C7" s="136">
        <v>1816602</v>
      </c>
      <c r="D7" s="136">
        <v>2101323</v>
      </c>
      <c r="E7" s="137">
        <f>7730777-D7-C7-B7</f>
        <v>1711529</v>
      </c>
      <c r="F7" s="136">
        <v>2540351</v>
      </c>
      <c r="G7" s="136">
        <v>4287197</v>
      </c>
      <c r="H7" s="136">
        <v>2997128</v>
      </c>
      <c r="I7" s="136">
        <f>14115307-H7-G7-F7</f>
        <v>4290631</v>
      </c>
      <c r="J7" s="136">
        <v>4325193</v>
      </c>
      <c r="K7" s="136">
        <v>4409906</v>
      </c>
      <c r="L7" s="136">
        <v>5015914</v>
      </c>
      <c r="M7" s="1"/>
      <c r="N7" s="78">
        <f>AVERAGE(E7:L7)</f>
        <v>3697231.125</v>
      </c>
    </row>
    <row r="8" spans="1:16">
      <c r="A8" s="71" t="s">
        <v>687</v>
      </c>
      <c r="B8" s="136">
        <v>466914</v>
      </c>
      <c r="C8" s="136">
        <v>364946</v>
      </c>
      <c r="D8" s="136">
        <v>466914</v>
      </c>
      <c r="E8" s="137">
        <f>1418695-D8-C8-B8</f>
        <v>119921</v>
      </c>
      <c r="F8" s="136">
        <v>658483</v>
      </c>
      <c r="G8" s="136">
        <v>377071</v>
      </c>
      <c r="H8" s="136">
        <v>803930</v>
      </c>
      <c r="I8" s="136">
        <f>2159708-H8-G8-F8</f>
        <v>320224</v>
      </c>
      <c r="J8" s="136">
        <v>1112780</v>
      </c>
      <c r="K8" s="136">
        <v>905625</v>
      </c>
      <c r="L8" s="136">
        <v>1018725</v>
      </c>
      <c r="M8" s="1"/>
      <c r="N8" s="78">
        <f>AVERAGE(E8:L8)</f>
        <v>664594.875</v>
      </c>
    </row>
    <row r="9" spans="1:16">
      <c r="A9" s="71"/>
      <c r="B9" s="84"/>
      <c r="C9" s="84"/>
      <c r="D9" s="84"/>
      <c r="E9" s="84"/>
      <c r="F9" s="1"/>
      <c r="G9" s="1"/>
      <c r="H9" s="1"/>
      <c r="I9" s="1"/>
      <c r="J9" s="1"/>
      <c r="K9" s="1"/>
      <c r="L9" s="1"/>
      <c r="M9" s="1"/>
      <c r="N9" s="78"/>
    </row>
    <row r="10" spans="1:16">
      <c r="A10" s="71" t="s">
        <v>703</v>
      </c>
      <c r="B10" s="135">
        <f>B3+B4-B7-B8</f>
        <v>3544575</v>
      </c>
      <c r="C10" s="135">
        <f t="shared" ref="C10:L10" si="0">C3+C4-C7-C8</f>
        <v>3431373</v>
      </c>
      <c r="D10" s="135">
        <f t="shared" si="0"/>
        <v>3544575</v>
      </c>
      <c r="E10" s="135">
        <f t="shared" si="0"/>
        <v>8564713</v>
      </c>
      <c r="F10" s="135">
        <f t="shared" si="0"/>
        <v>11119379</v>
      </c>
      <c r="G10" s="135">
        <f t="shared" si="0"/>
        <v>13375756</v>
      </c>
      <c r="H10" s="135">
        <f t="shared" si="0"/>
        <v>12518121</v>
      </c>
      <c r="I10" s="135">
        <f t="shared" si="0"/>
        <v>18212893</v>
      </c>
      <c r="J10" s="135">
        <f t="shared" si="0"/>
        <v>21510522</v>
      </c>
      <c r="K10" s="135">
        <f t="shared" si="0"/>
        <v>21922646</v>
      </c>
      <c r="L10" s="135">
        <f t="shared" si="0"/>
        <v>34940304</v>
      </c>
      <c r="M10" s="1"/>
      <c r="N10" s="78"/>
    </row>
    <row r="11" spans="1:16">
      <c r="A11" s="1"/>
      <c r="B11" s="84"/>
      <c r="C11" s="84"/>
      <c r="D11" s="84"/>
      <c r="E11" s="84"/>
      <c r="F11" s="1"/>
      <c r="G11" s="1"/>
      <c r="H11" s="1"/>
      <c r="I11" s="1"/>
      <c r="J11" s="1"/>
      <c r="K11" s="1"/>
      <c r="L11" s="1"/>
      <c r="M11" s="1"/>
      <c r="N11" s="78"/>
    </row>
    <row r="12" spans="1:16">
      <c r="A12" s="71" t="s">
        <v>700</v>
      </c>
      <c r="B12" s="136">
        <v>11631203</v>
      </c>
      <c r="C12" s="136">
        <v>-2667159</v>
      </c>
      <c r="D12" s="136">
        <v>11631203</v>
      </c>
      <c r="E12" s="137">
        <f>10184658-D12-C12-B12</f>
        <v>-10410589</v>
      </c>
      <c r="F12" s="136">
        <v>7341733</v>
      </c>
      <c r="G12" s="136">
        <v>7893731</v>
      </c>
      <c r="H12" s="136">
        <v>5511977</v>
      </c>
      <c r="I12" s="136">
        <f>27345553-H12-G12-F12</f>
        <v>6598112</v>
      </c>
      <c r="J12" s="136">
        <v>8046711</v>
      </c>
      <c r="K12" s="136">
        <v>2604506</v>
      </c>
      <c r="L12" s="136">
        <v>18301586</v>
      </c>
      <c r="M12" s="1"/>
      <c r="N12" s="78">
        <f>AVERAGE(E12:L12)</f>
        <v>5735970.875</v>
      </c>
    </row>
    <row r="13" spans="1:16">
      <c r="A13" s="71" t="s">
        <v>701</v>
      </c>
      <c r="B13" s="136">
        <v>11878454</v>
      </c>
      <c r="C13" s="136">
        <v>-899623</v>
      </c>
      <c r="D13" s="136">
        <v>11878454</v>
      </c>
      <c r="E13" s="137">
        <f>10168751-D13-C13-B13</f>
        <v>-12688534</v>
      </c>
      <c r="F13" s="136">
        <v>5216545</v>
      </c>
      <c r="G13" s="136">
        <v>5611218</v>
      </c>
      <c r="H13" s="136">
        <v>3975606</v>
      </c>
      <c r="I13" s="136">
        <f>19485327-H13-G13-F13</f>
        <v>4681958</v>
      </c>
      <c r="J13" s="136">
        <v>5658059</v>
      </c>
      <c r="K13" s="136">
        <v>1646498</v>
      </c>
      <c r="L13" s="136">
        <v>12946733</v>
      </c>
      <c r="M13" s="1"/>
      <c r="N13" s="78">
        <f>AVERAGE(E13:L13)</f>
        <v>3381010.375</v>
      </c>
    </row>
    <row r="14" spans="1:16">
      <c r="A14" s="71" t="s">
        <v>688</v>
      </c>
      <c r="B14" s="138">
        <f>(B12-B13)/B12</f>
        <v>-2.1257560374451378E-2</v>
      </c>
      <c r="C14" s="138">
        <f t="shared" ref="C14:L14" si="1">(C12-C13)/C12</f>
        <v>0.66270364833892548</v>
      </c>
      <c r="D14" s="138">
        <f t="shared" si="1"/>
        <v>-2.1257560374451378E-2</v>
      </c>
      <c r="E14" s="138">
        <f t="shared" si="1"/>
        <v>-0.21881038623270979</v>
      </c>
      <c r="F14" s="138">
        <f t="shared" si="1"/>
        <v>0.28946680572556915</v>
      </c>
      <c r="G14" s="138">
        <f t="shared" si="1"/>
        <v>0.28915515362760652</v>
      </c>
      <c r="H14" s="138">
        <f t="shared" si="1"/>
        <v>0.27873320226118503</v>
      </c>
      <c r="I14" s="138">
        <f t="shared" si="1"/>
        <v>0.29040943833629984</v>
      </c>
      <c r="J14" s="138">
        <f t="shared" si="1"/>
        <v>0.29684824023131934</v>
      </c>
      <c r="K14" s="138">
        <f t="shared" si="1"/>
        <v>0.36782714265200389</v>
      </c>
      <c r="L14" s="138">
        <f t="shared" si="1"/>
        <v>0.29258956027089672</v>
      </c>
      <c r="M14" s="138"/>
      <c r="N14" s="67">
        <f>AVERAGE(F14:L14)</f>
        <v>0.30071850615784002</v>
      </c>
    </row>
    <row r="15" spans="1:16">
      <c r="A15" s="1"/>
      <c r="B15" s="1"/>
      <c r="C15" s="1"/>
      <c r="D15" s="1"/>
      <c r="E15" s="1"/>
      <c r="F15" s="1"/>
      <c r="G15" s="1"/>
      <c r="H15" s="1"/>
      <c r="I15" s="1"/>
      <c r="J15" s="1"/>
      <c r="K15" s="1"/>
      <c r="L15" s="1"/>
      <c r="M15" s="1"/>
    </row>
    <row r="16" spans="1:16">
      <c r="A16" s="1"/>
      <c r="B16" s="1"/>
      <c r="C16" s="1"/>
      <c r="D16" s="1"/>
      <c r="E16" s="1"/>
      <c r="F16" s="1"/>
      <c r="G16" s="1"/>
      <c r="H16" s="1"/>
      <c r="I16" s="1"/>
      <c r="J16" s="1"/>
      <c r="K16" s="1"/>
      <c r="L16" s="1"/>
      <c r="M16" s="1"/>
    </row>
    <row r="17" spans="1:14">
      <c r="A17" s="1"/>
      <c r="B17" s="1"/>
      <c r="C17" s="1"/>
      <c r="D17" s="1"/>
      <c r="E17" s="1"/>
      <c r="F17" s="1"/>
      <c r="G17" s="1"/>
      <c r="H17" s="1"/>
      <c r="I17" s="1"/>
      <c r="J17" s="1"/>
      <c r="K17" s="1"/>
      <c r="L17" s="1"/>
      <c r="M17" s="1"/>
    </row>
    <row r="18" spans="1:14">
      <c r="A18" s="71" t="s">
        <v>689</v>
      </c>
      <c r="B18" s="71"/>
      <c r="C18" s="71"/>
      <c r="D18" s="71"/>
      <c r="E18" s="71"/>
      <c r="F18" s="1"/>
      <c r="G18" s="1"/>
      <c r="H18" s="1"/>
      <c r="I18" s="1"/>
      <c r="J18" s="1"/>
      <c r="K18" s="1"/>
      <c r="L18" s="1"/>
      <c r="M18" s="1"/>
    </row>
    <row r="19" spans="1:14">
      <c r="A19" s="76" t="s">
        <v>725</v>
      </c>
      <c r="B19" s="1"/>
      <c r="C19" s="1"/>
      <c r="D19" s="1"/>
      <c r="E19" s="1"/>
      <c r="F19" s="1"/>
      <c r="G19" s="1"/>
      <c r="H19" s="1"/>
      <c r="I19" s="1"/>
      <c r="J19" s="1"/>
      <c r="K19" s="1"/>
      <c r="L19" s="1"/>
      <c r="M19" s="1"/>
      <c r="N19" s="71" t="s">
        <v>739</v>
      </c>
    </row>
    <row r="20" spans="1:14">
      <c r="A20" s="71" t="s">
        <v>724</v>
      </c>
      <c r="B20" s="85">
        <v>21.98</v>
      </c>
      <c r="C20" s="85">
        <v>22.1</v>
      </c>
      <c r="D20" s="85">
        <v>24.95</v>
      </c>
      <c r="E20" s="85">
        <f>E26*4-D20-C20-B20</f>
        <v>38.97</v>
      </c>
      <c r="F20" s="85">
        <v>38.54</v>
      </c>
      <c r="G20" s="85">
        <v>37.61</v>
      </c>
      <c r="H20" s="85">
        <v>31.87</v>
      </c>
      <c r="I20" s="85">
        <f>I26*4-H20-G20-F20</f>
        <v>40.739999999999988</v>
      </c>
      <c r="J20" s="85">
        <v>44.03</v>
      </c>
      <c r="K20" s="85">
        <v>43.43</v>
      </c>
      <c r="L20" s="85">
        <v>47.52</v>
      </c>
      <c r="M20" s="1"/>
      <c r="N20" s="51">
        <f>AVERAGE(E20:L20)</f>
        <v>40.33874999999999</v>
      </c>
    </row>
    <row r="21" spans="1:14">
      <c r="A21" s="71" t="s">
        <v>723</v>
      </c>
      <c r="B21" s="85">
        <v>-0.81</v>
      </c>
      <c r="C21" s="85">
        <v>-0.45</v>
      </c>
      <c r="D21" s="85">
        <v>-1.1399999999999999</v>
      </c>
      <c r="E21" s="85">
        <f>E27*4-D21-C21-B21</f>
        <v>-1.1999999999999997</v>
      </c>
      <c r="F21" s="85">
        <v>-3.05</v>
      </c>
      <c r="G21" s="85">
        <v>-2.86</v>
      </c>
      <c r="H21" s="85">
        <v>-2.4300000000000002</v>
      </c>
      <c r="I21" s="85">
        <f>I27*4-H21-G21-F21</f>
        <v>-3.9000000000000012</v>
      </c>
      <c r="J21" s="85">
        <v>-4.1500000000000004</v>
      </c>
      <c r="K21" s="85">
        <v>-3.9</v>
      </c>
      <c r="L21" s="85">
        <v>-4.38</v>
      </c>
      <c r="M21" s="1"/>
      <c r="N21" s="51">
        <f t="shared" ref="N21:N23" si="2">AVERAGE(E21:L21)</f>
        <v>-3.2337500000000001</v>
      </c>
    </row>
    <row r="22" spans="1:14">
      <c r="A22" s="71" t="s">
        <v>686</v>
      </c>
      <c r="B22" s="85">
        <v>-7.28</v>
      </c>
      <c r="C22" s="85">
        <v>-7.01</v>
      </c>
      <c r="D22" s="85">
        <v>-6.97</v>
      </c>
      <c r="E22" s="85">
        <f>E28*4-D22-C22-B22</f>
        <v>-7.3</v>
      </c>
      <c r="F22" s="85">
        <v>-6.3</v>
      </c>
      <c r="G22" s="85">
        <v>-8.26</v>
      </c>
      <c r="H22" s="85">
        <v>-5.41</v>
      </c>
      <c r="I22" s="85">
        <f>I28*4-H22-G22-F22</f>
        <v>-6.9900000000000011</v>
      </c>
      <c r="J22" s="85">
        <v>-6.4</v>
      </c>
      <c r="K22" s="85">
        <v>-6.4</v>
      </c>
      <c r="L22" s="85">
        <v>-5.28</v>
      </c>
      <c r="M22" s="1"/>
      <c r="N22" s="73">
        <f t="shared" si="2"/>
        <v>-6.5424999999999995</v>
      </c>
    </row>
    <row r="23" spans="1:14">
      <c r="A23" s="71" t="s">
        <v>687</v>
      </c>
      <c r="B23" s="85">
        <v>-1.62</v>
      </c>
      <c r="C23" s="85">
        <v>-1.41</v>
      </c>
      <c r="D23" s="85">
        <v>-1.17</v>
      </c>
      <c r="E23" s="85">
        <f>E29*4-D23-C23-B23</f>
        <v>-1.04</v>
      </c>
      <c r="F23" s="85">
        <v>-1.63</v>
      </c>
      <c r="G23" s="85">
        <v>-0.73</v>
      </c>
      <c r="H23" s="85">
        <v>-1.45</v>
      </c>
      <c r="I23" s="85">
        <f>I29*4-H23-G23-F23</f>
        <v>-0.31000000000000005</v>
      </c>
      <c r="J23" s="85">
        <v>-1.65</v>
      </c>
      <c r="K23" s="85">
        <v>-1.31</v>
      </c>
      <c r="L23" s="85">
        <v>-1.07</v>
      </c>
      <c r="M23" s="1"/>
      <c r="N23" s="73">
        <f t="shared" si="2"/>
        <v>-1.1487500000000002</v>
      </c>
    </row>
    <row r="24" spans="1:14">
      <c r="A24" s="57"/>
    </row>
    <row r="26" spans="1:14">
      <c r="E26">
        <v>27</v>
      </c>
      <c r="I26">
        <v>37.19</v>
      </c>
    </row>
    <row r="27" spans="1:14">
      <c r="E27">
        <v>-0.9</v>
      </c>
      <c r="I27">
        <v>-3.06</v>
      </c>
    </row>
    <row r="28" spans="1:14">
      <c r="E28">
        <v>-7.14</v>
      </c>
      <c r="I28">
        <v>-6.74</v>
      </c>
    </row>
    <row r="29" spans="1:14">
      <c r="E29">
        <v>-1.31</v>
      </c>
      <c r="I29">
        <v>-1.03</v>
      </c>
    </row>
  </sheetData>
  <mergeCells count="3">
    <mergeCell ref="B1:E1"/>
    <mergeCell ref="F1:I1"/>
    <mergeCell ref="J1:M1"/>
  </mergeCell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AVE1277"/>
  <sheetViews>
    <sheetView workbookViewId="0">
      <selection activeCell="A28" sqref="A28"/>
    </sheetView>
  </sheetViews>
  <sheetFormatPr defaultColWidth="11" defaultRowHeight="15.9"/>
  <cols>
    <col min="1" max="1" width="20.5" bestFit="1" customWidth="1"/>
    <col min="2" max="2" width="12.5" bestFit="1" customWidth="1"/>
    <col min="3" max="4" width="10.35546875" bestFit="1" customWidth="1"/>
    <col min="5" max="5" width="10.35546875" customWidth="1"/>
    <col min="6" max="7" width="10.35546875" bestFit="1" customWidth="1"/>
    <col min="8" max="8" width="10.35546875" customWidth="1"/>
    <col min="9" max="9" width="10.35546875" bestFit="1" customWidth="1"/>
    <col min="10" max="11" width="10.35546875" customWidth="1"/>
    <col min="12" max="12" width="10.35546875" style="1" customWidth="1"/>
    <col min="13" max="1253" width="10.35546875" customWidth="1"/>
  </cols>
  <sheetData>
    <row r="1" spans="1:12">
      <c r="A1" s="36" t="s">
        <v>671</v>
      </c>
      <c r="L1" s="69" t="s">
        <v>931</v>
      </c>
    </row>
    <row r="2" spans="1:12">
      <c r="B2" s="37" t="s">
        <v>673</v>
      </c>
      <c r="C2" s="37" t="s">
        <v>677</v>
      </c>
      <c r="D2" s="36" t="s">
        <v>679</v>
      </c>
      <c r="E2" s="36" t="s">
        <v>685</v>
      </c>
      <c r="F2" s="36" t="s">
        <v>682</v>
      </c>
      <c r="G2" s="36" t="s">
        <v>680</v>
      </c>
      <c r="H2" s="36" t="s">
        <v>683</v>
      </c>
      <c r="I2" s="36" t="s">
        <v>685</v>
      </c>
      <c r="L2" s="81">
        <f>AVERAGE(B8:D8,F8:H8)</f>
        <v>0.93849902376935834</v>
      </c>
    </row>
    <row r="3" spans="1:12">
      <c r="A3" s="35" t="s">
        <v>672</v>
      </c>
      <c r="B3" s="6">
        <v>69.5</v>
      </c>
      <c r="C3" s="2">
        <v>67.88</v>
      </c>
      <c r="D3" s="2">
        <v>62.87</v>
      </c>
      <c r="E3" s="14"/>
      <c r="F3" s="2">
        <v>48.2</v>
      </c>
      <c r="G3" s="2">
        <v>48.29</v>
      </c>
      <c r="H3" s="2">
        <v>51.91</v>
      </c>
      <c r="I3" s="42"/>
    </row>
    <row r="4" spans="1:12">
      <c r="A4" s="35" t="s">
        <v>676</v>
      </c>
      <c r="B4" s="6">
        <v>82.54</v>
      </c>
      <c r="C4" s="2">
        <v>80.03</v>
      </c>
      <c r="D4" s="2">
        <v>72.040000000000006</v>
      </c>
      <c r="E4" s="14"/>
      <c r="F4" s="2">
        <v>56.51</v>
      </c>
      <c r="G4" s="2">
        <v>62.63</v>
      </c>
      <c r="H4" s="2">
        <v>64.349999999999994</v>
      </c>
      <c r="I4" s="42"/>
    </row>
    <row r="5" spans="1:12">
      <c r="A5" s="35"/>
      <c r="B5" s="40"/>
      <c r="C5" s="40"/>
      <c r="D5" s="40"/>
      <c r="E5" s="41"/>
      <c r="F5" s="40"/>
      <c r="G5" s="40"/>
      <c r="H5" s="40"/>
      <c r="I5" s="42"/>
    </row>
    <row r="6" spans="1:12">
      <c r="A6" s="35" t="s">
        <v>678</v>
      </c>
      <c r="B6" s="6">
        <v>0.77</v>
      </c>
      <c r="C6" s="2">
        <v>0.78</v>
      </c>
      <c r="D6" s="2">
        <v>0.79</v>
      </c>
      <c r="E6" s="14"/>
      <c r="F6" s="2">
        <v>0.8</v>
      </c>
      <c r="G6" s="2">
        <v>0.78</v>
      </c>
      <c r="H6" s="2">
        <v>0.76</v>
      </c>
      <c r="I6" s="42"/>
      <c r="L6" s="69" t="s">
        <v>744</v>
      </c>
    </row>
    <row r="7" spans="1:12">
      <c r="A7" s="35" t="s">
        <v>742</v>
      </c>
      <c r="B7" s="2">
        <f>(B4*B6)</f>
        <v>63.555800000000005</v>
      </c>
      <c r="C7" s="2">
        <f t="shared" ref="C7:D7" si="0">(C4*C6)</f>
        <v>62.423400000000001</v>
      </c>
      <c r="D7" s="2">
        <f t="shared" si="0"/>
        <v>56.911600000000007</v>
      </c>
      <c r="E7" s="2">
        <f t="shared" ref="E7" si="1">(E4*E6)</f>
        <v>0</v>
      </c>
      <c r="F7" s="2">
        <f t="shared" ref="F7" si="2">(F4*F6)</f>
        <v>45.207999999999998</v>
      </c>
      <c r="G7" s="2">
        <f t="shared" ref="G7" si="3">(G4*G6)</f>
        <v>48.851400000000005</v>
      </c>
      <c r="H7" s="2">
        <f t="shared" ref="H7" si="4">(H4*H6)</f>
        <v>48.905999999999999</v>
      </c>
      <c r="L7" s="82">
        <f>AVERAGE(F18:H18,B18:D18)</f>
        <v>1.0714539616624297</v>
      </c>
    </row>
    <row r="8" spans="1:12">
      <c r="A8" s="35" t="s">
        <v>743</v>
      </c>
      <c r="B8" s="80">
        <f>B7/B3</f>
        <v>0.91447194244604324</v>
      </c>
      <c r="C8" s="80">
        <f t="shared" ref="C8:H8" si="5">C7/C3</f>
        <v>0.91961402474955811</v>
      </c>
      <c r="D8" s="80">
        <f t="shared" si="5"/>
        <v>0.90522665818355352</v>
      </c>
      <c r="E8" s="80"/>
      <c r="F8" s="80">
        <f t="shared" si="5"/>
        <v>0.93792531120331946</v>
      </c>
      <c r="G8" s="80">
        <f t="shared" si="5"/>
        <v>1.0116255953613587</v>
      </c>
      <c r="H8" s="80">
        <f t="shared" si="5"/>
        <v>0.94213061067231751</v>
      </c>
    </row>
    <row r="9" spans="1:12">
      <c r="B9" s="2"/>
      <c r="C9" s="2"/>
      <c r="D9" s="2"/>
      <c r="E9" s="2"/>
    </row>
    <row r="10" spans="1:12">
      <c r="B10" t="s">
        <v>672</v>
      </c>
      <c r="C10" s="39">
        <f>(SUM(F3:H3)+D10)/4</f>
        <v>50.837500000000006</v>
      </c>
      <c r="D10" s="39">
        <v>54.95</v>
      </c>
    </row>
    <row r="11" spans="1:12">
      <c r="B11" t="s">
        <v>684</v>
      </c>
      <c r="C11">
        <f>(SUM(F6:H6)+D11)/4</f>
        <v>0.77</v>
      </c>
      <c r="D11">
        <v>0.74</v>
      </c>
      <c r="L11" s="163" t="s">
        <v>945</v>
      </c>
    </row>
    <row r="12" spans="1:12">
      <c r="B12" t="s">
        <v>675</v>
      </c>
      <c r="C12">
        <f>(SUM(F4:H4)+D12)/4</f>
        <v>63.872500000000002</v>
      </c>
      <c r="D12">
        <v>72</v>
      </c>
      <c r="L12" s="82">
        <v>0.9</v>
      </c>
    </row>
    <row r="16" spans="1:12">
      <c r="A16" s="35" t="s">
        <v>674</v>
      </c>
      <c r="B16" s="6">
        <v>1.3</v>
      </c>
      <c r="C16" s="2">
        <v>1.03</v>
      </c>
      <c r="D16" s="2">
        <v>1.85</v>
      </c>
      <c r="E16" s="2"/>
      <c r="F16" s="2">
        <v>1.45</v>
      </c>
      <c r="G16" s="2">
        <v>2.89</v>
      </c>
      <c r="H16" s="2">
        <v>2.94</v>
      </c>
    </row>
    <row r="17" spans="1:1253">
      <c r="A17" s="35" t="s">
        <v>675</v>
      </c>
      <c r="B17" s="6">
        <v>1.19</v>
      </c>
      <c r="C17" s="2">
        <v>1.1599999999999999</v>
      </c>
      <c r="D17" s="2">
        <v>2.21</v>
      </c>
      <c r="E17" s="2"/>
      <c r="F17" s="2">
        <v>1.6</v>
      </c>
      <c r="G17" s="2">
        <v>3</v>
      </c>
      <c r="H17" s="2">
        <v>3.09</v>
      </c>
    </row>
    <row r="18" spans="1:1253">
      <c r="B18" s="38">
        <f>B17/B16</f>
        <v>0.91538461538461535</v>
      </c>
      <c r="C18" s="38">
        <f t="shared" ref="C18:H18" si="6">C17/C16</f>
        <v>1.1262135922330097</v>
      </c>
      <c r="D18" s="38">
        <f t="shared" si="6"/>
        <v>1.1945945945945946</v>
      </c>
      <c r="E18" s="38"/>
      <c r="F18" s="38">
        <f t="shared" si="6"/>
        <v>1.103448275862069</v>
      </c>
      <c r="G18" s="38">
        <f t="shared" si="6"/>
        <v>1.0380622837370241</v>
      </c>
      <c r="H18" s="38">
        <f t="shared" si="6"/>
        <v>1.0510204081632653</v>
      </c>
    </row>
    <row r="21" spans="1:1253" s="44" customFormat="1" ht="16.3" thickBot="1">
      <c r="A21" s="88"/>
      <c r="L21" s="43"/>
    </row>
    <row r="22" spans="1:1253">
      <c r="A22" s="1"/>
      <c r="B22" s="86"/>
      <c r="C22" s="86"/>
      <c r="D22" s="86"/>
      <c r="E22" s="86"/>
      <c r="F22" s="86"/>
      <c r="G22" s="86"/>
      <c r="H22" s="86"/>
      <c r="I22" s="86"/>
      <c r="J22" s="86"/>
      <c r="K22" s="86"/>
      <c r="L22" s="86"/>
      <c r="M22" s="86"/>
      <c r="S22" s="86"/>
      <c r="T22" s="86"/>
      <c r="U22" s="86"/>
      <c r="V22" s="86"/>
      <c r="W22" s="86"/>
      <c r="X22" s="86"/>
      <c r="Y22" s="86"/>
      <c r="Z22" s="86"/>
      <c r="AA22" s="86"/>
      <c r="AB22" s="86"/>
      <c r="AC22" s="86"/>
      <c r="AD22" s="86"/>
      <c r="AE22" s="86"/>
      <c r="AF22" s="86"/>
      <c r="AG22" s="86"/>
      <c r="AH22" s="86"/>
      <c r="AI22" s="86"/>
      <c r="AJ22" s="86"/>
      <c r="AK22" s="86"/>
      <c r="AL22" s="86"/>
      <c r="AM22" s="86"/>
      <c r="AN22" s="86"/>
      <c r="AO22" s="86"/>
      <c r="AP22" s="86"/>
      <c r="AQ22" s="86"/>
      <c r="AR22" s="86"/>
      <c r="AS22" s="86"/>
      <c r="AT22" s="86"/>
      <c r="AU22" s="86"/>
      <c r="AV22" s="86"/>
      <c r="AW22" s="86"/>
      <c r="AX22" s="86"/>
      <c r="AY22" s="86"/>
      <c r="AZ22" s="86"/>
      <c r="BA22" s="86"/>
      <c r="BB22" s="86"/>
      <c r="BC22" s="86"/>
      <c r="BD22" s="86"/>
      <c r="BE22" s="86"/>
      <c r="BF22" s="86"/>
      <c r="BG22" s="86"/>
      <c r="BH22" s="86"/>
      <c r="BI22" s="86"/>
      <c r="BJ22" s="86"/>
      <c r="BK22" s="86"/>
      <c r="BL22" s="86"/>
      <c r="BM22" s="86"/>
      <c r="BN22" s="86"/>
      <c r="BO22" s="86"/>
      <c r="BP22" s="86"/>
      <c r="BQ22" s="86"/>
      <c r="BR22" s="86"/>
      <c r="BS22" s="86"/>
      <c r="BT22" s="86"/>
      <c r="BU22" s="86"/>
      <c r="BV22" s="86"/>
      <c r="BW22" s="86"/>
      <c r="BX22" s="86"/>
      <c r="BY22" s="86"/>
      <c r="BZ22" s="86"/>
      <c r="CA22" s="86"/>
      <c r="CB22" s="86"/>
      <c r="CC22" s="86"/>
      <c r="CD22" s="86"/>
      <c r="CE22" s="86"/>
      <c r="CF22" s="86"/>
      <c r="CG22" s="86"/>
      <c r="CH22" s="86"/>
      <c r="CI22" s="86"/>
      <c r="CJ22" s="86"/>
      <c r="CK22" s="86"/>
      <c r="CL22" s="86"/>
      <c r="CM22" s="86"/>
      <c r="CN22" s="86"/>
      <c r="CO22" s="86"/>
      <c r="CP22" s="86"/>
      <c r="CQ22" s="86"/>
      <c r="CR22" s="86"/>
      <c r="CS22" s="86"/>
      <c r="CT22" s="86"/>
      <c r="CU22" s="86"/>
      <c r="CV22" s="86"/>
      <c r="CW22" s="86"/>
      <c r="CX22" s="86"/>
      <c r="CY22" s="86"/>
      <c r="CZ22" s="86"/>
      <c r="DA22" s="86"/>
      <c r="DB22" s="86"/>
      <c r="DC22" s="86"/>
      <c r="DD22" s="86"/>
      <c r="DE22" s="86"/>
      <c r="DF22" s="86"/>
      <c r="DG22" s="86"/>
      <c r="DH22" s="86"/>
      <c r="DI22" s="86"/>
      <c r="DJ22" s="86"/>
      <c r="DK22" s="86"/>
      <c r="DL22" s="86"/>
      <c r="DM22" s="86"/>
      <c r="DN22" s="86"/>
      <c r="DO22" s="86"/>
      <c r="DP22" s="86"/>
      <c r="DQ22" s="86"/>
      <c r="DR22" s="86"/>
      <c r="DS22" s="86"/>
      <c r="DT22" s="86"/>
      <c r="DU22" s="86"/>
      <c r="DV22" s="86"/>
      <c r="DW22" s="86"/>
      <c r="DX22" s="86"/>
      <c r="DY22" s="86"/>
      <c r="DZ22" s="86"/>
      <c r="EA22" s="86"/>
      <c r="EB22" s="86"/>
      <c r="EC22" s="86"/>
      <c r="ED22" s="86"/>
      <c r="EE22" s="86"/>
      <c r="EF22" s="86"/>
      <c r="EG22" s="86"/>
      <c r="EH22" s="86"/>
      <c r="EI22" s="86"/>
      <c r="EJ22" s="86"/>
      <c r="EK22" s="86"/>
      <c r="EL22" s="86"/>
      <c r="EM22" s="86"/>
      <c r="EN22" s="86"/>
      <c r="EO22" s="86"/>
      <c r="EP22" s="86"/>
      <c r="EQ22" s="86"/>
      <c r="ER22" s="86"/>
      <c r="ES22" s="86"/>
      <c r="ET22" s="86"/>
      <c r="EU22" s="86"/>
      <c r="EV22" s="86"/>
      <c r="EW22" s="86"/>
      <c r="EX22" s="86"/>
      <c r="EY22" s="86"/>
      <c r="EZ22" s="86"/>
      <c r="FA22" s="86"/>
      <c r="FB22" s="86"/>
      <c r="FC22" s="86"/>
      <c r="FD22" s="86"/>
      <c r="FE22" s="86"/>
      <c r="FF22" s="86"/>
      <c r="FG22" s="86"/>
      <c r="FH22" s="86"/>
      <c r="FI22" s="86"/>
      <c r="FJ22" s="86"/>
      <c r="FK22" s="86"/>
      <c r="FL22" s="86"/>
      <c r="FM22" s="86"/>
      <c r="FN22" s="86"/>
      <c r="FO22" s="86"/>
      <c r="FP22" s="86"/>
      <c r="FQ22" s="86"/>
      <c r="FR22" s="86"/>
      <c r="FS22" s="86"/>
      <c r="FT22" s="86"/>
      <c r="FU22" s="86"/>
      <c r="FV22" s="86"/>
      <c r="FW22" s="86"/>
      <c r="FX22" s="86"/>
      <c r="FY22" s="86"/>
      <c r="FZ22" s="86"/>
      <c r="GA22" s="86"/>
      <c r="GB22" s="86"/>
      <c r="GC22" s="86"/>
      <c r="GD22" s="86"/>
      <c r="GE22" s="86"/>
      <c r="GF22" s="86"/>
      <c r="GG22" s="86"/>
      <c r="GH22" s="86"/>
      <c r="GI22" s="86"/>
      <c r="GJ22" s="86"/>
      <c r="GK22" s="86"/>
      <c r="GL22" s="86"/>
      <c r="GM22" s="86"/>
      <c r="GN22" s="86"/>
      <c r="GO22" s="86"/>
      <c r="GP22" s="86"/>
      <c r="GQ22" s="86"/>
      <c r="GR22" s="86"/>
      <c r="GS22" s="86"/>
      <c r="GT22" s="86"/>
      <c r="GU22" s="86"/>
      <c r="GV22" s="86"/>
      <c r="GW22" s="86"/>
      <c r="GX22" s="86"/>
      <c r="GY22" s="86"/>
      <c r="GZ22" s="86"/>
      <c r="HA22" s="86"/>
      <c r="HB22" s="86"/>
      <c r="HC22" s="86"/>
      <c r="HD22" s="86"/>
      <c r="HE22" s="86"/>
      <c r="HF22" s="86"/>
      <c r="HG22" s="86"/>
      <c r="HH22" s="86"/>
      <c r="HI22" s="86"/>
      <c r="HJ22" s="86"/>
      <c r="HK22" s="86"/>
      <c r="HL22" s="86"/>
      <c r="HM22" s="86"/>
      <c r="HN22" s="86"/>
      <c r="HO22" s="86"/>
      <c r="HP22" s="86"/>
      <c r="HQ22" s="86"/>
      <c r="HR22" s="86"/>
      <c r="HS22" s="86"/>
      <c r="HT22" s="86"/>
      <c r="HU22" s="86"/>
      <c r="HV22" s="86"/>
      <c r="HW22" s="86"/>
      <c r="HX22" s="86"/>
      <c r="HY22" s="86"/>
      <c r="HZ22" s="86"/>
      <c r="IA22" s="86"/>
      <c r="IB22" s="86"/>
      <c r="IC22" s="86"/>
      <c r="ID22" s="86"/>
      <c r="IE22" s="86"/>
      <c r="IF22" s="86"/>
      <c r="IG22" s="86"/>
      <c r="IH22" s="86"/>
      <c r="II22" s="86"/>
      <c r="IJ22" s="86"/>
      <c r="IK22" s="86"/>
      <c r="IL22" s="86"/>
      <c r="IM22" s="86"/>
      <c r="IN22" s="86"/>
      <c r="IO22" s="86"/>
      <c r="IP22" s="86"/>
      <c r="IQ22" s="86"/>
      <c r="IR22" s="86"/>
      <c r="IS22" s="86"/>
      <c r="IT22" s="86"/>
      <c r="IU22" s="86"/>
      <c r="IV22" s="86"/>
      <c r="IW22" s="86"/>
      <c r="IX22" s="86"/>
      <c r="IY22" s="86"/>
      <c r="IZ22" s="86"/>
      <c r="JA22" s="86"/>
      <c r="JB22" s="86"/>
      <c r="JC22" s="86"/>
      <c r="JD22" s="86"/>
      <c r="JE22" s="86"/>
      <c r="JF22" s="86"/>
      <c r="JG22" s="86"/>
      <c r="JH22" s="86"/>
      <c r="JI22" s="86"/>
      <c r="JJ22" s="86"/>
      <c r="JK22" s="86"/>
      <c r="JL22" s="86"/>
      <c r="JM22" s="86"/>
      <c r="JN22" s="86"/>
      <c r="JO22" s="86"/>
      <c r="JP22" s="86"/>
      <c r="JQ22" s="86"/>
      <c r="JR22" s="86"/>
      <c r="JS22" s="86"/>
      <c r="JT22" s="86"/>
      <c r="JU22" s="86"/>
      <c r="JV22" s="86"/>
      <c r="JW22" s="86"/>
      <c r="JX22" s="86"/>
      <c r="JY22" s="86"/>
      <c r="JZ22" s="86"/>
      <c r="KA22" s="86"/>
      <c r="KB22" s="86"/>
      <c r="KC22" s="86"/>
      <c r="KD22" s="86"/>
      <c r="KE22" s="86"/>
      <c r="KF22" s="86"/>
      <c r="KG22" s="86"/>
      <c r="KH22" s="86"/>
      <c r="KI22" s="86"/>
      <c r="KJ22" s="86"/>
      <c r="KK22" s="86"/>
      <c r="KL22" s="86"/>
      <c r="KM22" s="86"/>
      <c r="KN22" s="86"/>
      <c r="KO22" s="86"/>
      <c r="KP22" s="86"/>
      <c r="KQ22" s="86"/>
      <c r="KR22" s="86"/>
      <c r="KS22" s="86"/>
      <c r="KT22" s="86"/>
      <c r="KU22" s="86"/>
      <c r="KV22" s="86"/>
      <c r="KW22" s="86"/>
      <c r="KX22" s="86"/>
      <c r="KY22" s="86"/>
      <c r="KZ22" s="86"/>
      <c r="LA22" s="86"/>
      <c r="LB22" s="86"/>
      <c r="LC22" s="86"/>
      <c r="LD22" s="86"/>
      <c r="LE22" s="86"/>
      <c r="LF22" s="86"/>
      <c r="LG22" s="86"/>
      <c r="LH22" s="86"/>
      <c r="LI22" s="86"/>
      <c r="LJ22" s="86"/>
      <c r="LK22" s="86"/>
      <c r="LL22" s="86"/>
      <c r="LM22" s="86"/>
      <c r="LN22" s="86"/>
      <c r="LO22" s="86"/>
      <c r="LP22" s="86"/>
      <c r="LQ22" s="86"/>
      <c r="LR22" s="86"/>
      <c r="LS22" s="86"/>
      <c r="LT22" s="86"/>
      <c r="LU22" s="86"/>
      <c r="LV22" s="86"/>
      <c r="LW22" s="86"/>
      <c r="LX22" s="86"/>
      <c r="LY22" s="86"/>
      <c r="LZ22" s="86"/>
      <c r="MA22" s="86"/>
      <c r="MB22" s="86"/>
      <c r="MC22" s="86"/>
      <c r="MD22" s="86"/>
      <c r="ME22" s="86"/>
      <c r="MF22" s="86"/>
      <c r="MG22" s="86"/>
      <c r="MH22" s="86"/>
      <c r="MI22" s="86"/>
      <c r="MJ22" s="86"/>
      <c r="MK22" s="86"/>
      <c r="ML22" s="86"/>
      <c r="MM22" s="86"/>
      <c r="MN22" s="86"/>
      <c r="MO22" s="86"/>
      <c r="MP22" s="86"/>
      <c r="MQ22" s="86"/>
      <c r="MR22" s="86"/>
      <c r="MS22" s="86"/>
      <c r="MT22" s="86"/>
      <c r="MU22" s="86"/>
      <c r="MV22" s="86"/>
      <c r="MW22" s="86"/>
      <c r="MX22" s="86"/>
      <c r="MY22" s="86"/>
      <c r="MZ22" s="86"/>
      <c r="NA22" s="86"/>
      <c r="NB22" s="86"/>
      <c r="NC22" s="86"/>
      <c r="ND22" s="86"/>
      <c r="NE22" s="86"/>
      <c r="NF22" s="86"/>
      <c r="NG22" s="86"/>
      <c r="NH22" s="86"/>
      <c r="NI22" s="86"/>
      <c r="NJ22" s="86"/>
      <c r="NK22" s="86"/>
      <c r="NL22" s="86"/>
      <c r="NM22" s="86"/>
      <c r="NN22" s="86"/>
      <c r="NO22" s="86"/>
      <c r="NP22" s="86"/>
      <c r="NQ22" s="86"/>
      <c r="NR22" s="86"/>
      <c r="NS22" s="86"/>
      <c r="NT22" s="86"/>
      <c r="NU22" s="86"/>
      <c r="NV22" s="86"/>
      <c r="NW22" s="86"/>
      <c r="NX22" s="86"/>
      <c r="NY22" s="86"/>
      <c r="NZ22" s="86"/>
      <c r="OA22" s="86"/>
      <c r="OB22" s="86"/>
      <c r="OC22" s="86"/>
      <c r="OD22" s="86"/>
      <c r="OE22" s="86"/>
      <c r="OF22" s="86"/>
      <c r="OG22" s="86"/>
      <c r="OH22" s="86"/>
      <c r="OI22" s="86"/>
      <c r="OJ22" s="86"/>
      <c r="OK22" s="86"/>
      <c r="OL22" s="86"/>
      <c r="OM22" s="86"/>
      <c r="ON22" s="86"/>
      <c r="OO22" s="86"/>
      <c r="OP22" s="86"/>
      <c r="OQ22" s="86"/>
      <c r="OR22" s="86"/>
      <c r="OS22" s="86"/>
      <c r="OT22" s="86"/>
      <c r="OU22" s="86"/>
      <c r="OV22" s="86"/>
      <c r="OW22" s="86"/>
      <c r="OX22" s="86"/>
      <c r="OY22" s="86"/>
      <c r="OZ22" s="86"/>
      <c r="PA22" s="86"/>
      <c r="PB22" s="86"/>
      <c r="PC22" s="86"/>
      <c r="PD22" s="86"/>
      <c r="PE22" s="86"/>
      <c r="PF22" s="86"/>
      <c r="PG22" s="86"/>
      <c r="PH22" s="86"/>
      <c r="PI22" s="86"/>
      <c r="PJ22" s="86"/>
      <c r="PK22" s="86"/>
      <c r="PL22" s="86"/>
      <c r="PM22" s="86"/>
      <c r="PN22" s="86"/>
      <c r="PO22" s="86"/>
      <c r="PP22" s="86"/>
      <c r="PQ22" s="86"/>
      <c r="PR22" s="86"/>
      <c r="PS22" s="86"/>
      <c r="PT22" s="86"/>
      <c r="PU22" s="86"/>
      <c r="PV22" s="86"/>
      <c r="PW22" s="86"/>
      <c r="PX22" s="86"/>
      <c r="PY22" s="86"/>
      <c r="PZ22" s="86"/>
      <c r="QA22" s="86"/>
      <c r="QB22" s="86"/>
      <c r="QC22" s="86"/>
      <c r="QD22" s="86"/>
      <c r="QE22" s="86"/>
      <c r="QF22" s="86"/>
      <c r="QG22" s="86"/>
      <c r="QH22" s="86"/>
      <c r="QI22" s="86"/>
      <c r="QJ22" s="86"/>
      <c r="QK22" s="86"/>
      <c r="QL22" s="86"/>
      <c r="QM22" s="86"/>
      <c r="QN22" s="86"/>
      <c r="QO22" s="86"/>
      <c r="QP22" s="86"/>
      <c r="QQ22" s="86"/>
      <c r="QR22" s="86"/>
      <c r="QS22" s="86"/>
      <c r="QT22" s="86"/>
      <c r="QU22" s="86"/>
      <c r="QV22" s="86"/>
      <c r="QW22" s="86"/>
      <c r="QX22" s="86"/>
      <c r="QY22" s="86"/>
      <c r="QZ22" s="86"/>
      <c r="RA22" s="86"/>
      <c r="RB22" s="86"/>
      <c r="RC22" s="86"/>
      <c r="RD22" s="86"/>
      <c r="RE22" s="86"/>
      <c r="RF22" s="86"/>
      <c r="RG22" s="86"/>
      <c r="RH22" s="86"/>
      <c r="RI22" s="86"/>
      <c r="RJ22" s="86"/>
      <c r="RK22" s="86"/>
      <c r="RL22" s="86"/>
      <c r="RM22" s="86"/>
      <c r="RN22" s="86"/>
      <c r="RO22" s="86"/>
      <c r="RP22" s="86"/>
      <c r="RQ22" s="86"/>
      <c r="RR22" s="86"/>
      <c r="RS22" s="86"/>
      <c r="RT22" s="86"/>
      <c r="RU22" s="86"/>
      <c r="RV22" s="86"/>
      <c r="RW22" s="86"/>
      <c r="RX22" s="86"/>
      <c r="RY22" s="86"/>
      <c r="RZ22" s="86"/>
      <c r="SA22" s="86"/>
      <c r="SB22" s="86"/>
      <c r="SC22" s="86"/>
      <c r="SD22" s="86"/>
      <c r="SE22" s="86"/>
      <c r="SF22" s="86"/>
      <c r="SG22" s="86"/>
      <c r="SH22" s="86"/>
      <c r="SI22" s="86"/>
      <c r="SJ22" s="86"/>
      <c r="SK22" s="86"/>
      <c r="SL22" s="86"/>
      <c r="SM22" s="86"/>
      <c r="SN22" s="86"/>
      <c r="SO22" s="86"/>
      <c r="SP22" s="86"/>
      <c r="SQ22" s="86"/>
      <c r="SR22" s="86"/>
      <c r="SS22" s="86"/>
      <c r="ST22" s="86"/>
      <c r="SU22" s="86"/>
      <c r="SV22" s="86"/>
      <c r="SW22" s="86"/>
      <c r="SX22" s="86"/>
      <c r="SY22" s="86"/>
      <c r="SZ22" s="86"/>
      <c r="TA22" s="86"/>
      <c r="TB22" s="86"/>
      <c r="TC22" s="86"/>
      <c r="TD22" s="86"/>
      <c r="TE22" s="86"/>
      <c r="TF22" s="86"/>
      <c r="TG22" s="86"/>
      <c r="TH22" s="86"/>
      <c r="TI22" s="86"/>
      <c r="TJ22" s="86"/>
      <c r="TK22" s="86"/>
      <c r="TL22" s="86"/>
      <c r="TM22" s="86"/>
      <c r="TN22" s="86"/>
      <c r="TO22" s="86"/>
      <c r="TP22" s="86"/>
      <c r="TQ22" s="86"/>
      <c r="TR22" s="86"/>
      <c r="TS22" s="86"/>
      <c r="TT22" s="86"/>
      <c r="TU22" s="86"/>
      <c r="TV22" s="86"/>
      <c r="TW22" s="86"/>
      <c r="TX22" s="86"/>
      <c r="TY22" s="86"/>
      <c r="TZ22" s="86"/>
      <c r="UA22" s="86"/>
      <c r="UB22" s="86"/>
      <c r="UC22" s="86"/>
      <c r="UD22" s="86"/>
      <c r="UE22" s="86"/>
      <c r="UF22" s="86"/>
      <c r="UG22" s="86"/>
      <c r="UH22" s="86"/>
      <c r="UI22" s="86"/>
      <c r="UJ22" s="86"/>
      <c r="UK22" s="86"/>
      <c r="UL22" s="86"/>
      <c r="UM22" s="86"/>
      <c r="UN22" s="86"/>
      <c r="UO22" s="86"/>
      <c r="UP22" s="86"/>
      <c r="UQ22" s="86"/>
      <c r="UR22" s="86"/>
      <c r="US22" s="86"/>
      <c r="UT22" s="86"/>
      <c r="UU22" s="86"/>
      <c r="UV22" s="86"/>
      <c r="UW22" s="86"/>
      <c r="UX22" s="86"/>
      <c r="UY22" s="86"/>
      <c r="UZ22" s="86"/>
      <c r="VA22" s="86"/>
      <c r="VB22" s="86"/>
      <c r="VC22" s="86"/>
      <c r="VD22" s="86"/>
      <c r="VE22" s="86"/>
      <c r="VF22" s="86"/>
      <c r="VG22" s="86"/>
      <c r="VH22" s="86"/>
      <c r="VI22" s="86"/>
      <c r="VJ22" s="86"/>
      <c r="VK22" s="86"/>
      <c r="VL22" s="86"/>
      <c r="VM22" s="86"/>
      <c r="VN22" s="86"/>
      <c r="VO22" s="86"/>
      <c r="VP22" s="86"/>
      <c r="VQ22" s="86"/>
      <c r="VR22" s="86"/>
      <c r="VS22" s="86"/>
      <c r="VT22" s="86"/>
      <c r="VU22" s="86"/>
      <c r="VV22" s="86"/>
      <c r="VW22" s="86"/>
      <c r="VX22" s="86"/>
      <c r="VY22" s="86"/>
      <c r="VZ22" s="86"/>
      <c r="WA22" s="86"/>
      <c r="WB22" s="86"/>
      <c r="WC22" s="86"/>
      <c r="WD22" s="86"/>
      <c r="WE22" s="86"/>
      <c r="WF22" s="86"/>
      <c r="WG22" s="86"/>
      <c r="WH22" s="86"/>
      <c r="WI22" s="86"/>
      <c r="WJ22" s="86"/>
      <c r="WK22" s="86"/>
      <c r="WL22" s="86"/>
      <c r="WM22" s="86"/>
      <c r="WN22" s="86"/>
      <c r="WO22" s="86"/>
      <c r="WP22" s="86"/>
      <c r="WQ22" s="86"/>
      <c r="WR22" s="86"/>
      <c r="WS22" s="86"/>
      <c r="WT22" s="86"/>
      <c r="WU22" s="86"/>
      <c r="WV22" s="86"/>
      <c r="WW22" s="86"/>
      <c r="WX22" s="86"/>
      <c r="WY22" s="86"/>
      <c r="WZ22" s="86"/>
      <c r="XA22" s="86"/>
      <c r="XB22" s="86"/>
      <c r="XC22" s="86"/>
      <c r="XD22" s="86"/>
      <c r="XE22" s="86"/>
      <c r="XF22" s="86"/>
      <c r="XG22" s="86"/>
      <c r="XH22" s="86"/>
      <c r="XI22" s="86"/>
      <c r="XJ22" s="86"/>
      <c r="XK22" s="86"/>
      <c r="XL22" s="86"/>
      <c r="XM22" s="86"/>
      <c r="XN22" s="86"/>
      <c r="XO22" s="86"/>
      <c r="XP22" s="86"/>
      <c r="XQ22" s="86"/>
      <c r="XR22" s="86"/>
      <c r="XS22" s="86"/>
      <c r="XT22" s="86"/>
      <c r="XU22" s="86"/>
      <c r="XV22" s="86"/>
      <c r="XW22" s="86"/>
      <c r="XX22" s="86"/>
      <c r="XY22" s="86"/>
      <c r="XZ22" s="86"/>
      <c r="YA22" s="86"/>
      <c r="YB22" s="86"/>
      <c r="YC22" s="86"/>
      <c r="YD22" s="86"/>
      <c r="YE22" s="86"/>
      <c r="YF22" s="86"/>
      <c r="YG22" s="86"/>
      <c r="YH22" s="86"/>
      <c r="YI22" s="86"/>
      <c r="YJ22" s="86"/>
      <c r="YK22" s="86"/>
      <c r="YL22" s="86"/>
      <c r="YM22" s="86"/>
      <c r="YN22" s="86"/>
      <c r="YO22" s="86"/>
      <c r="YP22" s="86"/>
      <c r="YQ22" s="86"/>
      <c r="YR22" s="86"/>
      <c r="YS22" s="86"/>
      <c r="YT22" s="86"/>
      <c r="YU22" s="86"/>
      <c r="YV22" s="86"/>
      <c r="YW22" s="86"/>
      <c r="YX22" s="86"/>
      <c r="YY22" s="86"/>
      <c r="YZ22" s="86"/>
      <c r="ZA22" s="86"/>
      <c r="ZB22" s="86"/>
      <c r="ZC22" s="86"/>
      <c r="ZD22" s="86"/>
      <c r="ZE22" s="86"/>
      <c r="ZF22" s="86"/>
      <c r="ZG22" s="86"/>
      <c r="ZH22" s="86"/>
      <c r="ZI22" s="86"/>
      <c r="ZJ22" s="86"/>
      <c r="ZK22" s="86"/>
      <c r="ZL22" s="86"/>
      <c r="ZM22" s="86"/>
      <c r="ZN22" s="86"/>
      <c r="ZO22" s="86"/>
      <c r="ZP22" s="86"/>
      <c r="ZQ22" s="86"/>
      <c r="ZR22" s="86"/>
      <c r="ZS22" s="86"/>
      <c r="ZT22" s="86"/>
      <c r="ZU22" s="86"/>
      <c r="ZV22" s="86"/>
      <c r="ZW22" s="86"/>
      <c r="ZX22" s="86"/>
      <c r="ZY22" s="86"/>
      <c r="ZZ22" s="86"/>
      <c r="AAA22" s="86"/>
      <c r="AAB22" s="86"/>
      <c r="AAC22" s="86"/>
      <c r="AAD22" s="86"/>
      <c r="AAE22" s="86"/>
      <c r="AAF22" s="86"/>
      <c r="AAG22" s="86"/>
      <c r="AAH22" s="86"/>
      <c r="AAI22" s="86"/>
      <c r="AAJ22" s="86"/>
      <c r="AAK22" s="86"/>
      <c r="AAL22" s="86"/>
      <c r="AAM22" s="86"/>
      <c r="AAN22" s="86"/>
      <c r="AAO22" s="86"/>
      <c r="AAP22" s="86"/>
      <c r="AAQ22" s="86"/>
      <c r="AAR22" s="86"/>
      <c r="AAS22" s="86"/>
      <c r="AAT22" s="86"/>
      <c r="AAU22" s="86"/>
      <c r="AAV22" s="86"/>
      <c r="AAW22" s="86"/>
      <c r="AAX22" s="86"/>
      <c r="AAY22" s="86"/>
      <c r="AAZ22" s="86"/>
      <c r="ABA22" s="86"/>
      <c r="ABB22" s="86"/>
      <c r="ABC22" s="86"/>
      <c r="ABD22" s="86"/>
      <c r="ABE22" s="86"/>
      <c r="ABF22" s="86"/>
      <c r="ABG22" s="86"/>
      <c r="ABH22" s="86"/>
      <c r="ABI22" s="86"/>
      <c r="ABJ22" s="86"/>
      <c r="ABK22" s="86"/>
      <c r="ABL22" s="86"/>
      <c r="ABM22" s="86"/>
      <c r="ABN22" s="86"/>
      <c r="ABO22" s="86"/>
      <c r="ABP22" s="86"/>
      <c r="ABQ22" s="86"/>
      <c r="ABR22" s="86"/>
      <c r="ABS22" s="86"/>
      <c r="ABT22" s="86"/>
      <c r="ABU22" s="86"/>
      <c r="ABV22" s="86"/>
      <c r="ABW22" s="86"/>
      <c r="ABX22" s="86"/>
      <c r="ABY22" s="86"/>
      <c r="ABZ22" s="86"/>
      <c r="ACA22" s="86"/>
      <c r="ACB22" s="86"/>
      <c r="ACC22" s="86"/>
      <c r="ACD22" s="86"/>
      <c r="ACE22" s="86"/>
      <c r="ACF22" s="86"/>
      <c r="ACG22" s="86"/>
      <c r="ACH22" s="86"/>
      <c r="ACI22" s="86"/>
      <c r="ACJ22" s="86"/>
      <c r="ACK22" s="86"/>
      <c r="ACL22" s="86"/>
      <c r="ACM22" s="86"/>
      <c r="ACN22" s="86"/>
      <c r="ACO22" s="86"/>
      <c r="ACP22" s="86"/>
      <c r="ACQ22" s="86"/>
      <c r="ACR22" s="86"/>
      <c r="ACS22" s="86"/>
      <c r="ACT22" s="86"/>
      <c r="ACU22" s="86"/>
      <c r="ACV22" s="86"/>
      <c r="ACW22" s="86"/>
      <c r="ACX22" s="86"/>
      <c r="ACY22" s="86"/>
      <c r="ACZ22" s="86"/>
      <c r="ADA22" s="86"/>
      <c r="ADB22" s="86"/>
      <c r="ADC22" s="86"/>
      <c r="ADD22" s="86"/>
      <c r="ADE22" s="86"/>
      <c r="ADF22" s="86"/>
      <c r="ADG22" s="86"/>
      <c r="ADH22" s="86"/>
      <c r="ADI22" s="86"/>
      <c r="ADJ22" s="86"/>
      <c r="ADK22" s="86"/>
      <c r="ADL22" s="86"/>
      <c r="ADM22" s="86"/>
      <c r="ADN22" s="86"/>
      <c r="ADO22" s="86"/>
      <c r="ADP22" s="86"/>
      <c r="ADQ22" s="86"/>
      <c r="ADR22" s="86"/>
      <c r="ADS22" s="86"/>
      <c r="ADT22" s="86"/>
      <c r="ADU22" s="86"/>
      <c r="ADV22" s="86"/>
      <c r="ADW22" s="86"/>
      <c r="ADX22" s="86"/>
      <c r="ADY22" s="86"/>
      <c r="ADZ22" s="86"/>
      <c r="AEA22" s="86"/>
      <c r="AEB22" s="86"/>
      <c r="AEC22" s="86"/>
      <c r="AED22" s="86"/>
      <c r="AEE22" s="86"/>
      <c r="AEF22" s="86"/>
      <c r="AEG22" s="86"/>
      <c r="AEH22" s="86"/>
      <c r="AEI22" s="86"/>
      <c r="AEJ22" s="86"/>
      <c r="AEK22" s="86"/>
      <c r="AEL22" s="86"/>
      <c r="AEM22" s="86"/>
      <c r="AEN22" s="86"/>
      <c r="AEO22" s="86"/>
      <c r="AEP22" s="86"/>
      <c r="AEQ22" s="86"/>
      <c r="AER22" s="86"/>
      <c r="AES22" s="86"/>
      <c r="AET22" s="86"/>
      <c r="AEU22" s="86"/>
      <c r="AEV22" s="86"/>
      <c r="AEW22" s="86"/>
      <c r="AEX22" s="86"/>
      <c r="AEY22" s="86"/>
      <c r="AEZ22" s="86"/>
      <c r="AFA22" s="86"/>
      <c r="AFB22" s="86"/>
      <c r="AFC22" s="86"/>
      <c r="AFD22" s="86"/>
      <c r="AFE22" s="86"/>
      <c r="AFF22" s="86"/>
      <c r="AFG22" s="86"/>
      <c r="AFH22" s="86"/>
      <c r="AFI22" s="86"/>
      <c r="AFJ22" s="86"/>
      <c r="AFK22" s="86"/>
      <c r="AFL22" s="86"/>
      <c r="AFM22" s="86"/>
      <c r="AFN22" s="86"/>
      <c r="AFO22" s="86"/>
      <c r="AFP22" s="86"/>
      <c r="AFQ22" s="86"/>
      <c r="AFR22" s="86"/>
      <c r="AFS22" s="86"/>
      <c r="AFT22" s="86"/>
      <c r="AFU22" s="86"/>
      <c r="AFV22" s="86"/>
      <c r="AFW22" s="86"/>
      <c r="AFX22" s="86"/>
      <c r="AFY22" s="86"/>
      <c r="AFZ22" s="86"/>
      <c r="AGA22" s="86"/>
      <c r="AGB22" s="86"/>
      <c r="AGC22" s="86"/>
      <c r="AGD22" s="86"/>
      <c r="AGE22" s="86"/>
      <c r="AGF22" s="86"/>
      <c r="AGG22" s="86"/>
      <c r="AGH22" s="86"/>
      <c r="AGI22" s="86"/>
      <c r="AGJ22" s="86"/>
      <c r="AGK22" s="86"/>
      <c r="AGL22" s="86"/>
      <c r="AGM22" s="86"/>
      <c r="AGN22" s="86"/>
      <c r="AGO22" s="86"/>
      <c r="AGP22" s="86"/>
      <c r="AGQ22" s="86"/>
      <c r="AGR22" s="86"/>
      <c r="AGS22" s="86"/>
      <c r="AGT22" s="86"/>
      <c r="AGU22" s="86"/>
      <c r="AGV22" s="86"/>
      <c r="AGW22" s="86"/>
      <c r="AGX22" s="86"/>
      <c r="AGY22" s="86"/>
      <c r="AGZ22" s="86"/>
      <c r="AHA22" s="86"/>
      <c r="AHB22" s="86"/>
      <c r="AHC22" s="86"/>
      <c r="AHD22" s="86"/>
      <c r="AHE22" s="86"/>
      <c r="AHF22" s="86"/>
      <c r="AHG22" s="86"/>
      <c r="AHH22" s="86"/>
      <c r="AHI22" s="86"/>
      <c r="AHJ22" s="86"/>
      <c r="AHK22" s="86"/>
      <c r="AHL22" s="86"/>
      <c r="AHM22" s="86"/>
      <c r="AHN22" s="86"/>
      <c r="AHO22" s="86"/>
      <c r="AHP22" s="86"/>
      <c r="AHQ22" s="86"/>
      <c r="AHR22" s="86"/>
      <c r="AHS22" s="86"/>
      <c r="AHT22" s="86"/>
      <c r="AHU22" s="86"/>
      <c r="AHV22" s="86"/>
      <c r="AHW22" s="86"/>
      <c r="AHX22" s="86"/>
      <c r="AHY22" s="86"/>
      <c r="AHZ22" s="86"/>
      <c r="AIA22" s="86"/>
      <c r="AIB22" s="86"/>
      <c r="AIC22" s="86"/>
      <c r="AID22" s="86"/>
      <c r="AIE22" s="86"/>
      <c r="AIF22" s="86"/>
      <c r="AIG22" s="86"/>
      <c r="AIH22" s="86"/>
      <c r="AII22" s="86"/>
      <c r="AIJ22" s="86"/>
      <c r="AIK22" s="86"/>
      <c r="AIL22" s="86"/>
      <c r="AIM22" s="86"/>
      <c r="AIN22" s="86"/>
      <c r="AIO22" s="86"/>
      <c r="AIP22" s="86"/>
      <c r="AIQ22" s="86"/>
      <c r="AIR22" s="86"/>
      <c r="AIS22" s="86"/>
      <c r="AIT22" s="86"/>
      <c r="AIU22" s="86"/>
      <c r="AIV22" s="86"/>
      <c r="AIW22" s="86"/>
      <c r="AIX22" s="86"/>
      <c r="AIY22" s="86"/>
      <c r="AIZ22" s="86"/>
      <c r="AJA22" s="86"/>
      <c r="AJB22" s="86"/>
      <c r="AJC22" s="86"/>
      <c r="AJD22" s="86"/>
      <c r="AJE22" s="86"/>
      <c r="AJF22" s="86"/>
      <c r="AJG22" s="86"/>
      <c r="AJH22" s="86"/>
      <c r="AJI22" s="86"/>
      <c r="AJJ22" s="86"/>
      <c r="AJK22" s="86"/>
      <c r="AJL22" s="86"/>
      <c r="AJM22" s="86"/>
      <c r="AJN22" s="86"/>
      <c r="AJO22" s="86"/>
      <c r="AJP22" s="86"/>
      <c r="AJQ22" s="86"/>
      <c r="AJR22" s="86"/>
      <c r="AJS22" s="86"/>
      <c r="AJT22" s="86"/>
      <c r="AJU22" s="86"/>
      <c r="AJV22" s="86"/>
      <c r="AJW22" s="86"/>
      <c r="AJX22" s="86"/>
      <c r="AJY22" s="86"/>
      <c r="AJZ22" s="86"/>
      <c r="AKA22" s="86"/>
      <c r="AKB22" s="86"/>
      <c r="AKC22" s="86"/>
      <c r="AKD22" s="86"/>
      <c r="AKE22" s="86"/>
      <c r="AKF22" s="86"/>
      <c r="AKG22" s="86"/>
      <c r="AKH22" s="86"/>
      <c r="AKI22" s="86"/>
      <c r="AKJ22" s="86"/>
      <c r="AKK22" s="86"/>
      <c r="AKL22" s="86"/>
      <c r="AKM22" s="86"/>
      <c r="AKN22" s="86"/>
      <c r="AKO22" s="86"/>
      <c r="AKP22" s="86"/>
      <c r="AKQ22" s="86"/>
      <c r="AKR22" s="86"/>
      <c r="AKS22" s="86"/>
      <c r="AKT22" s="86"/>
      <c r="AKU22" s="86"/>
      <c r="AKV22" s="86"/>
      <c r="AKW22" s="86"/>
      <c r="AKX22" s="86"/>
      <c r="AKY22" s="86"/>
      <c r="AKZ22" s="86"/>
      <c r="ALA22" s="86"/>
      <c r="ALB22" s="86"/>
      <c r="ALC22" s="86"/>
      <c r="ALD22" s="86"/>
      <c r="ALE22" s="86"/>
      <c r="ALF22" s="86"/>
      <c r="ALG22" s="86"/>
      <c r="ALH22" s="86"/>
      <c r="ALI22" s="86"/>
      <c r="ALJ22" s="86"/>
      <c r="ALK22" s="86"/>
      <c r="ALL22" s="86"/>
      <c r="ALM22" s="86"/>
      <c r="ALN22" s="86"/>
      <c r="ALO22" s="86"/>
      <c r="ALP22" s="86"/>
      <c r="ALQ22" s="86"/>
      <c r="ALR22" s="86"/>
      <c r="ALS22" s="86"/>
      <c r="ALT22" s="86"/>
      <c r="ALU22" s="86"/>
      <c r="ALV22" s="86"/>
      <c r="ALW22" s="86"/>
      <c r="ALX22" s="86"/>
      <c r="ALY22" s="86"/>
      <c r="ALZ22" s="86"/>
      <c r="AMA22" s="86"/>
      <c r="AMB22" s="86"/>
      <c r="AMC22" s="86"/>
      <c r="AMD22" s="86"/>
      <c r="AME22" s="86"/>
      <c r="AMF22" s="86"/>
      <c r="AMG22" s="86"/>
      <c r="AMH22" s="86"/>
      <c r="AMI22" s="86"/>
      <c r="AMJ22" s="86"/>
      <c r="AMK22" s="86"/>
      <c r="AML22" s="86"/>
      <c r="AMM22" s="86"/>
      <c r="AMN22" s="86"/>
      <c r="AMO22" s="86"/>
      <c r="AMP22" s="86"/>
      <c r="AMQ22" s="86"/>
      <c r="AMR22" s="86"/>
      <c r="AMS22" s="86"/>
      <c r="AMT22" s="86"/>
      <c r="AMU22" s="86"/>
      <c r="AMV22" s="86"/>
      <c r="AMW22" s="86"/>
      <c r="AMX22" s="86"/>
      <c r="AMY22" s="86"/>
      <c r="AMZ22" s="86"/>
      <c r="ANA22" s="86"/>
      <c r="ANB22" s="86"/>
      <c r="ANC22" s="86"/>
      <c r="AND22" s="86"/>
      <c r="ANE22" s="86"/>
      <c r="ANF22" s="86"/>
      <c r="ANG22" s="86"/>
      <c r="ANH22" s="86"/>
      <c r="ANI22" s="86"/>
      <c r="ANJ22" s="86"/>
      <c r="ANK22" s="86"/>
      <c r="ANL22" s="86"/>
      <c r="ANM22" s="86"/>
      <c r="ANN22" s="86"/>
      <c r="ANO22" s="86"/>
      <c r="ANP22" s="86"/>
      <c r="ANQ22" s="86"/>
      <c r="ANR22" s="86"/>
      <c r="ANS22" s="86"/>
      <c r="ANT22" s="86"/>
      <c r="ANU22" s="86"/>
      <c r="ANV22" s="86"/>
      <c r="ANW22" s="86"/>
      <c r="ANX22" s="86"/>
      <c r="ANY22" s="86"/>
      <c r="ANZ22" s="86"/>
      <c r="AOA22" s="86"/>
      <c r="AOB22" s="86"/>
      <c r="AOC22" s="86"/>
      <c r="AOD22" s="86"/>
      <c r="AOE22" s="86"/>
      <c r="AOF22" s="86"/>
      <c r="AOG22" s="86"/>
      <c r="AOH22" s="86"/>
      <c r="AOI22" s="86"/>
      <c r="AOJ22" s="86"/>
      <c r="AOK22" s="86"/>
      <c r="AOL22" s="86"/>
      <c r="AOM22" s="86"/>
      <c r="AON22" s="86"/>
      <c r="AOO22" s="86"/>
      <c r="AOP22" s="86"/>
      <c r="AOQ22" s="86"/>
      <c r="AOR22" s="86"/>
      <c r="AOS22" s="86"/>
      <c r="AOT22" s="86"/>
      <c r="AOU22" s="86"/>
      <c r="AOV22" s="86"/>
      <c r="AOW22" s="86"/>
      <c r="AOX22" s="86"/>
      <c r="AOY22" s="86"/>
      <c r="AOZ22" s="86"/>
      <c r="APA22" s="86"/>
      <c r="APB22" s="86"/>
      <c r="APC22" s="86"/>
      <c r="APD22" s="86"/>
      <c r="APE22" s="86"/>
      <c r="APF22" s="86"/>
      <c r="APG22" s="86"/>
      <c r="APH22" s="86"/>
      <c r="API22" s="86"/>
      <c r="APJ22" s="86"/>
      <c r="APK22" s="86"/>
      <c r="APL22" s="86"/>
      <c r="APM22" s="86"/>
      <c r="APN22" s="86"/>
      <c r="APO22" s="86"/>
      <c r="APP22" s="86"/>
      <c r="APQ22" s="86"/>
      <c r="APR22" s="86"/>
      <c r="APS22" s="86"/>
      <c r="APT22" s="86"/>
      <c r="APU22" s="86"/>
      <c r="APV22" s="86"/>
      <c r="APW22" s="86"/>
      <c r="APX22" s="86"/>
      <c r="APY22" s="86"/>
      <c r="APZ22" s="86"/>
      <c r="AQA22" s="86"/>
      <c r="AQB22" s="86"/>
      <c r="AQC22" s="86"/>
      <c r="AQD22" s="86"/>
      <c r="AQE22" s="86"/>
      <c r="AQF22" s="86"/>
      <c r="AQG22" s="86"/>
      <c r="AQH22" s="86"/>
      <c r="AQI22" s="86"/>
      <c r="AQJ22" s="86"/>
      <c r="AQK22" s="86"/>
      <c r="AQL22" s="86"/>
      <c r="AQM22" s="86"/>
      <c r="AQN22" s="86"/>
      <c r="AQO22" s="86"/>
      <c r="AQP22" s="86"/>
      <c r="AQQ22" s="86"/>
      <c r="AQR22" s="86"/>
      <c r="AQS22" s="86"/>
      <c r="AQT22" s="86"/>
      <c r="AQU22" s="86"/>
      <c r="AQV22" s="86"/>
      <c r="AQW22" s="86"/>
      <c r="AQX22" s="86"/>
      <c r="AQY22" s="86"/>
      <c r="AQZ22" s="86"/>
      <c r="ARA22" s="86"/>
      <c r="ARB22" s="86"/>
      <c r="ARC22" s="86"/>
      <c r="ARD22" s="86"/>
      <c r="ARE22" s="86"/>
      <c r="ARF22" s="86"/>
      <c r="ARG22" s="86"/>
      <c r="ARH22" s="86"/>
      <c r="ARI22" s="86"/>
      <c r="ARJ22" s="86"/>
      <c r="ARK22" s="86"/>
      <c r="ARL22" s="86"/>
      <c r="ARM22" s="86"/>
      <c r="ARN22" s="86"/>
      <c r="ARO22" s="86"/>
      <c r="ARP22" s="86"/>
      <c r="ARQ22" s="86"/>
      <c r="ARR22" s="86"/>
      <c r="ARS22" s="86"/>
      <c r="ART22" s="86"/>
      <c r="ARU22" s="86"/>
      <c r="ARV22" s="86"/>
      <c r="ARW22" s="86"/>
      <c r="ARX22" s="86"/>
      <c r="ARY22" s="86"/>
      <c r="ARZ22" s="86"/>
      <c r="ASA22" s="86"/>
      <c r="ASB22" s="86"/>
      <c r="ASC22" s="86"/>
      <c r="ASD22" s="86"/>
      <c r="ASE22" s="86"/>
      <c r="ASF22" s="86"/>
      <c r="ASG22" s="86"/>
      <c r="ASH22" s="86"/>
      <c r="ASI22" s="86"/>
      <c r="ASJ22" s="86"/>
      <c r="ASK22" s="86"/>
      <c r="ASL22" s="86"/>
      <c r="ASM22" s="86"/>
      <c r="ASN22" s="86"/>
      <c r="ASO22" s="86"/>
      <c r="ASP22" s="86"/>
      <c r="ASQ22" s="86"/>
      <c r="ASR22" s="86"/>
      <c r="ASS22" s="86"/>
      <c r="AST22" s="86"/>
      <c r="ASU22" s="86"/>
      <c r="ASV22" s="86"/>
      <c r="ASW22" s="86"/>
      <c r="ASX22" s="86"/>
      <c r="ASY22" s="86"/>
      <c r="ASZ22" s="86"/>
      <c r="ATA22" s="86"/>
      <c r="ATB22" s="86"/>
      <c r="ATC22" s="86"/>
      <c r="ATD22" s="86"/>
      <c r="ATE22" s="86"/>
      <c r="ATF22" s="86"/>
      <c r="ATG22" s="86"/>
      <c r="ATH22" s="86"/>
      <c r="ATI22" s="86"/>
      <c r="ATJ22" s="86"/>
      <c r="ATK22" s="86"/>
      <c r="ATL22" s="86"/>
      <c r="ATM22" s="86"/>
      <c r="ATN22" s="86"/>
      <c r="ATO22" s="86"/>
      <c r="ATP22" s="86"/>
      <c r="ATQ22" s="86"/>
      <c r="ATR22" s="86"/>
      <c r="ATS22" s="86"/>
      <c r="ATT22" s="86"/>
      <c r="ATU22" s="86"/>
      <c r="ATV22" s="86"/>
      <c r="ATW22" s="86"/>
      <c r="ATX22" s="86"/>
      <c r="ATY22" s="86"/>
      <c r="ATZ22" s="86"/>
      <c r="AUA22" s="86"/>
      <c r="AUB22" s="86"/>
      <c r="AUC22" s="86"/>
      <c r="AUD22" s="86"/>
      <c r="AUE22" s="86"/>
      <c r="AUF22" s="86"/>
      <c r="AUG22" s="86"/>
      <c r="AUH22" s="86"/>
      <c r="AUI22" s="86"/>
      <c r="AUJ22" s="86"/>
      <c r="AUK22" s="86"/>
      <c r="AUL22" s="86"/>
      <c r="AUM22" s="86"/>
      <c r="AUN22" s="86"/>
      <c r="AUO22" s="86"/>
      <c r="AUP22" s="86"/>
      <c r="AUQ22" s="86"/>
      <c r="AUR22" s="86"/>
      <c r="AUS22" s="86"/>
      <c r="AUT22" s="86"/>
      <c r="AUU22" s="86"/>
      <c r="AUV22" s="86"/>
      <c r="AUW22" s="86"/>
      <c r="AUX22" s="86"/>
      <c r="AUY22" s="86"/>
      <c r="AUZ22" s="86"/>
      <c r="AVA22" s="86"/>
      <c r="AVB22" s="86"/>
      <c r="AVC22" s="86"/>
      <c r="AVD22" s="86"/>
      <c r="AVE22" s="86"/>
    </row>
    <row r="23" spans="1:1253">
      <c r="A23" s="316" t="s">
        <v>747</v>
      </c>
      <c r="B23" s="69" t="s">
        <v>745</v>
      </c>
      <c r="C23" s="87">
        <v>43518</v>
      </c>
      <c r="D23" s="87">
        <v>43496</v>
      </c>
      <c r="E23" s="87">
        <v>43465</v>
      </c>
      <c r="F23" s="87">
        <v>43434</v>
      </c>
      <c r="G23" s="87">
        <v>43404</v>
      </c>
      <c r="H23" s="87">
        <v>43371</v>
      </c>
      <c r="I23" s="87">
        <v>43343</v>
      </c>
      <c r="J23" s="87">
        <v>43312</v>
      </c>
      <c r="K23" s="87">
        <v>43280</v>
      </c>
      <c r="L23" s="87">
        <v>43251</v>
      </c>
      <c r="M23" s="87">
        <v>43220</v>
      </c>
      <c r="N23" s="87">
        <v>43189</v>
      </c>
      <c r="O23" s="87">
        <v>43159</v>
      </c>
      <c r="P23" s="86">
        <v>43131</v>
      </c>
      <c r="Q23" s="86">
        <v>43098</v>
      </c>
      <c r="R23" s="87">
        <v>43069</v>
      </c>
      <c r="S23" s="87">
        <v>43039</v>
      </c>
      <c r="T23" s="87">
        <v>43007</v>
      </c>
      <c r="U23" s="86">
        <v>42978</v>
      </c>
      <c r="V23" s="86">
        <v>42947</v>
      </c>
      <c r="W23" s="87">
        <v>42916</v>
      </c>
      <c r="X23" s="87">
        <v>42886</v>
      </c>
      <c r="Y23" s="87">
        <v>42853</v>
      </c>
      <c r="Z23" s="87">
        <v>42825</v>
      </c>
      <c r="AA23" s="87">
        <v>42794</v>
      </c>
      <c r="AB23" s="87">
        <v>42766</v>
      </c>
      <c r="AC23" s="87">
        <v>42734</v>
      </c>
      <c r="AD23" s="87">
        <v>42704</v>
      </c>
      <c r="AE23" s="87">
        <v>42674</v>
      </c>
      <c r="AF23" s="87">
        <v>42643</v>
      </c>
      <c r="AG23" s="87">
        <v>42613</v>
      </c>
      <c r="AH23" s="87">
        <v>42580</v>
      </c>
      <c r="AI23" s="87">
        <v>42551</v>
      </c>
      <c r="AJ23" s="87">
        <v>42521</v>
      </c>
      <c r="AK23" s="87">
        <v>42489</v>
      </c>
      <c r="AL23" s="87">
        <v>42460</v>
      </c>
      <c r="AM23" s="87">
        <v>42429</v>
      </c>
      <c r="AN23" s="87">
        <v>42398</v>
      </c>
      <c r="AO23" s="87">
        <v>42369</v>
      </c>
      <c r="AP23" s="87">
        <v>42338</v>
      </c>
      <c r="AQ23" s="87">
        <v>42307</v>
      </c>
      <c r="AR23" s="87">
        <v>42277</v>
      </c>
      <c r="AS23" s="87">
        <v>42247</v>
      </c>
      <c r="AT23" s="87">
        <v>42216</v>
      </c>
      <c r="AU23" s="87">
        <v>42185</v>
      </c>
      <c r="AV23" s="87">
        <v>42153</v>
      </c>
      <c r="AW23" s="87">
        <v>42124</v>
      </c>
      <c r="AX23" s="87">
        <v>42094</v>
      </c>
      <c r="AY23" s="87">
        <v>42062</v>
      </c>
      <c r="AZ23" s="87">
        <v>42034</v>
      </c>
      <c r="BA23" s="87">
        <v>42004</v>
      </c>
      <c r="BB23" s="87">
        <v>41971</v>
      </c>
      <c r="BC23" s="87">
        <v>41943</v>
      </c>
      <c r="BD23" s="87">
        <v>41912</v>
      </c>
      <c r="BE23" s="87">
        <v>41880</v>
      </c>
      <c r="BF23" s="87">
        <v>41851</v>
      </c>
      <c r="BG23" s="87">
        <v>41820</v>
      </c>
      <c r="BH23" s="87">
        <v>41789</v>
      </c>
      <c r="BI23" s="87">
        <v>41759</v>
      </c>
      <c r="BJ23" s="87">
        <v>41729</v>
      </c>
      <c r="BK23" s="87">
        <v>41698</v>
      </c>
      <c r="BL23" s="85"/>
      <c r="BM23" s="85"/>
      <c r="BN23" s="85"/>
      <c r="BO23" s="85"/>
      <c r="BP23" s="85"/>
      <c r="BQ23" s="85"/>
      <c r="BR23" s="85"/>
      <c r="BS23" s="85"/>
      <c r="BT23" s="85"/>
      <c r="BU23" s="85"/>
      <c r="BV23" s="85"/>
      <c r="BW23" s="85"/>
      <c r="BX23" s="85"/>
      <c r="BY23" s="85"/>
      <c r="BZ23" s="85"/>
      <c r="CA23" s="85"/>
      <c r="CB23" s="85"/>
      <c r="CC23" s="85"/>
      <c r="CD23" s="85"/>
      <c r="CE23" s="85"/>
      <c r="CF23" s="85"/>
      <c r="CG23" s="85"/>
      <c r="CH23" s="85"/>
      <c r="CI23" s="85"/>
      <c r="CJ23" s="85"/>
      <c r="CK23" s="85"/>
      <c r="CL23" s="85"/>
      <c r="CM23" s="85"/>
      <c r="CN23" s="85"/>
      <c r="CO23" s="85"/>
      <c r="CP23" s="85"/>
      <c r="CQ23" s="85"/>
      <c r="CR23" s="85"/>
      <c r="CS23" s="85"/>
      <c r="CT23" s="85"/>
      <c r="CU23" s="85"/>
      <c r="CV23" s="85"/>
      <c r="CW23" s="85"/>
      <c r="CX23" s="85"/>
      <c r="CY23" s="85"/>
      <c r="CZ23" s="85"/>
      <c r="DA23" s="85"/>
      <c r="DB23" s="85"/>
      <c r="DC23" s="85"/>
      <c r="DD23" s="85"/>
      <c r="DE23" s="85"/>
      <c r="DF23" s="85"/>
      <c r="DG23" s="85"/>
      <c r="DH23" s="85"/>
      <c r="DI23" s="85"/>
      <c r="DJ23" s="85"/>
      <c r="DK23" s="85"/>
      <c r="DL23" s="85"/>
      <c r="DM23" s="85"/>
      <c r="DN23" s="85"/>
      <c r="DO23" s="85"/>
      <c r="DP23" s="85"/>
      <c r="DQ23" s="85"/>
      <c r="DR23" s="85"/>
      <c r="DS23" s="85"/>
      <c r="DT23" s="85"/>
      <c r="DU23" s="85"/>
      <c r="DV23" s="85"/>
      <c r="DW23" s="85"/>
      <c r="DX23" s="85"/>
      <c r="DY23" s="85"/>
      <c r="DZ23" s="85"/>
      <c r="EA23" s="85"/>
      <c r="EB23" s="85"/>
      <c r="EC23" s="85"/>
      <c r="ED23" s="85"/>
      <c r="EE23" s="85"/>
      <c r="EF23" s="85"/>
      <c r="EG23" s="85"/>
      <c r="EH23" s="85"/>
      <c r="EI23" s="85"/>
      <c r="EJ23" s="85"/>
      <c r="EK23" s="85"/>
      <c r="EL23" s="85"/>
      <c r="EM23" s="85"/>
      <c r="EN23" s="85"/>
      <c r="EO23" s="85"/>
      <c r="EP23" s="85"/>
      <c r="EQ23" s="85"/>
      <c r="ER23" s="85"/>
      <c r="ES23" s="85"/>
      <c r="ET23" s="85"/>
      <c r="EU23" s="85"/>
      <c r="EV23" s="85"/>
      <c r="EW23" s="85"/>
      <c r="EX23" s="85"/>
      <c r="EY23" s="85"/>
      <c r="EZ23" s="85"/>
      <c r="FA23" s="85"/>
      <c r="FB23" s="85"/>
      <c r="FC23" s="85"/>
      <c r="FD23" s="85"/>
      <c r="FE23" s="85"/>
      <c r="FF23" s="85"/>
      <c r="FG23" s="85"/>
      <c r="FH23" s="85"/>
      <c r="FI23" s="85"/>
      <c r="FJ23" s="85"/>
      <c r="FK23" s="85"/>
      <c r="FL23" s="85"/>
      <c r="FM23" s="85"/>
      <c r="FN23" s="85"/>
      <c r="FO23" s="85"/>
      <c r="FP23" s="85"/>
      <c r="FQ23" s="85"/>
      <c r="FR23" s="85"/>
      <c r="FS23" s="85"/>
      <c r="FT23" s="85"/>
      <c r="FU23" s="85"/>
      <c r="FV23" s="85"/>
      <c r="FW23" s="85"/>
      <c r="FX23" s="85"/>
      <c r="FY23" s="85"/>
      <c r="FZ23" s="85"/>
      <c r="GA23" s="85"/>
      <c r="GB23" s="85"/>
      <c r="GC23" s="85"/>
      <c r="GD23" s="85"/>
      <c r="GE23" s="85"/>
      <c r="GF23" s="85"/>
      <c r="GG23" s="85"/>
      <c r="GH23" s="85"/>
      <c r="GI23" s="85"/>
      <c r="GJ23" s="85"/>
      <c r="GK23" s="85"/>
      <c r="GL23" s="85"/>
      <c r="GM23" s="85"/>
      <c r="GN23" s="85"/>
      <c r="GO23" s="85"/>
      <c r="GP23" s="85"/>
      <c r="GQ23" s="85"/>
      <c r="GR23" s="85"/>
      <c r="GS23" s="85"/>
      <c r="GT23" s="85"/>
      <c r="GU23" s="85"/>
      <c r="GV23" s="85"/>
      <c r="GW23" s="85"/>
      <c r="GX23" s="85"/>
      <c r="GY23" s="85"/>
      <c r="GZ23" s="85"/>
      <c r="HA23" s="85"/>
      <c r="HB23" s="85"/>
      <c r="HC23" s="85"/>
      <c r="HD23" s="85"/>
      <c r="HE23" s="85"/>
      <c r="HF23" s="85"/>
      <c r="HG23" s="85"/>
      <c r="HH23" s="85"/>
      <c r="HI23" s="85"/>
      <c r="HJ23" s="85"/>
      <c r="HK23" s="85"/>
      <c r="HL23" s="85"/>
      <c r="HM23" s="85"/>
      <c r="HN23" s="85"/>
      <c r="HO23" s="85"/>
      <c r="HP23" s="85"/>
      <c r="HQ23" s="85"/>
      <c r="HR23" s="85"/>
      <c r="HS23" s="85"/>
      <c r="HT23" s="85"/>
      <c r="HU23" s="85"/>
      <c r="HV23" s="85"/>
      <c r="HW23" s="85"/>
      <c r="HX23" s="85"/>
      <c r="HY23" s="85"/>
      <c r="HZ23" s="85"/>
      <c r="IA23" s="85"/>
      <c r="IB23" s="85"/>
      <c r="IC23" s="85"/>
      <c r="ID23" s="85"/>
      <c r="IE23" s="85"/>
      <c r="IF23" s="85"/>
      <c r="IG23" s="85"/>
      <c r="IH23" s="85"/>
      <c r="II23" s="85"/>
      <c r="IJ23" s="85"/>
      <c r="IK23" s="85"/>
      <c r="IL23" s="85"/>
      <c r="IM23" s="85"/>
      <c r="IN23" s="85"/>
      <c r="IO23" s="85"/>
      <c r="IP23" s="85"/>
      <c r="IQ23" s="85"/>
      <c r="IR23" s="85"/>
      <c r="IS23" s="85"/>
      <c r="IT23" s="85"/>
      <c r="IU23" s="85"/>
      <c r="IV23" s="85"/>
      <c r="IW23" s="85"/>
      <c r="IX23" s="85"/>
      <c r="IY23" s="85"/>
      <c r="IZ23" s="85"/>
      <c r="JA23" s="85"/>
      <c r="JB23" s="85"/>
      <c r="JC23" s="85"/>
      <c r="JD23" s="85"/>
      <c r="JE23" s="85"/>
      <c r="JF23" s="85"/>
      <c r="JG23" s="85"/>
      <c r="JH23" s="85"/>
      <c r="JI23" s="85"/>
      <c r="JJ23" s="85"/>
      <c r="JK23" s="85"/>
      <c r="JL23" s="85"/>
      <c r="JM23" s="85"/>
      <c r="JN23" s="85"/>
      <c r="JO23" s="85"/>
      <c r="JP23" s="85"/>
      <c r="JQ23" s="85"/>
      <c r="JR23" s="85"/>
      <c r="JS23" s="85"/>
      <c r="JT23" s="85"/>
      <c r="JU23" s="85"/>
      <c r="JV23" s="85"/>
      <c r="JW23" s="85"/>
      <c r="JX23" s="85"/>
      <c r="JY23" s="85"/>
      <c r="JZ23" s="85"/>
      <c r="KA23" s="85"/>
      <c r="KB23" s="85"/>
      <c r="KC23" s="85"/>
      <c r="KD23" s="85"/>
      <c r="KE23" s="85"/>
      <c r="KF23" s="85"/>
      <c r="KG23" s="85"/>
      <c r="KH23" s="85"/>
      <c r="KI23" s="85"/>
      <c r="KJ23" s="85"/>
      <c r="KK23" s="85"/>
      <c r="KL23" s="85"/>
      <c r="KM23" s="85"/>
      <c r="KN23" s="85"/>
      <c r="KO23" s="85"/>
      <c r="KP23" s="85"/>
      <c r="KQ23" s="85"/>
      <c r="KR23" s="85"/>
      <c r="KS23" s="85"/>
      <c r="KT23" s="85"/>
      <c r="KU23" s="85"/>
      <c r="KV23" s="85"/>
      <c r="KW23" s="85"/>
      <c r="KX23" s="85"/>
      <c r="KY23" s="85"/>
      <c r="KZ23" s="85"/>
      <c r="LA23" s="85"/>
      <c r="LB23" s="85"/>
      <c r="LC23" s="85"/>
      <c r="LD23" s="85"/>
      <c r="LE23" s="85"/>
      <c r="LF23" s="85"/>
      <c r="LG23" s="85"/>
      <c r="LH23" s="85"/>
      <c r="LI23" s="85"/>
      <c r="LJ23" s="85"/>
      <c r="LK23" s="85"/>
      <c r="LL23" s="85"/>
      <c r="LM23" s="85"/>
      <c r="LN23" s="85"/>
      <c r="LO23" s="85"/>
      <c r="LP23" s="85"/>
      <c r="LQ23" s="85"/>
      <c r="LR23" s="85"/>
      <c r="LS23" s="85"/>
      <c r="LT23" s="85"/>
      <c r="LU23" s="85"/>
      <c r="LV23" s="85"/>
      <c r="LW23" s="85"/>
      <c r="LX23" s="85"/>
      <c r="LY23" s="85"/>
      <c r="LZ23" s="85"/>
      <c r="MA23" s="85"/>
      <c r="MB23" s="85"/>
      <c r="MC23" s="85"/>
      <c r="MD23" s="85"/>
      <c r="ME23" s="85"/>
      <c r="MF23" s="85"/>
      <c r="MG23" s="85"/>
      <c r="MH23" s="85"/>
      <c r="MI23" s="85"/>
      <c r="MJ23" s="85"/>
      <c r="MK23" s="85"/>
      <c r="ML23" s="85"/>
      <c r="MM23" s="85"/>
      <c r="MN23" s="85"/>
      <c r="MO23" s="85"/>
      <c r="MP23" s="85"/>
      <c r="MQ23" s="85"/>
      <c r="MR23" s="85"/>
      <c r="MS23" s="85"/>
      <c r="MT23" s="85"/>
      <c r="MU23" s="85"/>
      <c r="MV23" s="85"/>
      <c r="MW23" s="85"/>
      <c r="MX23" s="85"/>
      <c r="MY23" s="85"/>
      <c r="MZ23" s="85"/>
      <c r="NA23" s="85"/>
      <c r="NB23" s="85"/>
      <c r="NC23" s="85"/>
      <c r="ND23" s="85"/>
      <c r="NE23" s="85"/>
      <c r="NF23" s="85"/>
      <c r="NG23" s="85"/>
      <c r="NH23" s="85"/>
      <c r="NI23" s="85"/>
      <c r="NJ23" s="85"/>
      <c r="NK23" s="85"/>
      <c r="NL23" s="85"/>
      <c r="NM23" s="85"/>
      <c r="NN23" s="85"/>
      <c r="NO23" s="85"/>
      <c r="NP23" s="85"/>
      <c r="NQ23" s="85"/>
      <c r="NR23" s="85"/>
      <c r="NS23" s="85"/>
      <c r="NT23" s="85"/>
      <c r="NU23" s="85"/>
      <c r="NV23" s="85"/>
      <c r="NW23" s="85"/>
      <c r="NX23" s="85"/>
      <c r="NY23" s="85"/>
      <c r="NZ23" s="85"/>
      <c r="OA23" s="85"/>
      <c r="OB23" s="85"/>
      <c r="OC23" s="85"/>
      <c r="OD23" s="85"/>
      <c r="OE23" s="85"/>
      <c r="OF23" s="85"/>
      <c r="OG23" s="85"/>
      <c r="OH23" s="85"/>
      <c r="OI23" s="85"/>
      <c r="OJ23" s="85"/>
      <c r="OK23" s="85"/>
      <c r="OL23" s="85"/>
      <c r="OM23" s="85"/>
      <c r="ON23" s="85"/>
      <c r="OO23" s="85"/>
      <c r="OP23" s="85"/>
      <c r="OQ23" s="85"/>
      <c r="OR23" s="85"/>
      <c r="OS23" s="85"/>
      <c r="OT23" s="85"/>
      <c r="OU23" s="85"/>
      <c r="OV23" s="85"/>
      <c r="OW23" s="85"/>
      <c r="OX23" s="85"/>
      <c r="OY23" s="85"/>
      <c r="OZ23" s="85"/>
      <c r="PA23" s="85"/>
      <c r="PB23" s="85"/>
      <c r="PC23" s="85"/>
      <c r="PD23" s="85"/>
      <c r="PE23" s="85"/>
      <c r="PF23" s="85"/>
      <c r="PG23" s="85"/>
      <c r="PH23" s="85"/>
      <c r="PI23" s="85"/>
      <c r="PJ23" s="85"/>
      <c r="PK23" s="85"/>
      <c r="PL23" s="85"/>
      <c r="PM23" s="85"/>
      <c r="PN23" s="85"/>
      <c r="PO23" s="85"/>
      <c r="PP23" s="85"/>
      <c r="PQ23" s="85"/>
      <c r="PR23" s="85"/>
      <c r="PS23" s="85"/>
      <c r="PT23" s="85"/>
      <c r="PU23" s="85"/>
      <c r="PV23" s="85"/>
      <c r="PW23" s="85"/>
      <c r="PX23" s="85"/>
      <c r="PY23" s="85"/>
      <c r="PZ23" s="85"/>
      <c r="QA23" s="85"/>
      <c r="QB23" s="85"/>
      <c r="QC23" s="85"/>
      <c r="QD23" s="85"/>
      <c r="QE23" s="85"/>
      <c r="QF23" s="85"/>
      <c r="QG23" s="85"/>
      <c r="QH23" s="85"/>
      <c r="QI23" s="85"/>
      <c r="QJ23" s="85"/>
      <c r="QK23" s="85"/>
      <c r="QL23" s="85"/>
      <c r="QM23" s="85"/>
      <c r="QN23" s="85"/>
      <c r="QO23" s="85"/>
      <c r="QP23" s="85"/>
      <c r="QQ23" s="85"/>
      <c r="QR23" s="85"/>
      <c r="QS23" s="85"/>
      <c r="QT23" s="85"/>
      <c r="QU23" s="85"/>
      <c r="QV23" s="85"/>
      <c r="QW23" s="85"/>
      <c r="QX23" s="85"/>
      <c r="QY23" s="85"/>
      <c r="QZ23" s="85"/>
      <c r="RA23" s="85"/>
      <c r="RB23" s="85"/>
      <c r="RC23" s="85"/>
      <c r="RD23" s="85"/>
      <c r="RE23" s="85"/>
      <c r="RF23" s="85"/>
      <c r="RG23" s="85"/>
      <c r="RH23" s="85"/>
      <c r="RI23" s="85"/>
      <c r="RJ23" s="85"/>
      <c r="RK23" s="85"/>
      <c r="RL23" s="85"/>
      <c r="RM23" s="85"/>
      <c r="RN23" s="85"/>
      <c r="RO23" s="85"/>
      <c r="RP23" s="85"/>
      <c r="RQ23" s="85"/>
      <c r="RR23" s="85"/>
      <c r="RS23" s="85"/>
      <c r="RT23" s="85"/>
      <c r="RU23" s="85"/>
      <c r="RV23" s="85"/>
      <c r="RW23" s="85"/>
      <c r="RX23" s="85"/>
      <c r="RY23" s="85"/>
      <c r="RZ23" s="85"/>
      <c r="SA23" s="85"/>
      <c r="SB23" s="85"/>
      <c r="SC23" s="85"/>
      <c r="SD23" s="85"/>
      <c r="SE23" s="85"/>
      <c r="SF23" s="85"/>
      <c r="SG23" s="85"/>
      <c r="SH23" s="85"/>
      <c r="SI23" s="85"/>
      <c r="SJ23" s="85"/>
      <c r="SK23" s="85"/>
      <c r="SL23" s="85"/>
      <c r="SM23" s="85"/>
      <c r="SN23" s="85"/>
      <c r="SO23" s="85"/>
      <c r="SP23" s="85"/>
      <c r="SQ23" s="85"/>
      <c r="SR23" s="85"/>
      <c r="SS23" s="85"/>
      <c r="ST23" s="85"/>
      <c r="SU23" s="85"/>
      <c r="SV23" s="85"/>
      <c r="SW23" s="85"/>
      <c r="SX23" s="85"/>
      <c r="SY23" s="85"/>
      <c r="SZ23" s="85"/>
      <c r="TA23" s="85"/>
      <c r="TB23" s="85"/>
      <c r="TC23" s="85"/>
      <c r="TD23" s="85"/>
      <c r="TE23" s="85"/>
      <c r="TF23" s="85"/>
      <c r="TG23" s="85"/>
      <c r="TH23" s="85"/>
      <c r="TI23" s="85"/>
      <c r="TJ23" s="85"/>
      <c r="TK23" s="85"/>
      <c r="TL23" s="85"/>
      <c r="TM23" s="85"/>
      <c r="TN23" s="85"/>
      <c r="TO23" s="85"/>
      <c r="TP23" s="85"/>
      <c r="TQ23" s="85"/>
      <c r="TR23" s="85"/>
      <c r="TS23" s="85"/>
      <c r="TT23" s="85"/>
      <c r="TU23" s="85"/>
      <c r="TV23" s="85"/>
      <c r="TW23" s="85"/>
      <c r="TX23" s="85"/>
      <c r="TY23" s="85"/>
      <c r="TZ23" s="85"/>
      <c r="UA23" s="85"/>
      <c r="UB23" s="85"/>
      <c r="UC23" s="85"/>
      <c r="UD23" s="85"/>
      <c r="UE23" s="85"/>
      <c r="UF23" s="85"/>
      <c r="UG23" s="85"/>
      <c r="UH23" s="85"/>
      <c r="UI23" s="85"/>
      <c r="UJ23" s="85"/>
      <c r="UK23" s="85"/>
      <c r="UL23" s="85"/>
      <c r="UM23" s="85"/>
      <c r="UN23" s="85"/>
      <c r="UO23" s="85"/>
      <c r="UP23" s="85"/>
      <c r="UQ23" s="85"/>
      <c r="UR23" s="85"/>
      <c r="US23" s="85"/>
      <c r="UT23" s="85"/>
      <c r="UU23" s="85"/>
      <c r="UV23" s="85"/>
      <c r="UW23" s="85"/>
      <c r="UX23" s="85"/>
      <c r="UY23" s="85"/>
      <c r="UZ23" s="85"/>
      <c r="VA23" s="85"/>
      <c r="VB23" s="85"/>
      <c r="VC23" s="85"/>
      <c r="VD23" s="85"/>
      <c r="VE23" s="85"/>
      <c r="VF23" s="85"/>
      <c r="VG23" s="85"/>
      <c r="VH23" s="85"/>
      <c r="VI23" s="85"/>
      <c r="VJ23" s="85"/>
      <c r="VK23" s="85"/>
      <c r="VL23" s="85"/>
      <c r="VM23" s="85"/>
      <c r="VN23" s="85"/>
      <c r="VO23" s="85"/>
      <c r="VP23" s="85"/>
      <c r="VQ23" s="85"/>
      <c r="VR23" s="85"/>
      <c r="VS23" s="85"/>
      <c r="VT23" s="85"/>
      <c r="VU23" s="85"/>
      <c r="VV23" s="85"/>
      <c r="VW23" s="85"/>
      <c r="VX23" s="85"/>
      <c r="VY23" s="85"/>
      <c r="VZ23" s="85"/>
      <c r="WA23" s="85"/>
      <c r="WB23" s="85"/>
      <c r="WC23" s="85"/>
      <c r="WD23" s="85"/>
      <c r="WE23" s="85"/>
      <c r="WF23" s="85"/>
      <c r="WG23" s="85"/>
      <c r="WH23" s="85"/>
      <c r="WI23" s="85"/>
      <c r="WJ23" s="85"/>
      <c r="WK23" s="85"/>
      <c r="WL23" s="85"/>
      <c r="WM23" s="85"/>
      <c r="WN23" s="85"/>
      <c r="WO23" s="85"/>
      <c r="WP23" s="85"/>
      <c r="WQ23" s="85"/>
      <c r="WR23" s="85"/>
      <c r="WS23" s="85"/>
      <c r="WT23" s="85"/>
      <c r="WU23" s="85"/>
      <c r="WV23" s="85"/>
      <c r="WW23" s="85"/>
      <c r="WX23" s="85"/>
      <c r="WY23" s="85"/>
      <c r="WZ23" s="85"/>
      <c r="XA23" s="85"/>
      <c r="XB23" s="85"/>
      <c r="XC23" s="85"/>
      <c r="XD23" s="85"/>
      <c r="XE23" s="85"/>
      <c r="XF23" s="85"/>
      <c r="XG23" s="85"/>
      <c r="XH23" s="85"/>
      <c r="XI23" s="85"/>
      <c r="XJ23" s="85"/>
      <c r="XK23" s="85"/>
      <c r="XL23" s="85"/>
      <c r="XM23" s="85"/>
      <c r="XN23" s="85"/>
      <c r="XO23" s="85"/>
      <c r="XP23" s="85"/>
      <c r="XQ23" s="85"/>
      <c r="XR23" s="85"/>
      <c r="XS23" s="85"/>
      <c r="XT23" s="85"/>
      <c r="XU23" s="85"/>
      <c r="XV23" s="85"/>
      <c r="XW23" s="85"/>
      <c r="XX23" s="85"/>
      <c r="XY23" s="85"/>
      <c r="XZ23" s="85"/>
      <c r="YA23" s="85"/>
      <c r="YB23" s="85"/>
      <c r="YC23" s="85"/>
      <c r="YD23" s="85"/>
      <c r="YE23" s="85"/>
      <c r="YF23" s="85"/>
      <c r="YG23" s="85"/>
      <c r="YH23" s="85"/>
      <c r="YI23" s="85"/>
      <c r="YJ23" s="85"/>
      <c r="YK23" s="85"/>
      <c r="YL23" s="85"/>
      <c r="YM23" s="85"/>
      <c r="YN23" s="85"/>
      <c r="YO23" s="85"/>
      <c r="YP23" s="85"/>
      <c r="YQ23" s="85"/>
      <c r="YR23" s="85"/>
      <c r="YS23" s="85"/>
      <c r="YT23" s="85"/>
      <c r="YU23" s="85"/>
      <c r="YV23" s="85"/>
      <c r="YW23" s="85"/>
      <c r="YX23" s="85"/>
      <c r="YY23" s="85"/>
      <c r="YZ23" s="85"/>
      <c r="ZA23" s="85"/>
      <c r="ZB23" s="85"/>
      <c r="ZC23" s="85"/>
      <c r="ZD23" s="85"/>
      <c r="ZE23" s="85"/>
      <c r="ZF23" s="85"/>
      <c r="ZG23" s="85"/>
      <c r="ZH23" s="85"/>
      <c r="ZI23" s="85"/>
      <c r="ZJ23" s="85"/>
      <c r="ZK23" s="85"/>
      <c r="ZL23" s="85"/>
      <c r="ZM23" s="85"/>
      <c r="ZN23" s="85"/>
      <c r="ZO23" s="85"/>
      <c r="ZP23" s="85"/>
      <c r="ZQ23" s="85"/>
      <c r="ZR23" s="85"/>
      <c r="ZS23" s="85"/>
      <c r="ZT23" s="85"/>
      <c r="ZU23" s="85"/>
      <c r="ZV23" s="85"/>
      <c r="ZW23" s="85"/>
      <c r="ZX23" s="85"/>
      <c r="ZY23" s="85"/>
      <c r="ZZ23" s="85"/>
      <c r="AAA23" s="85"/>
      <c r="AAB23" s="85"/>
      <c r="AAC23" s="85"/>
      <c r="AAD23" s="85"/>
      <c r="AAE23" s="85"/>
      <c r="AAF23" s="85"/>
      <c r="AAG23" s="85"/>
      <c r="AAH23" s="85"/>
      <c r="AAI23" s="85"/>
      <c r="AAJ23" s="85"/>
      <c r="AAK23" s="85"/>
      <c r="AAL23" s="85"/>
      <c r="AAM23" s="85"/>
      <c r="AAN23" s="85"/>
      <c r="AAO23" s="85"/>
      <c r="AAP23" s="85"/>
      <c r="AAQ23" s="85"/>
      <c r="AAR23" s="85"/>
      <c r="AAS23" s="85"/>
      <c r="AAT23" s="85"/>
      <c r="AAU23" s="85"/>
      <c r="AAV23" s="85"/>
      <c r="AAW23" s="85"/>
      <c r="AAX23" s="85"/>
      <c r="AAY23" s="85"/>
      <c r="AAZ23" s="85"/>
      <c r="ABA23" s="85"/>
      <c r="ABB23" s="85"/>
      <c r="ABC23" s="85"/>
      <c r="ABD23" s="85"/>
      <c r="ABE23" s="85"/>
      <c r="ABF23" s="85"/>
      <c r="ABG23" s="85"/>
      <c r="ABH23" s="85"/>
      <c r="ABI23" s="85"/>
      <c r="ABJ23" s="85"/>
      <c r="ABK23" s="85"/>
      <c r="ABL23" s="85"/>
      <c r="ABM23" s="85"/>
      <c r="ABN23" s="85"/>
      <c r="ABO23" s="85"/>
      <c r="ABP23" s="85"/>
      <c r="ABQ23" s="85"/>
      <c r="ABR23" s="85"/>
      <c r="ABS23" s="85"/>
      <c r="ABT23" s="85"/>
      <c r="ABU23" s="85"/>
      <c r="ABV23" s="85"/>
      <c r="ABW23" s="85"/>
      <c r="ABX23" s="85"/>
      <c r="ABY23" s="85"/>
      <c r="ABZ23" s="85"/>
      <c r="ACA23" s="85"/>
      <c r="ACB23" s="85"/>
      <c r="ACC23" s="85"/>
      <c r="ACD23" s="85"/>
      <c r="ACE23" s="85"/>
      <c r="ACF23" s="85"/>
      <c r="ACG23" s="85"/>
      <c r="ACH23" s="85"/>
      <c r="ACI23" s="85"/>
      <c r="ACJ23" s="85"/>
      <c r="ACK23" s="85"/>
      <c r="ACL23" s="85"/>
      <c r="ACM23" s="85"/>
      <c r="ACN23" s="85"/>
      <c r="ACO23" s="85"/>
      <c r="ACP23" s="85"/>
      <c r="ACQ23" s="85"/>
      <c r="ACR23" s="85"/>
      <c r="ACS23" s="85"/>
      <c r="ACT23" s="85"/>
      <c r="ACU23" s="85"/>
      <c r="ACV23" s="85"/>
      <c r="ACW23" s="85"/>
      <c r="ACX23" s="85"/>
      <c r="ACY23" s="85"/>
      <c r="ACZ23" s="85"/>
      <c r="ADA23" s="85"/>
      <c r="ADB23" s="85"/>
      <c r="ADC23" s="85"/>
      <c r="ADD23" s="85"/>
      <c r="ADE23" s="85"/>
      <c r="ADF23" s="85"/>
      <c r="ADG23" s="85"/>
      <c r="ADH23" s="85"/>
      <c r="ADI23" s="85"/>
      <c r="ADJ23" s="85"/>
      <c r="ADK23" s="85"/>
      <c r="ADL23" s="85"/>
      <c r="ADM23" s="85"/>
      <c r="ADN23" s="85"/>
      <c r="ADO23" s="85"/>
      <c r="ADP23" s="85"/>
      <c r="ADQ23" s="85"/>
      <c r="ADR23" s="85"/>
      <c r="ADS23" s="85"/>
      <c r="ADT23" s="85"/>
      <c r="ADU23" s="85"/>
      <c r="ADV23" s="85"/>
      <c r="ADW23" s="85"/>
      <c r="ADX23" s="85"/>
      <c r="ADY23" s="85"/>
      <c r="ADZ23" s="85"/>
      <c r="AEA23" s="85"/>
      <c r="AEB23" s="85"/>
      <c r="AEC23" s="85"/>
      <c r="AED23" s="85"/>
      <c r="AEE23" s="85"/>
      <c r="AEF23" s="85"/>
      <c r="AEG23" s="85"/>
      <c r="AEH23" s="85"/>
      <c r="AEI23" s="85"/>
      <c r="AEJ23" s="85"/>
      <c r="AEK23" s="85"/>
      <c r="AEL23" s="85"/>
      <c r="AEM23" s="85"/>
      <c r="AEN23" s="85"/>
      <c r="AEO23" s="85"/>
      <c r="AEP23" s="85"/>
      <c r="AEQ23" s="85"/>
      <c r="AER23" s="85"/>
      <c r="AES23" s="85"/>
      <c r="AET23" s="85"/>
      <c r="AEU23" s="85"/>
      <c r="AEV23" s="85"/>
      <c r="AEW23" s="85"/>
      <c r="AEX23" s="85"/>
      <c r="AEY23" s="85"/>
      <c r="AEZ23" s="85"/>
      <c r="AFA23" s="85"/>
      <c r="AFB23" s="85"/>
      <c r="AFC23" s="85"/>
      <c r="AFD23" s="85"/>
      <c r="AFE23" s="85"/>
      <c r="AFF23" s="85"/>
      <c r="AFG23" s="85"/>
      <c r="AFH23" s="85"/>
      <c r="AFI23" s="85"/>
      <c r="AFJ23" s="85"/>
      <c r="AFK23" s="85"/>
      <c r="AFL23" s="85"/>
      <c r="AFM23" s="85"/>
      <c r="AFN23" s="85"/>
      <c r="AFO23" s="85"/>
      <c r="AFP23" s="85"/>
      <c r="AFQ23" s="85"/>
      <c r="AFR23" s="85"/>
      <c r="AFS23" s="85"/>
      <c r="AFT23" s="85"/>
      <c r="AFU23" s="85"/>
      <c r="AFV23" s="85"/>
      <c r="AFW23" s="85"/>
      <c r="AFX23" s="85"/>
      <c r="AFY23" s="85"/>
      <c r="AFZ23" s="85"/>
      <c r="AGA23" s="85"/>
      <c r="AGB23" s="85"/>
      <c r="AGC23" s="85"/>
      <c r="AGD23" s="85"/>
      <c r="AGE23" s="85"/>
      <c r="AGF23" s="85"/>
      <c r="AGG23" s="85"/>
      <c r="AGH23" s="85"/>
      <c r="AGI23" s="85"/>
      <c r="AGJ23" s="85"/>
      <c r="AGK23" s="85"/>
      <c r="AGL23" s="85"/>
      <c r="AGM23" s="85"/>
      <c r="AGN23" s="85"/>
      <c r="AGO23" s="85"/>
      <c r="AGP23" s="85"/>
      <c r="AGQ23" s="85"/>
      <c r="AGR23" s="85"/>
      <c r="AGS23" s="85"/>
      <c r="AGT23" s="85"/>
      <c r="AGU23" s="85"/>
      <c r="AGV23" s="85"/>
      <c r="AGW23" s="85"/>
      <c r="AGX23" s="85"/>
      <c r="AGY23" s="85"/>
      <c r="AGZ23" s="85"/>
      <c r="AHA23" s="85"/>
      <c r="AHB23" s="85"/>
      <c r="AHC23" s="85"/>
      <c r="AHD23" s="85"/>
      <c r="AHE23" s="85"/>
      <c r="AHF23" s="85"/>
      <c r="AHG23" s="85"/>
      <c r="AHH23" s="85"/>
      <c r="AHI23" s="85"/>
      <c r="AHJ23" s="85"/>
      <c r="AHK23" s="85"/>
      <c r="AHL23" s="85"/>
      <c r="AHM23" s="85"/>
      <c r="AHN23" s="85"/>
      <c r="AHO23" s="85"/>
      <c r="AHP23" s="85"/>
      <c r="AHQ23" s="85"/>
      <c r="AHR23" s="85"/>
      <c r="AHS23" s="85"/>
      <c r="AHT23" s="85"/>
      <c r="AHU23" s="85"/>
      <c r="AHV23" s="85"/>
      <c r="AHW23" s="85"/>
      <c r="AHX23" s="85"/>
      <c r="AHY23" s="85"/>
      <c r="AHZ23" s="85"/>
      <c r="AIA23" s="85"/>
      <c r="AIB23" s="85"/>
      <c r="AIC23" s="85"/>
      <c r="AID23" s="85"/>
      <c r="AIE23" s="85"/>
      <c r="AIF23" s="85"/>
      <c r="AIG23" s="85"/>
      <c r="AIH23" s="85"/>
      <c r="AII23" s="85"/>
      <c r="AIJ23" s="85"/>
      <c r="AIK23" s="85"/>
      <c r="AIL23" s="85"/>
      <c r="AIM23" s="85"/>
      <c r="AIN23" s="85"/>
      <c r="AIO23" s="85"/>
      <c r="AIP23" s="85"/>
      <c r="AIQ23" s="85"/>
      <c r="AIR23" s="85"/>
      <c r="AIS23" s="85"/>
      <c r="AIT23" s="85"/>
      <c r="AIU23" s="85"/>
      <c r="AIV23" s="85"/>
      <c r="AIW23" s="85"/>
      <c r="AIX23" s="85"/>
      <c r="AIY23" s="85"/>
      <c r="AIZ23" s="85"/>
      <c r="AJA23" s="85"/>
      <c r="AJB23" s="85"/>
      <c r="AJC23" s="85"/>
      <c r="AJD23" s="85"/>
      <c r="AJE23" s="85"/>
      <c r="AJF23" s="85"/>
      <c r="AJG23" s="85"/>
      <c r="AJH23" s="85"/>
      <c r="AJI23" s="85"/>
      <c r="AJJ23" s="85"/>
      <c r="AJK23" s="85"/>
      <c r="AJL23" s="85"/>
      <c r="AJM23" s="85"/>
      <c r="AJN23" s="85"/>
      <c r="AJO23" s="85"/>
      <c r="AJP23" s="85"/>
      <c r="AJQ23" s="85"/>
      <c r="AJR23" s="85"/>
      <c r="AJS23" s="85"/>
      <c r="AJT23" s="85"/>
      <c r="AJU23" s="85"/>
      <c r="AJV23" s="85"/>
      <c r="AJW23" s="85"/>
      <c r="AJX23" s="85"/>
      <c r="AJY23" s="85"/>
      <c r="AJZ23" s="85"/>
      <c r="AKA23" s="85"/>
      <c r="AKB23" s="85"/>
      <c r="AKC23" s="85"/>
      <c r="AKD23" s="85"/>
      <c r="AKE23" s="85"/>
      <c r="AKF23" s="85"/>
      <c r="AKG23" s="85"/>
      <c r="AKH23" s="85"/>
      <c r="AKI23" s="85"/>
      <c r="AKJ23" s="85"/>
      <c r="AKK23" s="85"/>
      <c r="AKL23" s="85"/>
      <c r="AKM23" s="85"/>
      <c r="AKN23" s="85"/>
      <c r="AKO23" s="85"/>
      <c r="AKP23" s="85"/>
      <c r="AKQ23" s="85"/>
      <c r="AKR23" s="85"/>
      <c r="AKS23" s="85"/>
      <c r="AKT23" s="85"/>
      <c r="AKU23" s="85"/>
      <c r="AKV23" s="85"/>
      <c r="AKW23" s="85"/>
      <c r="AKX23" s="85"/>
      <c r="AKY23" s="85"/>
      <c r="AKZ23" s="85"/>
      <c r="ALA23" s="85"/>
      <c r="ALB23" s="85"/>
      <c r="ALC23" s="85"/>
      <c r="ALD23" s="85"/>
      <c r="ALE23" s="85"/>
      <c r="ALF23" s="85"/>
      <c r="ALG23" s="85"/>
      <c r="ALH23" s="85"/>
      <c r="ALI23" s="85"/>
      <c r="ALJ23" s="85"/>
      <c r="ALK23" s="85"/>
      <c r="ALL23" s="85"/>
      <c r="ALM23" s="85"/>
      <c r="ALN23" s="85"/>
      <c r="ALO23" s="85"/>
      <c r="ALP23" s="85"/>
      <c r="ALQ23" s="85"/>
      <c r="ALR23" s="85"/>
      <c r="ALS23" s="85"/>
      <c r="ALT23" s="85"/>
      <c r="ALU23" s="85"/>
      <c r="ALV23" s="85"/>
      <c r="ALW23" s="85"/>
      <c r="ALX23" s="85"/>
      <c r="ALY23" s="85"/>
      <c r="ALZ23" s="85"/>
      <c r="AMA23" s="85"/>
      <c r="AMB23" s="85"/>
      <c r="AMC23" s="85"/>
      <c r="AMD23" s="85"/>
      <c r="AME23" s="85"/>
      <c r="AMF23" s="85"/>
      <c r="AMG23" s="85"/>
      <c r="AMH23" s="85"/>
      <c r="AMI23" s="85"/>
      <c r="AMJ23" s="85"/>
      <c r="AMK23" s="85"/>
      <c r="AML23" s="85"/>
      <c r="AMM23" s="85"/>
      <c r="AMN23" s="85"/>
      <c r="AMO23" s="85"/>
      <c r="AMP23" s="85"/>
      <c r="AMQ23" s="85"/>
      <c r="AMR23" s="85"/>
      <c r="AMS23" s="85"/>
      <c r="AMT23" s="85"/>
      <c r="AMU23" s="85"/>
      <c r="AMV23" s="85"/>
      <c r="AMW23" s="85"/>
      <c r="AMX23" s="85"/>
      <c r="AMY23" s="85"/>
      <c r="AMZ23" s="85"/>
      <c r="ANA23" s="85"/>
      <c r="ANB23" s="85"/>
      <c r="ANC23" s="85"/>
      <c r="AND23" s="85"/>
      <c r="ANE23" s="85"/>
      <c r="ANF23" s="85"/>
      <c r="ANG23" s="85"/>
      <c r="ANH23" s="85"/>
      <c r="ANI23" s="85"/>
      <c r="ANJ23" s="85"/>
      <c r="ANK23" s="85"/>
      <c r="ANL23" s="85"/>
      <c r="ANM23" s="85"/>
      <c r="ANN23" s="85"/>
      <c r="ANO23" s="85"/>
      <c r="ANP23" s="85"/>
      <c r="ANQ23" s="85"/>
      <c r="ANR23" s="85"/>
      <c r="ANS23" s="85"/>
      <c r="ANT23" s="85"/>
      <c r="ANU23" s="85"/>
      <c r="ANV23" s="85"/>
      <c r="ANW23" s="85"/>
      <c r="ANX23" s="85"/>
      <c r="ANY23" s="85"/>
      <c r="ANZ23" s="85"/>
      <c r="AOA23" s="85"/>
      <c r="AOB23" s="85"/>
      <c r="AOC23" s="85"/>
      <c r="AOD23" s="85"/>
      <c r="AOE23" s="85"/>
      <c r="AOF23" s="85"/>
      <c r="AOG23" s="85"/>
      <c r="AOH23" s="85"/>
      <c r="AOI23" s="85"/>
      <c r="AOJ23" s="85"/>
      <c r="AOK23" s="85"/>
      <c r="AOL23" s="85"/>
      <c r="AOM23" s="85"/>
      <c r="AON23" s="85"/>
      <c r="AOO23" s="85"/>
      <c r="AOP23" s="85"/>
      <c r="AOQ23" s="85"/>
      <c r="AOR23" s="85"/>
      <c r="AOS23" s="85"/>
      <c r="AOT23" s="85"/>
      <c r="AOU23" s="85"/>
      <c r="AOV23" s="85"/>
      <c r="AOW23" s="85"/>
      <c r="AOX23" s="85"/>
      <c r="AOY23" s="85"/>
      <c r="AOZ23" s="85"/>
      <c r="APA23" s="85"/>
      <c r="APB23" s="85"/>
      <c r="APC23" s="85"/>
      <c r="APD23" s="85"/>
      <c r="APE23" s="85"/>
      <c r="APF23" s="85"/>
      <c r="APG23" s="85"/>
      <c r="APH23" s="85"/>
      <c r="API23" s="85"/>
      <c r="APJ23" s="85"/>
      <c r="APK23" s="85"/>
      <c r="APL23" s="85"/>
      <c r="APM23" s="85"/>
      <c r="APN23" s="85"/>
      <c r="APO23" s="85"/>
      <c r="APP23" s="85"/>
      <c r="APQ23" s="85"/>
      <c r="APR23" s="85"/>
      <c r="APS23" s="85"/>
      <c r="APT23" s="85"/>
      <c r="APU23" s="85"/>
      <c r="APV23" s="85"/>
      <c r="APW23" s="85"/>
      <c r="APX23" s="85"/>
      <c r="APY23" s="85"/>
      <c r="APZ23" s="85"/>
      <c r="AQA23" s="85"/>
      <c r="AQB23" s="85"/>
      <c r="AQC23" s="85"/>
      <c r="AQD23" s="85"/>
      <c r="AQE23" s="85"/>
      <c r="AQF23" s="85"/>
      <c r="AQG23" s="85"/>
      <c r="AQH23" s="85"/>
      <c r="AQI23" s="85"/>
      <c r="AQJ23" s="85"/>
      <c r="AQK23" s="85"/>
      <c r="AQL23" s="85"/>
      <c r="AQM23" s="85"/>
      <c r="AQN23" s="85"/>
      <c r="AQO23" s="85"/>
      <c r="AQP23" s="85"/>
      <c r="AQQ23" s="85"/>
      <c r="AQR23" s="85"/>
      <c r="AQS23" s="85"/>
      <c r="AQT23" s="85"/>
      <c r="AQU23" s="85"/>
      <c r="AQV23" s="85"/>
      <c r="AQW23" s="85"/>
      <c r="AQX23" s="85"/>
      <c r="AQY23" s="85"/>
      <c r="AQZ23" s="85"/>
      <c r="ARA23" s="85"/>
      <c r="ARB23" s="85"/>
      <c r="ARC23" s="85"/>
      <c r="ARD23" s="85"/>
      <c r="ARE23" s="85"/>
      <c r="ARF23" s="85"/>
      <c r="ARG23" s="85"/>
      <c r="ARH23" s="85"/>
      <c r="ARI23" s="85"/>
      <c r="ARJ23" s="85"/>
      <c r="ARK23" s="85"/>
      <c r="ARL23" s="85"/>
      <c r="ARM23" s="85"/>
      <c r="ARN23" s="85"/>
      <c r="ARO23" s="85"/>
      <c r="ARP23" s="85"/>
      <c r="ARQ23" s="85"/>
      <c r="ARR23" s="85"/>
      <c r="ARS23" s="85"/>
      <c r="ART23" s="85"/>
      <c r="ARU23" s="85"/>
      <c r="ARV23" s="85"/>
      <c r="ARW23" s="85"/>
      <c r="ARX23" s="85"/>
      <c r="ARY23" s="85"/>
      <c r="ARZ23" s="85"/>
      <c r="ASA23" s="85"/>
      <c r="ASB23" s="85"/>
      <c r="ASC23" s="85"/>
      <c r="ASD23" s="85"/>
      <c r="ASE23" s="85"/>
      <c r="ASF23" s="85"/>
      <c r="ASG23" s="85"/>
      <c r="ASH23" s="85"/>
      <c r="ASI23" s="85"/>
      <c r="ASJ23" s="85"/>
      <c r="ASK23" s="85"/>
      <c r="ASL23" s="85"/>
      <c r="ASM23" s="85"/>
      <c r="ASN23" s="85"/>
      <c r="ASO23" s="85"/>
      <c r="ASP23" s="85"/>
      <c r="ASQ23" s="85"/>
      <c r="ASR23" s="85"/>
      <c r="ASS23" s="85"/>
      <c r="AST23" s="85"/>
      <c r="ASU23" s="85"/>
      <c r="ASV23" s="85"/>
      <c r="ASW23" s="85"/>
      <c r="ASX23" s="85"/>
      <c r="ASY23" s="85"/>
      <c r="ASZ23" s="85"/>
      <c r="ATA23" s="85"/>
      <c r="ATB23" s="85"/>
      <c r="ATC23" s="85"/>
      <c r="ATD23" s="85"/>
      <c r="ATE23" s="85"/>
      <c r="ATF23" s="85"/>
      <c r="ATG23" s="85"/>
      <c r="ATH23" s="85"/>
      <c r="ATI23" s="85"/>
      <c r="ATJ23" s="85"/>
      <c r="ATK23" s="85"/>
      <c r="ATL23" s="85"/>
      <c r="ATM23" s="85"/>
      <c r="ATN23" s="85"/>
      <c r="ATO23" s="85"/>
      <c r="ATP23" s="85"/>
      <c r="ATQ23" s="85"/>
      <c r="ATR23" s="85"/>
      <c r="ATS23" s="85"/>
      <c r="ATT23" s="85"/>
      <c r="ATU23" s="85"/>
      <c r="ATV23" s="85"/>
      <c r="ATW23" s="85"/>
      <c r="ATX23" s="85"/>
      <c r="ATY23" s="85"/>
      <c r="ATZ23" s="85"/>
      <c r="AUA23" s="85"/>
      <c r="AUB23" s="85"/>
      <c r="AUC23" s="85"/>
      <c r="AUD23" s="85"/>
      <c r="AUE23" s="85"/>
      <c r="AUF23" s="85"/>
      <c r="AUG23" s="85"/>
      <c r="AUH23" s="85"/>
      <c r="AUI23" s="85"/>
      <c r="AUJ23" s="85"/>
      <c r="AUK23" s="85"/>
      <c r="AUL23" s="85"/>
      <c r="AUM23" s="85"/>
      <c r="AUN23" s="85"/>
      <c r="AUO23" s="85"/>
      <c r="AUP23" s="85"/>
      <c r="AUQ23" s="85"/>
      <c r="AUR23" s="85"/>
      <c r="AUS23" s="85"/>
      <c r="AUT23" s="85"/>
      <c r="AUU23" s="85"/>
      <c r="AUV23" s="85"/>
      <c r="AUW23" s="85"/>
      <c r="AUX23" s="85"/>
      <c r="AUY23" s="85"/>
      <c r="AUZ23" s="85"/>
      <c r="AVA23" s="85"/>
      <c r="AVB23" s="85"/>
      <c r="AVC23" s="85"/>
      <c r="AVD23" s="85"/>
      <c r="AVE23" s="85"/>
    </row>
    <row r="24" spans="1:1253">
      <c r="A24" s="316"/>
      <c r="B24" s="69" t="s">
        <v>746</v>
      </c>
      <c r="C24" s="85">
        <v>2.74</v>
      </c>
      <c r="D24" s="85">
        <v>2.85</v>
      </c>
      <c r="E24" s="85">
        <v>3.1875</v>
      </c>
      <c r="F24" s="85">
        <v>4.6100000000000003</v>
      </c>
      <c r="G24" s="85">
        <v>3.31</v>
      </c>
      <c r="H24" s="85">
        <v>3.0190000000000001</v>
      </c>
      <c r="I24" s="85">
        <v>2.96</v>
      </c>
      <c r="J24" s="85">
        <v>2.8159000000000001</v>
      </c>
      <c r="K24" s="85">
        <v>2.97</v>
      </c>
      <c r="L24" s="85">
        <v>2.8873000000000002</v>
      </c>
      <c r="M24" s="85">
        <v>2.75</v>
      </c>
      <c r="N24" s="85">
        <v>2.81</v>
      </c>
      <c r="O24" s="85">
        <v>2.66</v>
      </c>
      <c r="P24" s="85">
        <v>3.34</v>
      </c>
      <c r="Q24" s="85">
        <v>3.5396000000000001</v>
      </c>
      <c r="R24" s="85">
        <v>2.9417</v>
      </c>
      <c r="S24" s="85">
        <v>2.8</v>
      </c>
      <c r="T24" s="85">
        <v>2.8860999999999999</v>
      </c>
      <c r="U24" s="85">
        <v>2.8944000000000001</v>
      </c>
      <c r="V24" s="85">
        <v>2.8361000000000001</v>
      </c>
      <c r="W24" s="85">
        <v>2.9439000000000002</v>
      </c>
      <c r="X24" s="85">
        <v>3</v>
      </c>
      <c r="Y24" s="85">
        <v>3.1665999999999999</v>
      </c>
      <c r="Z24" s="85">
        <v>3.0998000000000001</v>
      </c>
      <c r="AA24" s="85">
        <v>2.5150000000000001</v>
      </c>
      <c r="AB24" s="85">
        <v>3.0047000000000001</v>
      </c>
      <c r="AC24" s="85">
        <v>3.6819999999999999</v>
      </c>
      <c r="AD24" s="85">
        <v>3.2949999999999999</v>
      </c>
      <c r="AE24" s="85">
        <v>2.79</v>
      </c>
      <c r="AF24" s="85">
        <v>2.8389000000000002</v>
      </c>
      <c r="AG24" s="85">
        <v>2.9428999999999998</v>
      </c>
      <c r="AH24" s="85">
        <v>2.9434999999999998</v>
      </c>
      <c r="AI24" s="85">
        <v>2.8990999999999998</v>
      </c>
      <c r="AJ24" s="85">
        <v>2.0920000000000001</v>
      </c>
      <c r="AK24" s="85">
        <v>1.9080999999999999</v>
      </c>
      <c r="AL24" s="85">
        <v>1.9548000000000001</v>
      </c>
      <c r="AM24" s="85">
        <v>1.6164000000000001</v>
      </c>
      <c r="AN24" s="85">
        <v>2.2517</v>
      </c>
      <c r="AO24" s="85">
        <v>2.3123999999999998</v>
      </c>
      <c r="AP24" s="85">
        <v>2.0878000000000001</v>
      </c>
      <c r="AQ24" s="85">
        <v>1.9379</v>
      </c>
      <c r="AR24" s="85">
        <v>2.4746999999999999</v>
      </c>
      <c r="AS24" s="85">
        <v>2.6779999999999999</v>
      </c>
      <c r="AT24" s="85">
        <v>2.7667999999999999</v>
      </c>
      <c r="AU24" s="85">
        <v>2.774</v>
      </c>
      <c r="AV24" s="85">
        <v>2.6423999999999999</v>
      </c>
      <c r="AW24" s="85">
        <v>2.5629</v>
      </c>
      <c r="AX24" s="85">
        <v>2.6238000000000001</v>
      </c>
      <c r="AY24" s="85">
        <v>2.7547000000000001</v>
      </c>
      <c r="AZ24" s="85">
        <v>2.6808000000000001</v>
      </c>
      <c r="BA24" s="85">
        <v>2.9948999999999999</v>
      </c>
      <c r="BB24" s="85">
        <v>4.2393999999999998</v>
      </c>
      <c r="BC24" s="85">
        <v>3.7803</v>
      </c>
      <c r="BD24" s="85">
        <v>4.1384999999999996</v>
      </c>
      <c r="BE24" s="85">
        <v>4.0266999999999999</v>
      </c>
      <c r="BF24" s="85">
        <v>3.75</v>
      </c>
      <c r="BG24" s="85">
        <v>4.41</v>
      </c>
      <c r="BH24" s="85">
        <v>4.4800000000000004</v>
      </c>
      <c r="BI24" s="85">
        <v>4.79</v>
      </c>
      <c r="BJ24" s="85">
        <v>4.4683000000000002</v>
      </c>
      <c r="BK24" s="85">
        <v>4.6962999999999999</v>
      </c>
    </row>
    <row r="25" spans="1:1253">
      <c r="A25" s="115"/>
      <c r="B25" s="1"/>
      <c r="L25"/>
      <c r="P25" s="86"/>
      <c r="Q25" s="85"/>
      <c r="U25" s="86"/>
      <c r="V25" s="85"/>
    </row>
    <row r="26" spans="1:1253">
      <c r="A26" s="316" t="s">
        <v>748</v>
      </c>
      <c r="B26" s="69" t="s">
        <v>745</v>
      </c>
      <c r="C26" s="87">
        <v>43518</v>
      </c>
      <c r="D26" s="87">
        <v>43496</v>
      </c>
      <c r="E26" s="87">
        <v>43465</v>
      </c>
      <c r="F26" s="87">
        <v>43434</v>
      </c>
      <c r="G26" s="87">
        <v>43404</v>
      </c>
      <c r="H26" s="87">
        <v>43371</v>
      </c>
      <c r="I26" s="87">
        <v>43343</v>
      </c>
      <c r="J26" s="87">
        <v>43312</v>
      </c>
      <c r="K26" s="87">
        <v>43280</v>
      </c>
      <c r="L26" s="87">
        <v>43251</v>
      </c>
      <c r="M26" s="87">
        <v>43220</v>
      </c>
      <c r="N26" s="87">
        <v>43189</v>
      </c>
      <c r="O26" s="87">
        <v>43159</v>
      </c>
      <c r="P26" s="86">
        <v>43131</v>
      </c>
      <c r="Q26" s="86">
        <v>43098</v>
      </c>
      <c r="R26" s="87">
        <v>43069</v>
      </c>
      <c r="S26" s="87">
        <v>43039</v>
      </c>
      <c r="T26" s="87">
        <v>43007</v>
      </c>
      <c r="U26" s="86">
        <v>42978</v>
      </c>
      <c r="V26" s="86">
        <v>42947</v>
      </c>
      <c r="W26" s="87">
        <v>42916</v>
      </c>
      <c r="X26" s="87">
        <v>42886</v>
      </c>
      <c r="Y26" s="87">
        <v>42853</v>
      </c>
      <c r="Z26" s="87">
        <v>42825</v>
      </c>
      <c r="AA26" s="87">
        <v>42794</v>
      </c>
      <c r="AB26" s="87">
        <v>42766</v>
      </c>
      <c r="AC26" s="87">
        <v>42734</v>
      </c>
      <c r="AD26" s="87">
        <v>42704</v>
      </c>
      <c r="AE26" s="87">
        <v>42674</v>
      </c>
      <c r="AF26" s="87">
        <v>42643</v>
      </c>
      <c r="AG26" s="87">
        <v>42613</v>
      </c>
      <c r="AH26" s="87">
        <v>42580</v>
      </c>
      <c r="AI26" s="87">
        <v>42551</v>
      </c>
      <c r="AJ26" s="87">
        <v>42521</v>
      </c>
      <c r="AK26" s="87">
        <v>42489</v>
      </c>
      <c r="AL26" s="87">
        <v>42460</v>
      </c>
      <c r="AM26" s="87">
        <v>42429</v>
      </c>
      <c r="AN26" s="87">
        <v>42398</v>
      </c>
      <c r="AO26" s="87">
        <v>42369</v>
      </c>
      <c r="AP26" s="87">
        <v>42338</v>
      </c>
      <c r="AQ26" s="87">
        <v>42307</v>
      </c>
      <c r="AR26" s="87">
        <v>42277</v>
      </c>
      <c r="AS26" s="87">
        <v>42247</v>
      </c>
      <c r="AT26" s="87">
        <v>42216</v>
      </c>
      <c r="AU26" s="87">
        <v>42185</v>
      </c>
      <c r="AV26" s="87">
        <v>42153</v>
      </c>
      <c r="AW26" s="87">
        <v>42124</v>
      </c>
      <c r="AX26" s="87">
        <v>42094</v>
      </c>
      <c r="AY26" s="87">
        <v>42062</v>
      </c>
      <c r="AZ26" s="87">
        <v>42034</v>
      </c>
      <c r="BA26" s="87">
        <v>42004</v>
      </c>
      <c r="BB26" s="87">
        <v>41971</v>
      </c>
      <c r="BC26" s="87">
        <v>41943</v>
      </c>
      <c r="BD26" s="87">
        <v>41912</v>
      </c>
      <c r="BE26" s="87">
        <v>41880</v>
      </c>
      <c r="BF26" s="87">
        <v>41851</v>
      </c>
      <c r="BG26" s="87">
        <v>41820</v>
      </c>
      <c r="BH26" s="87">
        <v>41789</v>
      </c>
      <c r="BI26" s="87">
        <v>41759</v>
      </c>
      <c r="BJ26" s="87">
        <v>41729</v>
      </c>
      <c r="BK26" s="87">
        <v>41698</v>
      </c>
    </row>
    <row r="27" spans="1:1253">
      <c r="A27" s="316"/>
      <c r="B27" s="69" t="s">
        <v>746</v>
      </c>
      <c r="C27" s="85">
        <v>2.59</v>
      </c>
      <c r="D27" s="85">
        <v>1.96</v>
      </c>
      <c r="E27" s="85">
        <v>1.1477999999999999</v>
      </c>
      <c r="F27" s="85">
        <v>1.46</v>
      </c>
      <c r="G27" s="85">
        <v>0.83</v>
      </c>
      <c r="H27" s="85">
        <v>1.68</v>
      </c>
      <c r="I27" s="85">
        <v>0.54</v>
      </c>
      <c r="J27" s="85">
        <v>1.05</v>
      </c>
      <c r="K27" s="85">
        <v>1.34</v>
      </c>
      <c r="L27" s="85">
        <v>1.47</v>
      </c>
      <c r="M27" s="85">
        <v>0.34</v>
      </c>
      <c r="N27" s="85">
        <v>1.64</v>
      </c>
      <c r="O27" s="85">
        <v>1.62</v>
      </c>
      <c r="P27" s="85">
        <v>1.87</v>
      </c>
      <c r="Q27" s="85">
        <v>2.4045000000000001</v>
      </c>
      <c r="R27" s="85">
        <v>1.54</v>
      </c>
      <c r="S27" s="85">
        <v>1.86</v>
      </c>
      <c r="T27" s="85">
        <v>0.5</v>
      </c>
      <c r="U27" s="85">
        <v>1.44</v>
      </c>
      <c r="V27" s="85">
        <v>1.49</v>
      </c>
      <c r="W27" s="85">
        <v>1.7</v>
      </c>
      <c r="X27" s="85">
        <v>2.12</v>
      </c>
      <c r="Y27" s="85">
        <v>2.15</v>
      </c>
      <c r="Z27" s="85">
        <v>2.08</v>
      </c>
      <c r="AA27" s="85">
        <v>1.72</v>
      </c>
      <c r="AB27" s="85">
        <v>2.0396999999999998</v>
      </c>
      <c r="AC27" s="85">
        <v>2.64</v>
      </c>
      <c r="AD27" s="85">
        <v>2.44</v>
      </c>
      <c r="AE27" s="85">
        <v>2.25</v>
      </c>
      <c r="AF27" s="85">
        <v>2.1</v>
      </c>
      <c r="AG27" s="85">
        <v>1.95</v>
      </c>
      <c r="AH27" s="85">
        <v>2</v>
      </c>
      <c r="AI27" s="85">
        <v>1.88</v>
      </c>
      <c r="AJ27" s="85">
        <v>1.1499999999999999</v>
      </c>
      <c r="AK27" s="85">
        <v>0.93</v>
      </c>
      <c r="AL27" s="85">
        <v>0.74719999999999998</v>
      </c>
      <c r="AM27" s="85">
        <v>0.98</v>
      </c>
      <c r="AN27" s="85">
        <v>1.61</v>
      </c>
      <c r="AO27" s="85">
        <v>1.7846</v>
      </c>
      <c r="AP27" s="85">
        <v>1.81</v>
      </c>
      <c r="AQ27" s="85">
        <v>1.88</v>
      </c>
      <c r="AR27" s="85">
        <v>2.1</v>
      </c>
      <c r="AS27" s="85">
        <v>2.2200000000000002</v>
      </c>
      <c r="AT27" s="85">
        <v>2.25</v>
      </c>
      <c r="AU27" s="85">
        <v>2.09</v>
      </c>
      <c r="AV27" s="85">
        <v>2.06</v>
      </c>
      <c r="AW27" s="85">
        <v>2.11</v>
      </c>
      <c r="AX27" s="85">
        <v>2.12</v>
      </c>
      <c r="AY27" s="85">
        <v>2.14</v>
      </c>
      <c r="AZ27" s="85">
        <v>2.0699999999999998</v>
      </c>
      <c r="BA27" s="85">
        <v>2.46</v>
      </c>
      <c r="BB27" s="85">
        <v>3.6703000000000001</v>
      </c>
      <c r="BC27" s="85">
        <v>3.39</v>
      </c>
      <c r="BD27" s="85">
        <v>3.72</v>
      </c>
      <c r="BE27" s="85">
        <v>3.65</v>
      </c>
      <c r="BF27" s="85">
        <v>3.58</v>
      </c>
      <c r="BG27" s="85">
        <v>4.13</v>
      </c>
      <c r="BH27" s="85">
        <v>4.24</v>
      </c>
      <c r="BI27" s="85">
        <v>4.4242999999999997</v>
      </c>
      <c r="BJ27" s="85">
        <v>4.2699999999999996</v>
      </c>
      <c r="BK27" s="85">
        <v>7.19</v>
      </c>
      <c r="BL27" s="86"/>
      <c r="BM27" s="86"/>
      <c r="BN27" s="86"/>
      <c r="BO27" s="86"/>
      <c r="BP27" s="86"/>
      <c r="BQ27" s="86"/>
      <c r="BR27" s="86"/>
      <c r="BS27" s="86"/>
      <c r="BT27" s="86"/>
      <c r="BU27" s="86"/>
      <c r="BV27" s="86"/>
      <c r="BW27" s="86"/>
      <c r="BX27" s="86"/>
      <c r="BY27" s="86"/>
      <c r="BZ27" s="86"/>
      <c r="CA27" s="86"/>
      <c r="CB27" s="86"/>
      <c r="CC27" s="86"/>
      <c r="CD27" s="86"/>
      <c r="CE27" s="86"/>
      <c r="CF27" s="86"/>
      <c r="CG27" s="86"/>
      <c r="CH27" s="86"/>
      <c r="CI27" s="86"/>
      <c r="CJ27" s="86"/>
      <c r="CK27" s="86"/>
      <c r="CL27" s="86"/>
      <c r="CM27" s="86"/>
      <c r="CN27" s="86"/>
      <c r="CO27" s="86"/>
      <c r="CP27" s="86"/>
      <c r="CQ27" s="86"/>
      <c r="CR27" s="86"/>
      <c r="CS27" s="86"/>
      <c r="CT27" s="86"/>
      <c r="CU27" s="86"/>
      <c r="CV27" s="86"/>
      <c r="CW27" s="86"/>
      <c r="CX27" s="86"/>
      <c r="CY27" s="86"/>
      <c r="CZ27" s="86"/>
      <c r="DA27" s="86"/>
      <c r="DB27" s="86"/>
      <c r="DC27" s="86"/>
      <c r="DD27" s="86"/>
      <c r="DE27" s="86"/>
      <c r="DF27" s="86"/>
      <c r="DG27" s="86"/>
      <c r="DH27" s="86"/>
      <c r="DI27" s="86"/>
      <c r="DJ27" s="86"/>
      <c r="DK27" s="86"/>
      <c r="DL27" s="86"/>
      <c r="DM27" s="86"/>
      <c r="DN27" s="86"/>
      <c r="DO27" s="86"/>
      <c r="DP27" s="86"/>
      <c r="DQ27" s="86"/>
      <c r="DR27" s="86"/>
      <c r="DS27" s="86"/>
      <c r="DT27" s="86"/>
      <c r="DU27" s="86"/>
      <c r="DV27" s="86"/>
      <c r="DW27" s="86"/>
      <c r="DX27" s="86"/>
      <c r="DY27" s="86"/>
      <c r="DZ27" s="86"/>
      <c r="EA27" s="86"/>
      <c r="EB27" s="86"/>
      <c r="EC27" s="86"/>
      <c r="ED27" s="86"/>
      <c r="EE27" s="86"/>
      <c r="EF27" s="86"/>
      <c r="EG27" s="86"/>
      <c r="EH27" s="86"/>
      <c r="EI27" s="86"/>
      <c r="EJ27" s="86"/>
      <c r="EK27" s="86"/>
      <c r="EL27" s="86"/>
      <c r="EM27" s="86"/>
      <c r="EN27" s="86"/>
      <c r="EO27" s="86"/>
      <c r="EP27" s="86"/>
      <c r="EQ27" s="86"/>
      <c r="ER27" s="86"/>
      <c r="ES27" s="86"/>
      <c r="ET27" s="86"/>
      <c r="EU27" s="86"/>
      <c r="EV27" s="86"/>
      <c r="EW27" s="86"/>
      <c r="EX27" s="86"/>
      <c r="EY27" s="86"/>
      <c r="EZ27" s="86"/>
      <c r="FA27" s="86"/>
      <c r="FB27" s="86"/>
      <c r="FC27" s="86"/>
      <c r="FD27" s="86"/>
      <c r="FE27" s="86"/>
      <c r="FF27" s="86"/>
      <c r="FG27" s="86"/>
      <c r="FH27" s="86"/>
      <c r="FI27" s="86"/>
      <c r="FJ27" s="86"/>
      <c r="FK27" s="86"/>
      <c r="FL27" s="86"/>
      <c r="FM27" s="86"/>
      <c r="FN27" s="86"/>
      <c r="FO27" s="86"/>
      <c r="FP27" s="86"/>
      <c r="FQ27" s="86"/>
      <c r="FR27" s="86"/>
      <c r="FS27" s="86"/>
      <c r="FT27" s="86"/>
      <c r="FU27" s="86"/>
      <c r="FV27" s="86"/>
      <c r="FW27" s="86"/>
      <c r="FX27" s="86"/>
      <c r="FY27" s="86"/>
      <c r="FZ27" s="86"/>
      <c r="GA27" s="86"/>
      <c r="GB27" s="86"/>
      <c r="GC27" s="86"/>
      <c r="GD27" s="86"/>
      <c r="GE27" s="86"/>
      <c r="GF27" s="86"/>
      <c r="GG27" s="86"/>
      <c r="GH27" s="86"/>
      <c r="GI27" s="86"/>
      <c r="GJ27" s="86"/>
      <c r="GK27" s="86"/>
      <c r="GL27" s="86"/>
      <c r="GM27" s="86"/>
      <c r="GN27" s="86"/>
      <c r="GO27" s="86"/>
      <c r="GP27" s="86"/>
      <c r="GQ27" s="86"/>
      <c r="GR27" s="86"/>
      <c r="GS27" s="86"/>
      <c r="GT27" s="86"/>
      <c r="GU27" s="86"/>
      <c r="GV27" s="86"/>
      <c r="GW27" s="86"/>
      <c r="GX27" s="86"/>
      <c r="GY27" s="86"/>
      <c r="GZ27" s="86"/>
      <c r="HA27" s="86"/>
      <c r="HB27" s="86"/>
      <c r="HC27" s="86"/>
      <c r="HD27" s="86"/>
      <c r="HE27" s="86"/>
      <c r="HF27" s="86"/>
      <c r="HG27" s="86"/>
      <c r="HH27" s="86"/>
      <c r="HI27" s="86"/>
      <c r="HJ27" s="86"/>
      <c r="HK27" s="86"/>
      <c r="HL27" s="86"/>
      <c r="HM27" s="86"/>
      <c r="HN27" s="86"/>
      <c r="HO27" s="86"/>
      <c r="HP27" s="86"/>
      <c r="HQ27" s="86"/>
      <c r="HR27" s="86"/>
      <c r="HS27" s="86"/>
      <c r="HT27" s="86"/>
      <c r="HU27" s="86"/>
      <c r="HV27" s="86"/>
      <c r="HW27" s="86"/>
      <c r="HX27" s="86"/>
      <c r="HY27" s="86"/>
      <c r="HZ27" s="86"/>
      <c r="IA27" s="86"/>
      <c r="IB27" s="86"/>
      <c r="IC27" s="86"/>
      <c r="ID27" s="86"/>
      <c r="IE27" s="86"/>
      <c r="IF27" s="86"/>
      <c r="IG27" s="86"/>
      <c r="IH27" s="86"/>
      <c r="II27" s="86"/>
      <c r="IJ27" s="86"/>
      <c r="IK27" s="86"/>
      <c r="IL27" s="86"/>
      <c r="IM27" s="86"/>
      <c r="IN27" s="86"/>
      <c r="IO27" s="86"/>
      <c r="IP27" s="86"/>
      <c r="IQ27" s="86"/>
      <c r="IR27" s="86"/>
      <c r="IS27" s="86"/>
      <c r="IT27" s="86"/>
      <c r="IU27" s="86"/>
      <c r="IV27" s="86"/>
      <c r="IW27" s="86"/>
      <c r="IX27" s="86"/>
      <c r="IY27" s="86"/>
      <c r="IZ27" s="86"/>
      <c r="JA27" s="86"/>
      <c r="JB27" s="86"/>
      <c r="JC27" s="86"/>
      <c r="JD27" s="86"/>
      <c r="JE27" s="86"/>
      <c r="JF27" s="86"/>
      <c r="JG27" s="86"/>
      <c r="JH27" s="86"/>
      <c r="JI27" s="86"/>
      <c r="JJ27" s="86"/>
      <c r="JK27" s="86"/>
      <c r="JL27" s="86"/>
      <c r="JM27" s="86"/>
      <c r="JN27" s="86"/>
      <c r="JO27" s="86"/>
      <c r="JP27" s="86"/>
      <c r="JQ27" s="86"/>
      <c r="JR27" s="86"/>
      <c r="JS27" s="86"/>
      <c r="JT27" s="86"/>
      <c r="JU27" s="86"/>
      <c r="JV27" s="86"/>
      <c r="JW27" s="86"/>
      <c r="JX27" s="86"/>
      <c r="JY27" s="86"/>
      <c r="JZ27" s="86"/>
      <c r="KA27" s="86"/>
      <c r="KB27" s="86"/>
      <c r="KC27" s="86"/>
      <c r="KD27" s="86"/>
      <c r="KE27" s="86"/>
      <c r="KF27" s="86"/>
      <c r="KG27" s="86"/>
      <c r="KH27" s="86"/>
      <c r="KI27" s="86"/>
      <c r="KJ27" s="86"/>
      <c r="KK27" s="86"/>
      <c r="KL27" s="86"/>
      <c r="KM27" s="86"/>
      <c r="KN27" s="86"/>
      <c r="KO27" s="86"/>
      <c r="KP27" s="86"/>
      <c r="KQ27" s="86"/>
      <c r="KR27" s="86"/>
      <c r="KS27" s="86"/>
      <c r="KT27" s="86"/>
      <c r="KU27" s="86"/>
      <c r="KV27" s="86"/>
      <c r="KW27" s="86"/>
      <c r="KX27" s="86"/>
      <c r="KY27" s="86"/>
      <c r="KZ27" s="86"/>
      <c r="LA27" s="86"/>
      <c r="LB27" s="86"/>
      <c r="LC27" s="86"/>
      <c r="LD27" s="86"/>
      <c r="LE27" s="86"/>
      <c r="LF27" s="86"/>
      <c r="LG27" s="86"/>
      <c r="LH27" s="86"/>
      <c r="LI27" s="86"/>
      <c r="LJ27" s="86"/>
      <c r="LK27" s="86"/>
      <c r="LL27" s="86"/>
      <c r="LM27" s="86"/>
      <c r="LN27" s="86"/>
      <c r="LO27" s="86"/>
      <c r="LP27" s="86"/>
      <c r="LQ27" s="86"/>
      <c r="LR27" s="86"/>
      <c r="LS27" s="86"/>
      <c r="LT27" s="86"/>
      <c r="LU27" s="86"/>
      <c r="LV27" s="86"/>
      <c r="LW27" s="86"/>
      <c r="LX27" s="86"/>
      <c r="LY27" s="86"/>
      <c r="LZ27" s="86"/>
      <c r="MA27" s="86"/>
      <c r="MB27" s="86"/>
      <c r="MC27" s="86"/>
      <c r="MD27" s="86"/>
      <c r="ME27" s="86"/>
      <c r="MF27" s="86"/>
      <c r="MG27" s="86"/>
      <c r="MH27" s="86"/>
      <c r="MI27" s="86"/>
      <c r="MJ27" s="86"/>
      <c r="MK27" s="86"/>
      <c r="ML27" s="86"/>
      <c r="MM27" s="86"/>
      <c r="MN27" s="86"/>
      <c r="MO27" s="86"/>
      <c r="MP27" s="86"/>
      <c r="MQ27" s="86"/>
      <c r="MR27" s="86"/>
      <c r="MS27" s="86"/>
      <c r="MT27" s="86"/>
      <c r="MU27" s="86"/>
      <c r="MV27" s="86"/>
      <c r="MW27" s="86"/>
      <c r="MX27" s="86"/>
      <c r="MY27" s="86"/>
      <c r="MZ27" s="86"/>
      <c r="NA27" s="86"/>
      <c r="NB27" s="86"/>
      <c r="NC27" s="86"/>
      <c r="ND27" s="86"/>
      <c r="NE27" s="86"/>
      <c r="NF27" s="86"/>
      <c r="NG27" s="86"/>
      <c r="NH27" s="86"/>
      <c r="NI27" s="86"/>
      <c r="NJ27" s="86"/>
      <c r="NK27" s="86"/>
      <c r="NL27" s="86"/>
      <c r="NM27" s="86"/>
      <c r="NN27" s="86"/>
      <c r="NO27" s="86"/>
      <c r="NP27" s="86"/>
      <c r="NQ27" s="86"/>
      <c r="NR27" s="86"/>
      <c r="NS27" s="86"/>
      <c r="NT27" s="86"/>
      <c r="NU27" s="86"/>
      <c r="NV27" s="86"/>
      <c r="NW27" s="86"/>
      <c r="NX27" s="86"/>
      <c r="NY27" s="86"/>
      <c r="NZ27" s="86"/>
      <c r="OA27" s="86"/>
      <c r="OB27" s="86"/>
      <c r="OC27" s="86"/>
      <c r="OD27" s="86"/>
      <c r="OE27" s="86"/>
      <c r="OF27" s="86"/>
      <c r="OG27" s="86"/>
      <c r="OH27" s="86"/>
      <c r="OI27" s="86"/>
      <c r="OJ27" s="86"/>
      <c r="OK27" s="86"/>
      <c r="OL27" s="86"/>
      <c r="OM27" s="86"/>
      <c r="ON27" s="86"/>
      <c r="OO27" s="86"/>
      <c r="OP27" s="86"/>
      <c r="OQ27" s="86"/>
      <c r="OR27" s="86"/>
      <c r="OS27" s="86"/>
      <c r="OT27" s="86"/>
      <c r="OU27" s="86"/>
      <c r="OV27" s="86"/>
      <c r="OW27" s="86"/>
      <c r="OX27" s="86"/>
      <c r="OY27" s="86"/>
      <c r="OZ27" s="86"/>
      <c r="PA27" s="86"/>
      <c r="PB27" s="86"/>
      <c r="PC27" s="86"/>
      <c r="PD27" s="86"/>
      <c r="PE27" s="86"/>
      <c r="PF27" s="86"/>
      <c r="PG27" s="86"/>
      <c r="PH27" s="86"/>
      <c r="PI27" s="86"/>
      <c r="PJ27" s="86"/>
      <c r="PK27" s="86"/>
      <c r="PL27" s="86"/>
      <c r="PM27" s="86"/>
      <c r="PN27" s="86"/>
      <c r="PO27" s="86"/>
      <c r="PP27" s="86"/>
      <c r="PQ27" s="86"/>
      <c r="PR27" s="86"/>
      <c r="PS27" s="86"/>
      <c r="PT27" s="86"/>
      <c r="PU27" s="86"/>
      <c r="PV27" s="86"/>
      <c r="PW27" s="86"/>
      <c r="PX27" s="86"/>
      <c r="PY27" s="86"/>
      <c r="PZ27" s="86"/>
      <c r="QA27" s="86"/>
      <c r="QB27" s="86"/>
      <c r="QC27" s="86"/>
      <c r="QD27" s="86"/>
      <c r="QE27" s="86"/>
      <c r="QF27" s="86"/>
      <c r="QG27" s="86"/>
      <c r="QH27" s="86"/>
      <c r="QI27" s="86"/>
      <c r="QJ27" s="86"/>
      <c r="QK27" s="86"/>
      <c r="QL27" s="86"/>
      <c r="QM27" s="86"/>
      <c r="QN27" s="86"/>
      <c r="QO27" s="86"/>
      <c r="QP27" s="86"/>
      <c r="QQ27" s="86"/>
      <c r="QR27" s="86"/>
      <c r="QS27" s="86"/>
      <c r="QT27" s="86"/>
      <c r="QU27" s="86"/>
      <c r="QV27" s="86"/>
      <c r="QW27" s="86"/>
      <c r="QX27" s="86"/>
      <c r="QY27" s="86"/>
      <c r="QZ27" s="86"/>
      <c r="RA27" s="86"/>
      <c r="RB27" s="86"/>
      <c r="RC27" s="86"/>
      <c r="RD27" s="86"/>
      <c r="RE27" s="86"/>
      <c r="RF27" s="86"/>
      <c r="RG27" s="86"/>
      <c r="RH27" s="86"/>
      <c r="RI27" s="86"/>
      <c r="RJ27" s="86"/>
      <c r="RK27" s="86"/>
      <c r="RL27" s="86"/>
      <c r="RM27" s="86"/>
      <c r="RN27" s="86"/>
      <c r="RO27" s="86"/>
      <c r="RP27" s="86"/>
      <c r="RQ27" s="86"/>
      <c r="RR27" s="86"/>
      <c r="RS27" s="86"/>
      <c r="RT27" s="86"/>
      <c r="RU27" s="86"/>
      <c r="RV27" s="86"/>
      <c r="RW27" s="86"/>
      <c r="RX27" s="86"/>
      <c r="RY27" s="86"/>
      <c r="RZ27" s="86"/>
      <c r="SA27" s="86"/>
      <c r="SB27" s="86"/>
      <c r="SC27" s="86"/>
      <c r="SD27" s="86"/>
      <c r="SE27" s="86"/>
      <c r="SF27" s="86"/>
      <c r="SG27" s="86"/>
      <c r="SH27" s="86"/>
      <c r="SI27" s="86"/>
      <c r="SJ27" s="86"/>
      <c r="SK27" s="86"/>
      <c r="SL27" s="86"/>
      <c r="SM27" s="86"/>
      <c r="SN27" s="86"/>
      <c r="SO27" s="86"/>
      <c r="SP27" s="86"/>
      <c r="SQ27" s="86"/>
      <c r="SR27" s="86"/>
      <c r="SS27" s="86"/>
      <c r="ST27" s="86"/>
      <c r="SU27" s="86"/>
      <c r="SV27" s="86"/>
      <c r="SW27" s="86"/>
      <c r="SX27" s="86"/>
      <c r="SY27" s="86"/>
      <c r="SZ27" s="86"/>
      <c r="TA27" s="86"/>
      <c r="TB27" s="86"/>
      <c r="TC27" s="86"/>
      <c r="TD27" s="86"/>
      <c r="TE27" s="86"/>
      <c r="TF27" s="86"/>
      <c r="TG27" s="86"/>
      <c r="TH27" s="86"/>
      <c r="TI27" s="86"/>
      <c r="TJ27" s="86"/>
      <c r="TK27" s="86"/>
      <c r="TL27" s="86"/>
      <c r="TM27" s="86"/>
      <c r="TN27" s="86"/>
      <c r="TO27" s="86"/>
      <c r="TP27" s="86"/>
      <c r="TQ27" s="86"/>
      <c r="TR27" s="86"/>
      <c r="TS27" s="86"/>
      <c r="TT27" s="86"/>
      <c r="TU27" s="86"/>
      <c r="TV27" s="86"/>
      <c r="TW27" s="86"/>
      <c r="TX27" s="86"/>
      <c r="TY27" s="86"/>
      <c r="TZ27" s="86"/>
      <c r="UA27" s="86"/>
      <c r="UB27" s="86"/>
      <c r="UC27" s="86"/>
      <c r="UD27" s="86"/>
      <c r="UE27" s="86"/>
      <c r="UF27" s="86"/>
      <c r="UG27" s="86"/>
      <c r="UH27" s="86"/>
      <c r="UI27" s="86"/>
      <c r="UJ27" s="86"/>
      <c r="UK27" s="86"/>
      <c r="UL27" s="86"/>
      <c r="UM27" s="86"/>
      <c r="UN27" s="86"/>
      <c r="UO27" s="86"/>
      <c r="UP27" s="86"/>
      <c r="UQ27" s="86"/>
      <c r="UR27" s="86"/>
      <c r="US27" s="86"/>
      <c r="UT27" s="86"/>
      <c r="UU27" s="86"/>
      <c r="UV27" s="86"/>
      <c r="UW27" s="86"/>
      <c r="UX27" s="86"/>
      <c r="UY27" s="86"/>
      <c r="UZ27" s="86"/>
      <c r="VA27" s="86"/>
      <c r="VB27" s="86"/>
      <c r="VC27" s="86"/>
      <c r="VD27" s="86"/>
      <c r="VE27" s="86"/>
      <c r="VF27" s="86"/>
      <c r="VG27" s="86"/>
      <c r="VH27" s="86"/>
      <c r="VI27" s="86"/>
      <c r="VJ27" s="86"/>
      <c r="VK27" s="86"/>
      <c r="VL27" s="86"/>
      <c r="VM27" s="86"/>
      <c r="VN27" s="86"/>
      <c r="VO27" s="86"/>
      <c r="VP27" s="86"/>
      <c r="VQ27" s="86"/>
      <c r="VR27" s="86"/>
      <c r="VS27" s="86"/>
      <c r="VT27" s="86"/>
      <c r="VU27" s="86"/>
      <c r="VV27" s="86"/>
      <c r="VW27" s="86"/>
      <c r="VX27" s="86"/>
      <c r="VY27" s="86"/>
      <c r="VZ27" s="86"/>
      <c r="WA27" s="86"/>
      <c r="WB27" s="86"/>
      <c r="WC27" s="86"/>
      <c r="WD27" s="86"/>
      <c r="WE27" s="86"/>
      <c r="WF27" s="86"/>
      <c r="WG27" s="86"/>
      <c r="WH27" s="86"/>
      <c r="WI27" s="86"/>
      <c r="WJ27" s="86"/>
      <c r="WK27" s="86"/>
      <c r="WL27" s="86"/>
      <c r="WM27" s="86"/>
      <c r="WN27" s="86"/>
      <c r="WO27" s="86"/>
      <c r="WP27" s="86"/>
      <c r="WQ27" s="86"/>
      <c r="WR27" s="86"/>
      <c r="WS27" s="86"/>
      <c r="WT27" s="86"/>
      <c r="WU27" s="86"/>
      <c r="WV27" s="86"/>
      <c r="WW27" s="86"/>
      <c r="WX27" s="86"/>
      <c r="WY27" s="86"/>
      <c r="WZ27" s="86"/>
      <c r="XA27" s="86"/>
      <c r="XB27" s="86"/>
      <c r="XC27" s="86"/>
      <c r="XD27" s="86"/>
      <c r="XE27" s="86"/>
      <c r="XF27" s="86"/>
      <c r="XG27" s="86"/>
      <c r="XH27" s="86"/>
      <c r="XI27" s="86"/>
      <c r="XJ27" s="86"/>
      <c r="XK27" s="86"/>
      <c r="XL27" s="86"/>
      <c r="XM27" s="86"/>
      <c r="XN27" s="86"/>
      <c r="XO27" s="86"/>
      <c r="XP27" s="86"/>
      <c r="XQ27" s="86"/>
      <c r="XR27" s="86"/>
      <c r="XS27" s="86"/>
      <c r="XT27" s="86"/>
      <c r="XU27" s="86"/>
      <c r="XV27" s="86"/>
      <c r="XW27" s="86"/>
      <c r="XX27" s="86"/>
      <c r="XY27" s="86"/>
      <c r="XZ27" s="86"/>
      <c r="YA27" s="86"/>
      <c r="YB27" s="86"/>
      <c r="YC27" s="86"/>
      <c r="YD27" s="86"/>
      <c r="YE27" s="86"/>
      <c r="YF27" s="86"/>
      <c r="YG27" s="86"/>
      <c r="YH27" s="86"/>
      <c r="YI27" s="86"/>
      <c r="YJ27" s="86"/>
      <c r="YK27" s="86"/>
      <c r="YL27" s="86"/>
      <c r="YM27" s="86"/>
      <c r="YN27" s="86"/>
      <c r="YO27" s="86"/>
      <c r="YP27" s="86"/>
      <c r="YQ27" s="86"/>
      <c r="YR27" s="86"/>
      <c r="YS27" s="86"/>
      <c r="YT27" s="86"/>
      <c r="YU27" s="86"/>
      <c r="YV27" s="86"/>
      <c r="YW27" s="86"/>
      <c r="YX27" s="86"/>
      <c r="YY27" s="86"/>
      <c r="YZ27" s="86"/>
      <c r="ZA27" s="86"/>
      <c r="ZB27" s="86"/>
      <c r="ZC27" s="86"/>
      <c r="ZD27" s="86"/>
      <c r="ZE27" s="86"/>
      <c r="ZF27" s="86"/>
      <c r="ZG27" s="86"/>
      <c r="ZH27" s="86"/>
      <c r="ZI27" s="86"/>
      <c r="ZJ27" s="86"/>
      <c r="ZK27" s="86"/>
      <c r="ZL27" s="86"/>
      <c r="ZM27" s="86"/>
      <c r="ZN27" s="86"/>
      <c r="ZO27" s="86"/>
      <c r="ZP27" s="86"/>
      <c r="ZQ27" s="86"/>
      <c r="ZR27" s="86"/>
      <c r="ZS27" s="86"/>
      <c r="ZT27" s="86"/>
      <c r="ZU27" s="86"/>
      <c r="ZV27" s="86"/>
      <c r="ZW27" s="86"/>
      <c r="ZX27" s="86"/>
      <c r="ZY27" s="86"/>
      <c r="ZZ27" s="86"/>
      <c r="AAA27" s="86"/>
      <c r="AAB27" s="86"/>
      <c r="AAC27" s="86"/>
      <c r="AAD27" s="86"/>
      <c r="AAE27" s="86"/>
      <c r="AAF27" s="86"/>
      <c r="AAG27" s="86"/>
      <c r="AAH27" s="86"/>
      <c r="AAI27" s="86"/>
      <c r="AAJ27" s="86"/>
      <c r="AAK27" s="86"/>
      <c r="AAL27" s="86"/>
      <c r="AAM27" s="86"/>
      <c r="AAN27" s="86"/>
      <c r="AAO27" s="86"/>
      <c r="AAP27" s="86"/>
      <c r="AAQ27" s="86"/>
      <c r="AAR27" s="86"/>
      <c r="AAS27" s="86"/>
      <c r="AAT27" s="86"/>
      <c r="AAU27" s="86"/>
      <c r="AAV27" s="86"/>
      <c r="AAW27" s="86"/>
      <c r="AAX27" s="86"/>
      <c r="AAY27" s="86"/>
      <c r="AAZ27" s="86"/>
      <c r="ABA27" s="86"/>
      <c r="ABB27" s="86"/>
      <c r="ABC27" s="86"/>
      <c r="ABD27" s="86"/>
      <c r="ABE27" s="86"/>
      <c r="ABF27" s="86"/>
      <c r="ABG27" s="86"/>
      <c r="ABH27" s="86"/>
      <c r="ABI27" s="86"/>
      <c r="ABJ27" s="86"/>
      <c r="ABK27" s="86"/>
      <c r="ABL27" s="86"/>
      <c r="ABM27" s="86"/>
      <c r="ABN27" s="86"/>
      <c r="ABO27" s="86"/>
      <c r="ABP27" s="86"/>
      <c r="ABQ27" s="86"/>
      <c r="ABR27" s="86"/>
      <c r="ABS27" s="86"/>
      <c r="ABT27" s="86"/>
      <c r="ABU27" s="86"/>
      <c r="ABV27" s="86"/>
      <c r="ABW27" s="86"/>
      <c r="ABX27" s="86"/>
      <c r="ABY27" s="86"/>
      <c r="ABZ27" s="86"/>
      <c r="ACA27" s="86"/>
      <c r="ACB27" s="86"/>
      <c r="ACC27" s="86"/>
      <c r="ACD27" s="86"/>
      <c r="ACE27" s="86"/>
      <c r="ACF27" s="86"/>
      <c r="ACG27" s="86"/>
      <c r="ACH27" s="86"/>
      <c r="ACI27" s="86"/>
      <c r="ACJ27" s="86"/>
      <c r="ACK27" s="86"/>
      <c r="ACL27" s="86"/>
      <c r="ACM27" s="86"/>
      <c r="ACN27" s="86"/>
      <c r="ACO27" s="86"/>
      <c r="ACP27" s="86"/>
      <c r="ACQ27" s="86"/>
      <c r="ACR27" s="86"/>
      <c r="ACS27" s="86"/>
      <c r="ACT27" s="86"/>
      <c r="ACU27" s="86"/>
      <c r="ACV27" s="86"/>
      <c r="ACW27" s="86"/>
      <c r="ACX27" s="86"/>
      <c r="ACY27" s="86"/>
      <c r="ACZ27" s="86"/>
      <c r="ADA27" s="86"/>
      <c r="ADB27" s="86"/>
      <c r="ADC27" s="86"/>
      <c r="ADD27" s="86"/>
      <c r="ADE27" s="86"/>
      <c r="ADF27" s="86"/>
      <c r="ADG27" s="86"/>
      <c r="ADH27" s="86"/>
      <c r="ADI27" s="86"/>
      <c r="ADJ27" s="86"/>
      <c r="ADK27" s="86"/>
      <c r="ADL27" s="86"/>
      <c r="ADM27" s="86"/>
      <c r="ADN27" s="86"/>
      <c r="ADO27" s="86"/>
      <c r="ADP27" s="86"/>
      <c r="ADQ27" s="86"/>
      <c r="ADR27" s="86"/>
      <c r="ADS27" s="86"/>
      <c r="ADT27" s="86"/>
      <c r="ADU27" s="86"/>
      <c r="ADV27" s="86"/>
      <c r="ADW27" s="86"/>
      <c r="ADX27" s="86"/>
      <c r="ADY27" s="86"/>
      <c r="ADZ27" s="86"/>
      <c r="AEA27" s="86"/>
      <c r="AEB27" s="86"/>
      <c r="AEC27" s="86"/>
      <c r="AED27" s="86"/>
      <c r="AEE27" s="86"/>
      <c r="AEF27" s="86"/>
      <c r="AEG27" s="86"/>
      <c r="AEH27" s="86"/>
      <c r="AEI27" s="86"/>
      <c r="AEJ27" s="86"/>
      <c r="AEK27" s="86"/>
      <c r="AEL27" s="86"/>
      <c r="AEM27" s="86"/>
      <c r="AEN27" s="86"/>
      <c r="AEO27" s="86"/>
      <c r="AEP27" s="86"/>
      <c r="AEQ27" s="86"/>
      <c r="AER27" s="86"/>
      <c r="AES27" s="86"/>
      <c r="AET27" s="86"/>
      <c r="AEU27" s="86"/>
      <c r="AEV27" s="86"/>
      <c r="AEW27" s="86"/>
      <c r="AEX27" s="86"/>
      <c r="AEY27" s="86"/>
      <c r="AEZ27" s="86"/>
      <c r="AFA27" s="86"/>
      <c r="AFB27" s="86"/>
      <c r="AFC27" s="86"/>
      <c r="AFD27" s="86"/>
      <c r="AFE27" s="86"/>
      <c r="AFF27" s="86"/>
      <c r="AFG27" s="86"/>
      <c r="AFH27" s="86"/>
      <c r="AFI27" s="86"/>
      <c r="AFJ27" s="86"/>
      <c r="AFK27" s="86"/>
      <c r="AFL27" s="86"/>
      <c r="AFM27" s="86"/>
      <c r="AFN27" s="86"/>
      <c r="AFO27" s="86"/>
      <c r="AFP27" s="86"/>
      <c r="AFQ27" s="86"/>
      <c r="AFR27" s="86"/>
      <c r="AFS27" s="86"/>
      <c r="AFT27" s="86"/>
      <c r="AFU27" s="86"/>
      <c r="AFV27" s="86"/>
      <c r="AFW27" s="86"/>
      <c r="AFX27" s="86"/>
      <c r="AFY27" s="86"/>
      <c r="AFZ27" s="86"/>
      <c r="AGA27" s="86"/>
      <c r="AGB27" s="86"/>
      <c r="AGC27" s="86"/>
      <c r="AGD27" s="86"/>
      <c r="AGE27" s="86"/>
      <c r="AGF27" s="86"/>
      <c r="AGG27" s="86"/>
      <c r="AGH27" s="86"/>
      <c r="AGI27" s="86"/>
      <c r="AGJ27" s="86"/>
      <c r="AGK27" s="86"/>
      <c r="AGL27" s="86"/>
      <c r="AGM27" s="86"/>
      <c r="AGN27" s="86"/>
      <c r="AGO27" s="86"/>
      <c r="AGP27" s="86"/>
      <c r="AGQ27" s="86"/>
      <c r="AGR27" s="86"/>
      <c r="AGS27" s="86"/>
      <c r="AGT27" s="86"/>
      <c r="AGU27" s="86"/>
      <c r="AGV27" s="86"/>
      <c r="AGW27" s="86"/>
      <c r="AGX27" s="86"/>
      <c r="AGY27" s="86"/>
      <c r="AGZ27" s="86"/>
      <c r="AHA27" s="86"/>
      <c r="AHB27" s="86"/>
      <c r="AHC27" s="86"/>
      <c r="AHD27" s="86"/>
      <c r="AHE27" s="86"/>
      <c r="AHF27" s="86"/>
      <c r="AHG27" s="86"/>
      <c r="AHH27" s="86"/>
      <c r="AHI27" s="86"/>
      <c r="AHJ27" s="86"/>
      <c r="AHK27" s="86"/>
      <c r="AHL27" s="86"/>
      <c r="AHM27" s="86"/>
      <c r="AHN27" s="86"/>
      <c r="AHO27" s="86"/>
      <c r="AHP27" s="86"/>
      <c r="AHQ27" s="86"/>
      <c r="AHR27" s="86"/>
      <c r="AHS27" s="86"/>
      <c r="AHT27" s="86"/>
      <c r="AHU27" s="86"/>
      <c r="AHV27" s="86"/>
      <c r="AHW27" s="86"/>
      <c r="AHX27" s="86"/>
      <c r="AHY27" s="86"/>
      <c r="AHZ27" s="86"/>
      <c r="AIA27" s="86"/>
      <c r="AIB27" s="86"/>
      <c r="AIC27" s="86"/>
      <c r="AID27" s="86"/>
      <c r="AIE27" s="86"/>
      <c r="AIF27" s="86"/>
      <c r="AIG27" s="86"/>
      <c r="AIH27" s="86"/>
      <c r="AII27" s="86"/>
      <c r="AIJ27" s="86"/>
      <c r="AIK27" s="86"/>
      <c r="AIL27" s="86"/>
      <c r="AIM27" s="86"/>
      <c r="AIN27" s="86"/>
      <c r="AIO27" s="86"/>
      <c r="AIP27" s="86"/>
      <c r="AIQ27" s="86"/>
      <c r="AIR27" s="86"/>
      <c r="AIS27" s="86"/>
      <c r="AIT27" s="86"/>
      <c r="AIU27" s="86"/>
      <c r="AIV27" s="86"/>
      <c r="AIW27" s="86"/>
      <c r="AIX27" s="86"/>
      <c r="AIY27" s="86"/>
      <c r="AIZ27" s="86"/>
      <c r="AJA27" s="86"/>
      <c r="AJB27" s="86"/>
      <c r="AJC27" s="86"/>
      <c r="AJD27" s="86"/>
      <c r="AJE27" s="86"/>
      <c r="AJF27" s="86"/>
      <c r="AJG27" s="86"/>
      <c r="AJH27" s="86"/>
      <c r="AJI27" s="86"/>
      <c r="AJJ27" s="86"/>
      <c r="AJK27" s="86"/>
      <c r="AJL27" s="86"/>
      <c r="AJM27" s="86"/>
      <c r="AJN27" s="86"/>
      <c r="AJO27" s="86"/>
      <c r="AJP27" s="86"/>
      <c r="AJQ27" s="86"/>
      <c r="AJR27" s="86"/>
      <c r="AJS27" s="86"/>
      <c r="AJT27" s="86"/>
      <c r="AJU27" s="86"/>
      <c r="AJV27" s="86"/>
      <c r="AJW27" s="86"/>
      <c r="AJX27" s="86"/>
      <c r="AJY27" s="86"/>
      <c r="AJZ27" s="86"/>
      <c r="AKA27" s="86"/>
      <c r="AKB27" s="86"/>
      <c r="AKC27" s="86"/>
      <c r="AKD27" s="86"/>
      <c r="AKE27" s="86"/>
      <c r="AKF27" s="86"/>
      <c r="AKG27" s="86"/>
      <c r="AKH27" s="86"/>
      <c r="AKI27" s="86"/>
      <c r="AKJ27" s="86"/>
      <c r="AKK27" s="86"/>
      <c r="AKL27" s="86"/>
      <c r="AKM27" s="86"/>
      <c r="AKN27" s="86"/>
      <c r="AKO27" s="86"/>
      <c r="AKP27" s="86"/>
      <c r="AKQ27" s="86"/>
      <c r="AKR27" s="86"/>
      <c r="AKS27" s="86"/>
      <c r="AKT27" s="86"/>
      <c r="AKU27" s="86"/>
      <c r="AKV27" s="86"/>
      <c r="AKW27" s="86"/>
      <c r="AKX27" s="86"/>
      <c r="AKY27" s="86"/>
      <c r="AKZ27" s="86"/>
      <c r="ALA27" s="86"/>
      <c r="ALB27" s="86"/>
      <c r="ALC27" s="86"/>
      <c r="ALD27" s="86"/>
      <c r="ALE27" s="86"/>
      <c r="ALF27" s="86"/>
      <c r="ALG27" s="86"/>
      <c r="ALH27" s="86"/>
      <c r="ALI27" s="86"/>
      <c r="ALJ27" s="86"/>
      <c r="ALK27" s="86"/>
      <c r="ALL27" s="86"/>
      <c r="ALM27" s="86"/>
      <c r="ALN27" s="86"/>
      <c r="ALO27" s="86"/>
      <c r="ALP27" s="86"/>
      <c r="ALQ27" s="86"/>
      <c r="ALR27" s="86"/>
      <c r="ALS27" s="86"/>
      <c r="ALT27" s="86"/>
      <c r="ALU27" s="86"/>
      <c r="ALV27" s="86"/>
      <c r="ALW27" s="86"/>
      <c r="ALX27" s="86"/>
      <c r="ALY27" s="86"/>
      <c r="ALZ27" s="86"/>
      <c r="AMA27" s="86"/>
      <c r="AMB27" s="86"/>
      <c r="AMC27" s="86"/>
      <c r="AMD27" s="86"/>
      <c r="AME27" s="86"/>
      <c r="AMF27" s="86"/>
      <c r="AMG27" s="86"/>
      <c r="AMH27" s="86"/>
      <c r="AMI27" s="86"/>
      <c r="AMJ27" s="86"/>
      <c r="AMK27" s="86"/>
      <c r="AML27" s="86"/>
      <c r="AMM27" s="86"/>
      <c r="AMN27" s="86"/>
      <c r="AMO27" s="86"/>
      <c r="AMP27" s="86"/>
      <c r="AMQ27" s="86"/>
      <c r="AMR27" s="86"/>
      <c r="AMS27" s="86"/>
      <c r="AMT27" s="86"/>
      <c r="AMU27" s="86"/>
      <c r="AMV27" s="86"/>
      <c r="AMW27" s="86"/>
      <c r="AMX27" s="86"/>
      <c r="AMY27" s="86"/>
      <c r="AMZ27" s="86"/>
      <c r="ANA27" s="86"/>
      <c r="ANB27" s="86"/>
      <c r="ANC27" s="86"/>
      <c r="AND27" s="86"/>
      <c r="ANE27" s="86"/>
      <c r="ANF27" s="86"/>
      <c r="ANG27" s="86"/>
      <c r="ANH27" s="86"/>
      <c r="ANI27" s="86"/>
      <c r="ANJ27" s="86"/>
      <c r="ANK27" s="86"/>
      <c r="ANL27" s="86"/>
      <c r="ANM27" s="86"/>
      <c r="ANN27" s="86"/>
      <c r="ANO27" s="86"/>
      <c r="ANP27" s="86"/>
      <c r="ANQ27" s="86"/>
      <c r="ANR27" s="86"/>
      <c r="ANS27" s="86"/>
      <c r="ANT27" s="86"/>
      <c r="ANU27" s="86"/>
      <c r="ANV27" s="86"/>
      <c r="ANW27" s="86"/>
      <c r="ANX27" s="86"/>
      <c r="ANY27" s="86"/>
      <c r="ANZ27" s="86"/>
      <c r="AOA27" s="86"/>
      <c r="AOB27" s="86"/>
      <c r="AOC27" s="86"/>
      <c r="AOD27" s="86"/>
      <c r="AOE27" s="86"/>
      <c r="AOF27" s="86"/>
      <c r="AOG27" s="86"/>
      <c r="AOH27" s="86"/>
      <c r="AOI27" s="86"/>
      <c r="AOJ27" s="86"/>
      <c r="AOK27" s="86"/>
      <c r="AOL27" s="86"/>
      <c r="AOM27" s="86"/>
      <c r="AON27" s="86"/>
      <c r="AOO27" s="86"/>
      <c r="AOP27" s="86"/>
      <c r="AOQ27" s="86"/>
      <c r="AOR27" s="86"/>
      <c r="AOS27" s="86"/>
      <c r="AOT27" s="86"/>
      <c r="AOU27" s="86"/>
      <c r="AOV27" s="86"/>
      <c r="AOW27" s="86"/>
      <c r="AOX27" s="86"/>
      <c r="AOY27" s="86"/>
      <c r="AOZ27" s="86"/>
      <c r="APA27" s="86"/>
      <c r="APB27" s="86"/>
      <c r="APC27" s="86"/>
      <c r="APD27" s="86"/>
      <c r="APE27" s="86"/>
      <c r="APF27" s="86"/>
      <c r="APG27" s="86"/>
      <c r="APH27" s="86"/>
      <c r="API27" s="86"/>
      <c r="APJ27" s="86"/>
      <c r="APK27" s="86"/>
      <c r="APL27" s="86"/>
      <c r="APM27" s="86"/>
      <c r="APN27" s="86"/>
      <c r="APO27" s="86"/>
      <c r="APP27" s="86"/>
      <c r="APQ27" s="86"/>
      <c r="APR27" s="86"/>
      <c r="APS27" s="86"/>
      <c r="APT27" s="86"/>
      <c r="APU27" s="86"/>
      <c r="APV27" s="86"/>
      <c r="APW27" s="86"/>
      <c r="APX27" s="86"/>
      <c r="APY27" s="86"/>
      <c r="APZ27" s="86"/>
      <c r="AQA27" s="86"/>
      <c r="AQB27" s="86"/>
      <c r="AQC27" s="86"/>
      <c r="AQD27" s="86"/>
      <c r="AQE27" s="86"/>
      <c r="AQF27" s="86"/>
      <c r="AQG27" s="86"/>
      <c r="AQH27" s="86"/>
      <c r="AQI27" s="86"/>
      <c r="AQJ27" s="86"/>
      <c r="AQK27" s="86"/>
      <c r="AQL27" s="86"/>
      <c r="AQM27" s="86"/>
      <c r="AQN27" s="86"/>
      <c r="AQO27" s="86"/>
      <c r="AQP27" s="86"/>
      <c r="AQQ27" s="86"/>
      <c r="AQR27" s="86"/>
      <c r="AQS27" s="86"/>
      <c r="AQT27" s="86"/>
      <c r="AQU27" s="86"/>
      <c r="AQV27" s="86"/>
      <c r="AQW27" s="86"/>
      <c r="AQX27" s="86"/>
      <c r="AQY27" s="86"/>
      <c r="AQZ27" s="86"/>
      <c r="ARA27" s="86"/>
      <c r="ARB27" s="86"/>
      <c r="ARC27" s="86"/>
      <c r="ARD27" s="86"/>
      <c r="ARE27" s="86"/>
      <c r="ARF27" s="86"/>
      <c r="ARG27" s="86"/>
      <c r="ARH27" s="86"/>
      <c r="ARI27" s="86"/>
      <c r="ARJ27" s="86"/>
      <c r="ARK27" s="86"/>
      <c r="ARL27" s="86"/>
      <c r="ARM27" s="86"/>
      <c r="ARN27" s="86"/>
      <c r="ARO27" s="86"/>
      <c r="ARP27" s="86"/>
      <c r="ARQ27" s="86"/>
      <c r="ARR27" s="86"/>
      <c r="ARS27" s="86"/>
      <c r="ART27" s="86"/>
      <c r="ARU27" s="86"/>
      <c r="ARV27" s="86"/>
      <c r="ARW27" s="86"/>
      <c r="ARX27" s="86"/>
      <c r="ARY27" s="86"/>
      <c r="ARZ27" s="86"/>
      <c r="ASA27" s="86"/>
      <c r="ASB27" s="86"/>
      <c r="ASC27" s="86"/>
      <c r="ASD27" s="86"/>
      <c r="ASE27" s="86"/>
      <c r="ASF27" s="86"/>
      <c r="ASG27" s="86"/>
      <c r="ASH27" s="86"/>
      <c r="ASI27" s="86"/>
      <c r="ASJ27" s="86"/>
      <c r="ASK27" s="86"/>
      <c r="ASL27" s="86"/>
      <c r="ASM27" s="86"/>
      <c r="ASN27" s="86"/>
      <c r="ASO27" s="86"/>
      <c r="ASP27" s="86"/>
      <c r="ASQ27" s="86"/>
      <c r="ASR27" s="86"/>
      <c r="ASS27" s="86"/>
      <c r="AST27" s="86"/>
      <c r="ASU27" s="86"/>
      <c r="ASV27" s="86"/>
      <c r="ASW27" s="86"/>
      <c r="ASX27" s="86"/>
      <c r="ASY27" s="86"/>
      <c r="ASZ27" s="86"/>
      <c r="ATA27" s="86"/>
      <c r="ATB27" s="86"/>
      <c r="ATC27" s="86"/>
      <c r="ATD27" s="86"/>
      <c r="ATE27" s="86"/>
      <c r="ATF27" s="86"/>
      <c r="ATG27" s="86"/>
      <c r="ATH27" s="86"/>
      <c r="ATI27" s="86"/>
      <c r="ATJ27" s="86"/>
      <c r="ATK27" s="86"/>
      <c r="ATL27" s="86"/>
      <c r="ATM27" s="86"/>
      <c r="ATN27" s="86"/>
      <c r="ATO27" s="86"/>
      <c r="ATP27" s="86"/>
      <c r="ATQ27" s="86"/>
      <c r="ATR27" s="86"/>
      <c r="ATS27" s="86"/>
      <c r="ATT27" s="86"/>
      <c r="ATU27" s="86"/>
      <c r="ATV27" s="86"/>
      <c r="ATW27" s="86"/>
      <c r="ATX27" s="86"/>
      <c r="ATY27" s="86"/>
      <c r="ATZ27" s="86"/>
      <c r="AUA27" s="86"/>
      <c r="AUB27" s="86"/>
      <c r="AUC27" s="86"/>
      <c r="AUD27" s="86"/>
      <c r="AUE27" s="86"/>
      <c r="AUF27" s="86"/>
      <c r="AUG27" s="86"/>
      <c r="AUH27" s="86"/>
      <c r="AUI27" s="86"/>
      <c r="AUJ27" s="86"/>
      <c r="AUK27" s="86"/>
      <c r="AUL27" s="86"/>
      <c r="AUM27" s="86"/>
      <c r="AUN27" s="86"/>
      <c r="AUO27" s="86"/>
      <c r="AUP27" s="86"/>
      <c r="AUQ27" s="86"/>
      <c r="AUR27" s="86"/>
      <c r="AUS27" s="86"/>
      <c r="AUT27" s="86"/>
      <c r="AUU27" s="86"/>
      <c r="AUV27" s="86"/>
      <c r="AUW27" s="86"/>
      <c r="AUX27" s="86"/>
      <c r="AUY27" s="86"/>
      <c r="AUZ27" s="86"/>
      <c r="AVA27" s="86"/>
      <c r="AVB27" s="86"/>
    </row>
    <row r="28" spans="1:1253">
      <c r="B28" s="85"/>
      <c r="C28" s="85"/>
      <c r="D28" s="85"/>
      <c r="E28" s="85"/>
      <c r="F28" s="85"/>
      <c r="G28" s="85"/>
      <c r="H28" s="85"/>
      <c r="I28" s="85"/>
      <c r="J28" s="85"/>
      <c r="K28" s="85"/>
      <c r="L28" s="85"/>
      <c r="M28" s="85"/>
      <c r="S28" s="85"/>
      <c r="T28" s="85"/>
      <c r="U28" s="85"/>
      <c r="V28" s="85"/>
      <c r="W28" s="85"/>
      <c r="X28" s="85"/>
      <c r="Y28" s="85"/>
      <c r="Z28" s="85"/>
      <c r="AA28" s="85"/>
      <c r="AB28" s="85"/>
      <c r="AC28" s="85"/>
      <c r="AD28" s="85"/>
      <c r="AE28" s="85"/>
      <c r="AF28" s="85"/>
      <c r="AG28" s="85"/>
      <c r="AH28" s="85"/>
      <c r="AI28" s="85"/>
      <c r="AJ28" s="85"/>
      <c r="AK28" s="85"/>
      <c r="AL28" s="85"/>
      <c r="AM28" s="85"/>
      <c r="AN28" s="85"/>
      <c r="AO28" s="85"/>
      <c r="AP28" s="85"/>
      <c r="AQ28" s="85"/>
      <c r="AR28" s="85"/>
      <c r="AS28" s="85"/>
      <c r="AT28" s="85"/>
      <c r="AU28" s="85"/>
      <c r="AV28" s="85"/>
      <c r="AW28" s="85"/>
      <c r="AX28" s="85"/>
      <c r="AY28" s="85"/>
      <c r="AZ28" s="85"/>
      <c r="BA28" s="85"/>
      <c r="BB28" s="85"/>
      <c r="BC28" s="85"/>
      <c r="BD28" s="85"/>
      <c r="BE28" s="85"/>
      <c r="BF28" s="85"/>
      <c r="BG28" s="85"/>
      <c r="BH28" s="85"/>
      <c r="BI28" s="85"/>
      <c r="BJ28" s="85"/>
      <c r="BK28" s="85"/>
      <c r="BL28" s="85"/>
      <c r="BM28" s="85"/>
      <c r="BN28" s="85"/>
      <c r="BO28" s="85"/>
      <c r="BP28" s="85"/>
      <c r="BQ28" s="85"/>
      <c r="BR28" s="85"/>
      <c r="BS28" s="85"/>
      <c r="BT28" s="85"/>
      <c r="BU28" s="85"/>
      <c r="BV28" s="85"/>
      <c r="BW28" s="85"/>
      <c r="BX28" s="85"/>
      <c r="BY28" s="85"/>
      <c r="BZ28" s="85"/>
      <c r="CA28" s="85"/>
      <c r="CB28" s="85"/>
      <c r="CC28" s="85"/>
      <c r="CD28" s="85"/>
      <c r="CE28" s="85"/>
      <c r="CF28" s="85"/>
      <c r="CG28" s="85"/>
      <c r="CH28" s="85"/>
      <c r="CI28" s="85"/>
      <c r="CJ28" s="85"/>
      <c r="CK28" s="85"/>
      <c r="CL28" s="85"/>
      <c r="CM28" s="85"/>
      <c r="CN28" s="85"/>
      <c r="CO28" s="85"/>
      <c r="CP28" s="85"/>
      <c r="CQ28" s="85"/>
      <c r="CR28" s="85"/>
      <c r="CS28" s="85"/>
      <c r="CT28" s="85"/>
      <c r="CU28" s="85"/>
      <c r="CV28" s="85"/>
      <c r="CW28" s="85"/>
      <c r="CX28" s="85"/>
      <c r="CY28" s="85"/>
      <c r="CZ28" s="85"/>
      <c r="DA28" s="85"/>
      <c r="DB28" s="85"/>
      <c r="DC28" s="85"/>
      <c r="DD28" s="85"/>
      <c r="DE28" s="85"/>
      <c r="DF28" s="85"/>
      <c r="DG28" s="85"/>
      <c r="DH28" s="85"/>
      <c r="DI28" s="85"/>
      <c r="DJ28" s="85"/>
      <c r="DK28" s="85"/>
      <c r="DL28" s="85"/>
      <c r="DM28" s="85"/>
      <c r="DN28" s="85"/>
      <c r="DO28" s="85"/>
      <c r="DP28" s="85"/>
      <c r="DQ28" s="85"/>
      <c r="DR28" s="85"/>
      <c r="DS28" s="85"/>
      <c r="DT28" s="85"/>
      <c r="DU28" s="85"/>
      <c r="DV28" s="85"/>
      <c r="DW28" s="85"/>
      <c r="DX28" s="85"/>
      <c r="DY28" s="85"/>
      <c r="DZ28" s="85"/>
      <c r="EA28" s="85"/>
      <c r="EB28" s="85"/>
      <c r="EC28" s="85"/>
      <c r="ED28" s="85"/>
      <c r="EE28" s="85"/>
      <c r="EF28" s="85"/>
      <c r="EG28" s="85"/>
      <c r="EH28" s="85"/>
      <c r="EI28" s="85"/>
      <c r="EJ28" s="85"/>
      <c r="EK28" s="85"/>
      <c r="EL28" s="85"/>
      <c r="EM28" s="85"/>
      <c r="EN28" s="85"/>
      <c r="EO28" s="85"/>
      <c r="EP28" s="85"/>
      <c r="EQ28" s="85"/>
      <c r="ER28" s="85"/>
      <c r="ES28" s="85"/>
      <c r="ET28" s="85"/>
      <c r="EU28" s="85"/>
      <c r="EV28" s="85"/>
      <c r="EW28" s="85"/>
      <c r="EX28" s="85"/>
      <c r="EY28" s="85"/>
      <c r="EZ28" s="85"/>
      <c r="FA28" s="85"/>
      <c r="FB28" s="85"/>
      <c r="FC28" s="85"/>
      <c r="FD28" s="85"/>
      <c r="FE28" s="85"/>
      <c r="FF28" s="85"/>
      <c r="FG28" s="85"/>
      <c r="FH28" s="85"/>
      <c r="FI28" s="85"/>
      <c r="FJ28" s="85"/>
      <c r="FK28" s="85"/>
      <c r="FL28" s="85"/>
      <c r="FM28" s="85"/>
      <c r="FN28" s="85"/>
      <c r="FO28" s="85"/>
      <c r="FP28" s="85"/>
      <c r="FQ28" s="85"/>
      <c r="FR28" s="85"/>
      <c r="FS28" s="85"/>
      <c r="FT28" s="85"/>
      <c r="FU28" s="85"/>
      <c r="FV28" s="85"/>
      <c r="FW28" s="85"/>
      <c r="FX28" s="85"/>
      <c r="FY28" s="85"/>
      <c r="FZ28" s="85"/>
      <c r="GA28" s="85"/>
      <c r="GB28" s="85"/>
      <c r="GC28" s="85"/>
      <c r="GD28" s="85"/>
      <c r="GE28" s="85"/>
      <c r="GF28" s="85"/>
      <c r="GG28" s="85"/>
      <c r="GH28" s="85"/>
      <c r="GI28" s="85"/>
      <c r="GJ28" s="85"/>
      <c r="GK28" s="85"/>
      <c r="GL28" s="85"/>
      <c r="GM28" s="85"/>
      <c r="GN28" s="85"/>
      <c r="GO28" s="85"/>
      <c r="GP28" s="85"/>
      <c r="GQ28" s="85"/>
      <c r="GR28" s="85"/>
      <c r="GS28" s="85"/>
      <c r="GT28" s="85"/>
      <c r="GU28" s="85"/>
      <c r="GV28" s="85"/>
      <c r="GW28" s="85"/>
      <c r="GX28" s="85"/>
      <c r="GY28" s="85"/>
      <c r="GZ28" s="85"/>
      <c r="HA28" s="85"/>
      <c r="HB28" s="85"/>
      <c r="HC28" s="85"/>
      <c r="HD28" s="85"/>
      <c r="HE28" s="85"/>
      <c r="HF28" s="85"/>
      <c r="HG28" s="85"/>
      <c r="HH28" s="85"/>
      <c r="HI28" s="85"/>
      <c r="HJ28" s="85"/>
      <c r="HK28" s="85"/>
      <c r="HL28" s="85"/>
      <c r="HM28" s="85"/>
      <c r="HN28" s="85"/>
      <c r="HO28" s="85"/>
      <c r="HP28" s="85"/>
      <c r="HQ28" s="85"/>
      <c r="HR28" s="85"/>
      <c r="HS28" s="85"/>
      <c r="HT28" s="85"/>
      <c r="HU28" s="85"/>
      <c r="HV28" s="85"/>
      <c r="HW28" s="85"/>
      <c r="HX28" s="85"/>
      <c r="HY28" s="85"/>
      <c r="HZ28" s="85"/>
      <c r="IA28" s="85"/>
      <c r="IB28" s="85"/>
      <c r="IC28" s="85"/>
      <c r="ID28" s="85"/>
      <c r="IE28" s="85"/>
      <c r="IF28" s="85"/>
      <c r="IG28" s="85"/>
      <c r="IH28" s="85"/>
      <c r="II28" s="85"/>
      <c r="IJ28" s="85"/>
      <c r="IK28" s="85"/>
      <c r="IL28" s="85"/>
      <c r="IM28" s="85"/>
      <c r="IN28" s="85"/>
      <c r="IO28" s="85"/>
      <c r="IP28" s="85"/>
      <c r="IQ28" s="85"/>
      <c r="IR28" s="85"/>
      <c r="IS28" s="85"/>
      <c r="IT28" s="85"/>
      <c r="IU28" s="85"/>
      <c r="IV28" s="85"/>
      <c r="IW28" s="85"/>
      <c r="IX28" s="85"/>
      <c r="IY28" s="85"/>
      <c r="IZ28" s="85"/>
      <c r="JA28" s="85"/>
      <c r="JB28" s="85"/>
      <c r="JC28" s="85"/>
      <c r="JD28" s="85"/>
      <c r="JE28" s="85"/>
      <c r="JF28" s="85"/>
      <c r="JG28" s="85"/>
      <c r="JH28" s="85"/>
      <c r="JI28" s="85"/>
      <c r="JJ28" s="85"/>
      <c r="JK28" s="85"/>
      <c r="JL28" s="85"/>
      <c r="JM28" s="85"/>
      <c r="JN28" s="85"/>
      <c r="JO28" s="85"/>
      <c r="JP28" s="85"/>
      <c r="JQ28" s="85"/>
      <c r="JR28" s="85"/>
      <c r="JS28" s="85"/>
      <c r="JT28" s="85"/>
      <c r="JU28" s="85"/>
      <c r="JV28" s="85"/>
      <c r="JW28" s="85"/>
      <c r="JX28" s="85"/>
      <c r="JY28" s="85"/>
      <c r="JZ28" s="85"/>
      <c r="KA28" s="85"/>
      <c r="KB28" s="85"/>
      <c r="KC28" s="85"/>
      <c r="KD28" s="85"/>
      <c r="KE28" s="85"/>
      <c r="KF28" s="85"/>
      <c r="KG28" s="85"/>
      <c r="KH28" s="85"/>
      <c r="KI28" s="85"/>
      <c r="KJ28" s="85"/>
      <c r="KK28" s="85"/>
      <c r="KL28" s="85"/>
      <c r="KM28" s="85"/>
      <c r="KN28" s="85"/>
      <c r="KO28" s="85"/>
      <c r="KP28" s="85"/>
      <c r="KQ28" s="85"/>
      <c r="KR28" s="85"/>
      <c r="KS28" s="85"/>
      <c r="KT28" s="85"/>
      <c r="KU28" s="85"/>
      <c r="KV28" s="85"/>
      <c r="KW28" s="85"/>
      <c r="KX28" s="85"/>
      <c r="KY28" s="85"/>
      <c r="KZ28" s="85"/>
      <c r="LA28" s="85"/>
      <c r="LB28" s="85"/>
      <c r="LC28" s="85"/>
      <c r="LD28" s="85"/>
      <c r="LE28" s="85"/>
      <c r="LF28" s="85"/>
      <c r="LG28" s="85"/>
      <c r="LH28" s="85"/>
      <c r="LI28" s="85"/>
      <c r="LJ28" s="85"/>
      <c r="LK28" s="85"/>
      <c r="LL28" s="85"/>
      <c r="LM28" s="85"/>
      <c r="LN28" s="85"/>
      <c r="LO28" s="85"/>
      <c r="LP28" s="85"/>
      <c r="LQ28" s="85"/>
      <c r="LR28" s="85"/>
      <c r="LS28" s="85"/>
      <c r="LT28" s="85"/>
      <c r="LU28" s="85"/>
      <c r="LV28" s="85"/>
      <c r="LW28" s="85"/>
      <c r="LX28" s="85"/>
      <c r="LY28" s="85"/>
      <c r="LZ28" s="85"/>
      <c r="MA28" s="85"/>
      <c r="MB28" s="85"/>
      <c r="MC28" s="85"/>
      <c r="MD28" s="85"/>
      <c r="ME28" s="85"/>
      <c r="MF28" s="85"/>
      <c r="MG28" s="85"/>
      <c r="MH28" s="85"/>
      <c r="MI28" s="85"/>
      <c r="MJ28" s="85"/>
      <c r="MK28" s="85"/>
      <c r="ML28" s="85"/>
      <c r="MM28" s="85"/>
      <c r="MN28" s="85"/>
      <c r="MO28" s="85"/>
      <c r="MP28" s="85"/>
      <c r="MQ28" s="85"/>
      <c r="MR28" s="85"/>
      <c r="MS28" s="85"/>
      <c r="MT28" s="85"/>
      <c r="MU28" s="85"/>
      <c r="MV28" s="85"/>
      <c r="MW28" s="85"/>
      <c r="MX28" s="85"/>
      <c r="MY28" s="85"/>
      <c r="MZ28" s="85"/>
      <c r="NA28" s="85"/>
      <c r="NB28" s="85"/>
      <c r="NC28" s="85"/>
      <c r="ND28" s="85"/>
      <c r="NE28" s="85"/>
      <c r="NF28" s="85"/>
      <c r="NG28" s="85"/>
      <c r="NH28" s="85"/>
      <c r="NI28" s="85"/>
      <c r="NJ28" s="85"/>
      <c r="NK28" s="85"/>
      <c r="NL28" s="85"/>
      <c r="NM28" s="85"/>
      <c r="NN28" s="85"/>
      <c r="NO28" s="85"/>
      <c r="NP28" s="85"/>
      <c r="NQ28" s="85"/>
      <c r="NR28" s="85"/>
      <c r="NS28" s="85"/>
      <c r="NT28" s="85"/>
      <c r="NU28" s="85"/>
      <c r="NV28" s="85"/>
      <c r="NW28" s="85"/>
      <c r="NX28" s="85"/>
      <c r="NY28" s="85"/>
      <c r="NZ28" s="85"/>
      <c r="OA28" s="85"/>
      <c r="OB28" s="85"/>
      <c r="OC28" s="85"/>
      <c r="OD28" s="85"/>
      <c r="OE28" s="85"/>
      <c r="OF28" s="85"/>
      <c r="OG28" s="85"/>
      <c r="OH28" s="85"/>
      <c r="OI28" s="85"/>
      <c r="OJ28" s="85"/>
      <c r="OK28" s="85"/>
      <c r="OL28" s="85"/>
      <c r="OM28" s="85"/>
      <c r="ON28" s="85"/>
      <c r="OO28" s="85"/>
      <c r="OP28" s="85"/>
      <c r="OQ28" s="85"/>
      <c r="OR28" s="85"/>
      <c r="OS28" s="85"/>
      <c r="OT28" s="85"/>
      <c r="OU28" s="85"/>
      <c r="OV28" s="85"/>
      <c r="OW28" s="85"/>
      <c r="OX28" s="85"/>
      <c r="OY28" s="85"/>
      <c r="OZ28" s="85"/>
      <c r="PA28" s="85"/>
      <c r="PB28" s="85"/>
      <c r="PC28" s="85"/>
      <c r="PD28" s="85"/>
      <c r="PE28" s="85"/>
      <c r="PF28" s="85"/>
      <c r="PG28" s="85"/>
      <c r="PH28" s="85"/>
      <c r="PI28" s="85"/>
      <c r="PJ28" s="85"/>
      <c r="PK28" s="85"/>
      <c r="PL28" s="85"/>
      <c r="PM28" s="85"/>
      <c r="PN28" s="85"/>
      <c r="PO28" s="85"/>
      <c r="PP28" s="85"/>
      <c r="PQ28" s="85"/>
      <c r="PR28" s="85"/>
      <c r="PS28" s="85"/>
      <c r="PT28" s="85"/>
      <c r="PU28" s="85"/>
      <c r="PV28" s="85"/>
      <c r="PW28" s="85"/>
      <c r="PX28" s="85"/>
      <c r="PY28" s="85"/>
      <c r="PZ28" s="85"/>
      <c r="QA28" s="85"/>
      <c r="QB28" s="85"/>
      <c r="QC28" s="85"/>
      <c r="QD28" s="85"/>
      <c r="QE28" s="85"/>
      <c r="QF28" s="85"/>
      <c r="QG28" s="85"/>
      <c r="QH28" s="85"/>
      <c r="QI28" s="85"/>
      <c r="QJ28" s="85"/>
      <c r="QK28" s="85"/>
      <c r="QL28" s="85"/>
      <c r="QM28" s="85"/>
      <c r="QN28" s="85"/>
      <c r="QO28" s="85"/>
      <c r="QP28" s="85"/>
      <c r="QQ28" s="85"/>
      <c r="QR28" s="85"/>
      <c r="QS28" s="85"/>
      <c r="QT28" s="85"/>
      <c r="QU28" s="85"/>
      <c r="QV28" s="85"/>
      <c r="QW28" s="85"/>
      <c r="QX28" s="85"/>
      <c r="QY28" s="85"/>
      <c r="QZ28" s="85"/>
      <c r="RA28" s="85"/>
      <c r="RB28" s="85"/>
      <c r="RC28" s="85"/>
      <c r="RD28" s="85"/>
      <c r="RE28" s="85"/>
      <c r="RF28" s="85"/>
      <c r="RG28" s="85"/>
      <c r="RH28" s="85"/>
      <c r="RI28" s="85"/>
      <c r="RJ28" s="85"/>
      <c r="RK28" s="85"/>
      <c r="RL28" s="85"/>
      <c r="RM28" s="85"/>
      <c r="RN28" s="85"/>
      <c r="RO28" s="85"/>
      <c r="RP28" s="85"/>
      <c r="RQ28" s="85"/>
      <c r="RR28" s="85"/>
      <c r="RS28" s="85"/>
      <c r="RT28" s="85"/>
      <c r="RU28" s="85"/>
      <c r="RV28" s="85"/>
      <c r="RW28" s="85"/>
      <c r="RX28" s="85"/>
      <c r="RY28" s="85"/>
      <c r="RZ28" s="85"/>
      <c r="SA28" s="85"/>
      <c r="SB28" s="85"/>
      <c r="SC28" s="85"/>
      <c r="SD28" s="85"/>
      <c r="SE28" s="85"/>
      <c r="SF28" s="85"/>
      <c r="SG28" s="85"/>
      <c r="SH28" s="85"/>
      <c r="SI28" s="85"/>
      <c r="SJ28" s="85"/>
      <c r="SK28" s="85"/>
      <c r="SL28" s="85"/>
      <c r="SM28" s="85"/>
      <c r="SN28" s="85"/>
      <c r="SO28" s="85"/>
      <c r="SP28" s="85"/>
      <c r="SQ28" s="85"/>
      <c r="SR28" s="85"/>
      <c r="SS28" s="85"/>
      <c r="ST28" s="85"/>
      <c r="SU28" s="85"/>
      <c r="SV28" s="85"/>
      <c r="SW28" s="85"/>
      <c r="SX28" s="85"/>
      <c r="SY28" s="85"/>
      <c r="SZ28" s="85"/>
      <c r="TA28" s="85"/>
      <c r="TB28" s="85"/>
      <c r="TC28" s="85"/>
      <c r="TD28" s="85"/>
      <c r="TE28" s="85"/>
      <c r="TF28" s="85"/>
      <c r="TG28" s="85"/>
      <c r="TH28" s="85"/>
      <c r="TI28" s="85"/>
      <c r="TJ28" s="85"/>
      <c r="TK28" s="85"/>
      <c r="TL28" s="85"/>
      <c r="TM28" s="85"/>
      <c r="TN28" s="85"/>
      <c r="TO28" s="85"/>
      <c r="TP28" s="85"/>
      <c r="TQ28" s="85"/>
      <c r="TR28" s="85"/>
      <c r="TS28" s="85"/>
      <c r="TT28" s="85"/>
      <c r="TU28" s="85"/>
      <c r="TV28" s="85"/>
      <c r="TW28" s="85"/>
      <c r="TX28" s="85"/>
      <c r="TY28" s="85"/>
      <c r="TZ28" s="85"/>
      <c r="UA28" s="85"/>
      <c r="UB28" s="85"/>
      <c r="UC28" s="85"/>
      <c r="UD28" s="85"/>
      <c r="UE28" s="85"/>
      <c r="UF28" s="85"/>
      <c r="UG28" s="85"/>
      <c r="UH28" s="85"/>
      <c r="UI28" s="85"/>
      <c r="UJ28" s="85"/>
      <c r="UK28" s="85"/>
      <c r="UL28" s="85"/>
      <c r="UM28" s="85"/>
      <c r="UN28" s="85"/>
      <c r="UO28" s="85"/>
      <c r="UP28" s="85"/>
      <c r="UQ28" s="85"/>
      <c r="UR28" s="85"/>
      <c r="US28" s="85"/>
      <c r="UT28" s="85"/>
      <c r="UU28" s="85"/>
      <c r="UV28" s="85"/>
      <c r="UW28" s="85"/>
      <c r="UX28" s="85"/>
      <c r="UY28" s="85"/>
      <c r="UZ28" s="85"/>
      <c r="VA28" s="85"/>
      <c r="VB28" s="85"/>
      <c r="VC28" s="85"/>
      <c r="VD28" s="85"/>
      <c r="VE28" s="85"/>
      <c r="VF28" s="85"/>
      <c r="VG28" s="85"/>
      <c r="VH28" s="85"/>
      <c r="VI28" s="85"/>
      <c r="VJ28" s="85"/>
      <c r="VK28" s="85"/>
      <c r="VL28" s="85"/>
      <c r="VM28" s="85"/>
      <c r="VN28" s="85"/>
      <c r="VO28" s="85"/>
      <c r="VP28" s="85"/>
      <c r="VQ28" s="85"/>
      <c r="VR28" s="85"/>
      <c r="VS28" s="85"/>
      <c r="VT28" s="85"/>
      <c r="VU28" s="85"/>
      <c r="VV28" s="85"/>
      <c r="VW28" s="85"/>
      <c r="VX28" s="85"/>
      <c r="VY28" s="85"/>
      <c r="VZ28" s="85"/>
      <c r="WA28" s="85"/>
      <c r="WB28" s="85"/>
      <c r="WC28" s="85"/>
      <c r="WD28" s="85"/>
      <c r="WE28" s="85"/>
      <c r="WF28" s="85"/>
      <c r="WG28" s="85"/>
      <c r="WH28" s="85"/>
      <c r="WI28" s="85"/>
      <c r="WJ28" s="85"/>
      <c r="WK28" s="85"/>
      <c r="WL28" s="85"/>
      <c r="WM28" s="85"/>
      <c r="WN28" s="85"/>
      <c r="WO28" s="85"/>
      <c r="WP28" s="85"/>
      <c r="WQ28" s="85"/>
      <c r="WR28" s="85"/>
      <c r="WS28" s="85"/>
      <c r="WT28" s="85"/>
      <c r="WU28" s="85"/>
      <c r="WV28" s="85"/>
      <c r="WW28" s="85"/>
      <c r="WX28" s="85"/>
      <c r="WY28" s="85"/>
      <c r="WZ28" s="85"/>
      <c r="XA28" s="85"/>
      <c r="XB28" s="85"/>
      <c r="XC28" s="85"/>
      <c r="XD28" s="85"/>
      <c r="XE28" s="85"/>
      <c r="XF28" s="85"/>
      <c r="XG28" s="85"/>
      <c r="XH28" s="85"/>
      <c r="XI28" s="85"/>
      <c r="XJ28" s="85"/>
      <c r="XK28" s="85"/>
      <c r="XL28" s="85"/>
      <c r="XM28" s="85"/>
      <c r="XN28" s="85"/>
      <c r="XO28" s="85"/>
      <c r="XP28" s="85"/>
      <c r="XQ28" s="85"/>
      <c r="XR28" s="85"/>
      <c r="XS28" s="85"/>
      <c r="XT28" s="85"/>
      <c r="XU28" s="85"/>
      <c r="XV28" s="85"/>
      <c r="XW28" s="85"/>
      <c r="XX28" s="85"/>
      <c r="XY28" s="85"/>
      <c r="XZ28" s="85"/>
      <c r="YA28" s="85"/>
      <c r="YB28" s="85"/>
      <c r="YC28" s="85"/>
      <c r="YD28" s="85"/>
      <c r="YE28" s="85"/>
      <c r="YF28" s="85"/>
      <c r="YG28" s="85"/>
      <c r="YH28" s="85"/>
      <c r="YI28" s="85"/>
      <c r="YJ28" s="85"/>
      <c r="YK28" s="85"/>
      <c r="YL28" s="85"/>
      <c r="YM28" s="85"/>
      <c r="YN28" s="85"/>
      <c r="YO28" s="85"/>
      <c r="YP28" s="85"/>
      <c r="YQ28" s="85"/>
      <c r="YR28" s="85"/>
      <c r="YS28" s="85"/>
      <c r="YT28" s="85"/>
      <c r="YU28" s="85"/>
      <c r="YV28" s="85"/>
      <c r="YW28" s="85"/>
      <c r="YX28" s="85"/>
      <c r="YY28" s="85"/>
      <c r="YZ28" s="85"/>
      <c r="ZA28" s="85"/>
      <c r="ZB28" s="85"/>
      <c r="ZC28" s="85"/>
      <c r="ZD28" s="85"/>
      <c r="ZE28" s="85"/>
      <c r="ZF28" s="85"/>
      <c r="ZG28" s="85"/>
      <c r="ZH28" s="85"/>
      <c r="ZI28" s="85"/>
      <c r="ZJ28" s="85"/>
      <c r="ZK28" s="85"/>
      <c r="ZL28" s="85"/>
      <c r="ZM28" s="85"/>
      <c r="ZN28" s="85"/>
      <c r="ZO28" s="85"/>
      <c r="ZP28" s="85"/>
      <c r="ZQ28" s="85"/>
      <c r="ZR28" s="85"/>
      <c r="ZS28" s="85"/>
      <c r="ZT28" s="85"/>
      <c r="ZU28" s="85"/>
      <c r="ZV28" s="85"/>
      <c r="ZW28" s="85"/>
      <c r="ZX28" s="85"/>
      <c r="ZY28" s="85"/>
      <c r="ZZ28" s="85"/>
      <c r="AAA28" s="85"/>
      <c r="AAB28" s="85"/>
      <c r="AAC28" s="85"/>
      <c r="AAD28" s="85"/>
      <c r="AAE28" s="85"/>
      <c r="AAF28" s="85"/>
      <c r="AAG28" s="85"/>
      <c r="AAH28" s="85"/>
      <c r="AAI28" s="85"/>
      <c r="AAJ28" s="85"/>
      <c r="AAK28" s="85"/>
      <c r="AAL28" s="85"/>
      <c r="AAM28" s="85"/>
      <c r="AAN28" s="85"/>
      <c r="AAO28" s="85"/>
      <c r="AAP28" s="85"/>
      <c r="AAQ28" s="85"/>
      <c r="AAR28" s="85"/>
      <c r="AAS28" s="85"/>
      <c r="AAT28" s="85"/>
      <c r="AAU28" s="85"/>
      <c r="AAV28" s="85"/>
      <c r="AAW28" s="85"/>
      <c r="AAX28" s="85"/>
      <c r="AAY28" s="85"/>
      <c r="AAZ28" s="85"/>
      <c r="ABA28" s="85"/>
      <c r="ABB28" s="85"/>
      <c r="ABC28" s="85"/>
      <c r="ABD28" s="85"/>
      <c r="ABE28" s="85"/>
      <c r="ABF28" s="85"/>
      <c r="ABG28" s="85"/>
      <c r="ABH28" s="85"/>
      <c r="ABI28" s="85"/>
      <c r="ABJ28" s="85"/>
      <c r="ABK28" s="85"/>
      <c r="ABL28" s="85"/>
      <c r="ABM28" s="85"/>
      <c r="ABN28" s="85"/>
      <c r="ABO28" s="85"/>
      <c r="ABP28" s="85"/>
      <c r="ABQ28" s="85"/>
      <c r="ABR28" s="85"/>
      <c r="ABS28" s="85"/>
      <c r="ABT28" s="85"/>
      <c r="ABU28" s="85"/>
      <c r="ABV28" s="85"/>
      <c r="ABW28" s="85"/>
      <c r="ABX28" s="85"/>
      <c r="ABY28" s="85"/>
      <c r="ABZ28" s="85"/>
      <c r="ACA28" s="85"/>
      <c r="ACB28" s="85"/>
      <c r="ACC28" s="85"/>
      <c r="ACD28" s="85"/>
      <c r="ACE28" s="85"/>
      <c r="ACF28" s="85"/>
      <c r="ACG28" s="85"/>
      <c r="ACH28" s="85"/>
      <c r="ACI28" s="85"/>
      <c r="ACJ28" s="85"/>
      <c r="ACK28" s="85"/>
      <c r="ACL28" s="85"/>
      <c r="ACM28" s="85"/>
      <c r="ACN28" s="85"/>
      <c r="ACO28" s="85"/>
      <c r="ACP28" s="85"/>
      <c r="ACQ28" s="85"/>
      <c r="ACR28" s="85"/>
      <c r="ACS28" s="85"/>
      <c r="ACT28" s="85"/>
      <c r="ACU28" s="85"/>
      <c r="ACV28" s="85"/>
      <c r="ACW28" s="85"/>
      <c r="ACX28" s="85"/>
      <c r="ACY28" s="85"/>
      <c r="ACZ28" s="85"/>
      <c r="ADA28" s="85"/>
      <c r="ADB28" s="85"/>
      <c r="ADC28" s="85"/>
      <c r="ADD28" s="85"/>
      <c r="ADE28" s="85"/>
      <c r="ADF28" s="85"/>
      <c r="ADG28" s="85"/>
      <c r="ADH28" s="85"/>
      <c r="ADI28" s="85"/>
      <c r="ADJ28" s="85"/>
      <c r="ADK28" s="85"/>
      <c r="ADL28" s="85"/>
      <c r="ADM28" s="85"/>
      <c r="ADN28" s="85"/>
      <c r="ADO28" s="85"/>
      <c r="ADP28" s="85"/>
      <c r="ADQ28" s="85"/>
      <c r="ADR28" s="85"/>
      <c r="ADS28" s="85"/>
      <c r="ADT28" s="85"/>
      <c r="ADU28" s="85"/>
      <c r="ADV28" s="85"/>
      <c r="ADW28" s="85"/>
      <c r="ADX28" s="85"/>
      <c r="ADY28" s="85"/>
      <c r="ADZ28" s="85"/>
      <c r="AEA28" s="85"/>
      <c r="AEB28" s="85"/>
      <c r="AEC28" s="85"/>
      <c r="AED28" s="85"/>
      <c r="AEE28" s="85"/>
      <c r="AEF28" s="85"/>
      <c r="AEG28" s="85"/>
      <c r="AEH28" s="85"/>
      <c r="AEI28" s="85"/>
      <c r="AEJ28" s="85"/>
      <c r="AEK28" s="85"/>
      <c r="AEL28" s="85"/>
      <c r="AEM28" s="85"/>
      <c r="AEN28" s="85"/>
      <c r="AEO28" s="85"/>
      <c r="AEP28" s="85"/>
      <c r="AEQ28" s="85"/>
      <c r="AER28" s="85"/>
      <c r="AES28" s="85"/>
      <c r="AET28" s="85"/>
      <c r="AEU28" s="85"/>
      <c r="AEV28" s="85"/>
      <c r="AEW28" s="85"/>
      <c r="AEX28" s="85"/>
      <c r="AEY28" s="85"/>
      <c r="AEZ28" s="85"/>
      <c r="AFA28" s="85"/>
      <c r="AFB28" s="85"/>
      <c r="AFC28" s="85"/>
      <c r="AFD28" s="85"/>
      <c r="AFE28" s="85"/>
      <c r="AFF28" s="85"/>
      <c r="AFG28" s="85"/>
      <c r="AFH28" s="85"/>
      <c r="AFI28" s="85"/>
      <c r="AFJ28" s="85"/>
      <c r="AFK28" s="85"/>
      <c r="AFL28" s="85"/>
      <c r="AFM28" s="85"/>
      <c r="AFN28" s="85"/>
      <c r="AFO28" s="85"/>
      <c r="AFP28" s="85"/>
      <c r="AFQ28" s="85"/>
      <c r="AFR28" s="85"/>
      <c r="AFS28" s="85"/>
      <c r="AFT28" s="85"/>
      <c r="AFU28" s="85"/>
      <c r="AFV28" s="85"/>
      <c r="AFW28" s="85"/>
      <c r="AFX28" s="85"/>
      <c r="AFY28" s="85"/>
      <c r="AFZ28" s="85"/>
      <c r="AGA28" s="85"/>
      <c r="AGB28" s="85"/>
      <c r="AGC28" s="85"/>
      <c r="AGD28" s="85"/>
      <c r="AGE28" s="85"/>
      <c r="AGF28" s="85"/>
      <c r="AGG28" s="85"/>
      <c r="AGH28" s="85"/>
      <c r="AGI28" s="85"/>
      <c r="AGJ28" s="85"/>
      <c r="AGK28" s="85"/>
      <c r="AGL28" s="85"/>
      <c r="AGM28" s="85"/>
      <c r="AGN28" s="85"/>
      <c r="AGO28" s="85"/>
      <c r="AGP28" s="85"/>
      <c r="AGQ28" s="85"/>
      <c r="AGR28" s="85"/>
      <c r="AGS28" s="85"/>
      <c r="AGT28" s="85"/>
      <c r="AGU28" s="85"/>
      <c r="AGV28" s="85"/>
      <c r="AGW28" s="85"/>
      <c r="AGX28" s="85"/>
      <c r="AGY28" s="85"/>
      <c r="AGZ28" s="85"/>
      <c r="AHA28" s="85"/>
      <c r="AHB28" s="85"/>
      <c r="AHC28" s="85"/>
      <c r="AHD28" s="85"/>
      <c r="AHE28" s="85"/>
      <c r="AHF28" s="85"/>
      <c r="AHG28" s="85"/>
      <c r="AHH28" s="85"/>
      <c r="AHI28" s="85"/>
      <c r="AHJ28" s="85"/>
      <c r="AHK28" s="85"/>
      <c r="AHL28" s="85"/>
      <c r="AHM28" s="85"/>
      <c r="AHN28" s="85"/>
      <c r="AHO28" s="85"/>
      <c r="AHP28" s="85"/>
      <c r="AHQ28" s="85"/>
      <c r="AHR28" s="85"/>
      <c r="AHS28" s="85"/>
      <c r="AHT28" s="85"/>
      <c r="AHU28" s="85"/>
      <c r="AHV28" s="85"/>
      <c r="AHW28" s="85"/>
      <c r="AHX28" s="85"/>
      <c r="AHY28" s="85"/>
      <c r="AHZ28" s="85"/>
      <c r="AIA28" s="85"/>
      <c r="AIB28" s="85"/>
      <c r="AIC28" s="85"/>
      <c r="AID28" s="85"/>
      <c r="AIE28" s="85"/>
      <c r="AIF28" s="85"/>
      <c r="AIG28" s="85"/>
      <c r="AIH28" s="85"/>
      <c r="AII28" s="85"/>
      <c r="AIJ28" s="85"/>
      <c r="AIK28" s="85"/>
      <c r="AIL28" s="85"/>
      <c r="AIM28" s="85"/>
      <c r="AIN28" s="85"/>
      <c r="AIO28" s="85"/>
      <c r="AIP28" s="85"/>
      <c r="AIQ28" s="85"/>
      <c r="AIR28" s="85"/>
      <c r="AIS28" s="85"/>
      <c r="AIT28" s="85"/>
      <c r="AIU28" s="85"/>
      <c r="AIV28" s="85"/>
      <c r="AIW28" s="85"/>
      <c r="AIX28" s="85"/>
      <c r="AIY28" s="85"/>
      <c r="AIZ28" s="85"/>
      <c r="AJA28" s="85"/>
      <c r="AJB28" s="85"/>
      <c r="AJC28" s="85"/>
      <c r="AJD28" s="85"/>
      <c r="AJE28" s="85"/>
      <c r="AJF28" s="85"/>
      <c r="AJG28" s="85"/>
      <c r="AJH28" s="85"/>
      <c r="AJI28" s="85"/>
      <c r="AJJ28" s="85"/>
      <c r="AJK28" s="85"/>
      <c r="AJL28" s="85"/>
      <c r="AJM28" s="85"/>
      <c r="AJN28" s="85"/>
      <c r="AJO28" s="85"/>
      <c r="AJP28" s="85"/>
      <c r="AJQ28" s="85"/>
      <c r="AJR28" s="85"/>
      <c r="AJS28" s="85"/>
      <c r="AJT28" s="85"/>
      <c r="AJU28" s="85"/>
      <c r="AJV28" s="85"/>
      <c r="AJW28" s="85"/>
      <c r="AJX28" s="85"/>
      <c r="AJY28" s="85"/>
      <c r="AJZ28" s="85"/>
      <c r="AKA28" s="85"/>
      <c r="AKB28" s="85"/>
      <c r="AKC28" s="85"/>
      <c r="AKD28" s="85"/>
      <c r="AKE28" s="85"/>
      <c r="AKF28" s="85"/>
      <c r="AKG28" s="85"/>
      <c r="AKH28" s="85"/>
      <c r="AKI28" s="85"/>
      <c r="AKJ28" s="85"/>
      <c r="AKK28" s="85"/>
      <c r="AKL28" s="85"/>
      <c r="AKM28" s="85"/>
      <c r="AKN28" s="85"/>
      <c r="AKO28" s="85"/>
      <c r="AKP28" s="85"/>
      <c r="AKQ28" s="85"/>
      <c r="AKR28" s="85"/>
      <c r="AKS28" s="85"/>
      <c r="AKT28" s="85"/>
      <c r="AKU28" s="85"/>
      <c r="AKV28" s="85"/>
      <c r="AKW28" s="85"/>
      <c r="AKX28" s="85"/>
      <c r="AKY28" s="85"/>
      <c r="AKZ28" s="85"/>
      <c r="ALA28" s="85"/>
      <c r="ALB28" s="85"/>
      <c r="ALC28" s="85"/>
      <c r="ALD28" s="85"/>
      <c r="ALE28" s="85"/>
      <c r="ALF28" s="85"/>
      <c r="ALG28" s="85"/>
      <c r="ALH28" s="85"/>
      <c r="ALI28" s="85"/>
      <c r="ALJ28" s="85"/>
      <c r="ALK28" s="85"/>
      <c r="ALL28" s="85"/>
      <c r="ALM28" s="85"/>
      <c r="ALN28" s="85"/>
      <c r="ALO28" s="85"/>
      <c r="ALP28" s="85"/>
      <c r="ALQ28" s="85"/>
      <c r="ALR28" s="85"/>
      <c r="ALS28" s="85"/>
      <c r="ALT28" s="85"/>
      <c r="ALU28" s="85"/>
      <c r="ALV28" s="85"/>
      <c r="ALW28" s="85"/>
      <c r="ALX28" s="85"/>
      <c r="ALY28" s="85"/>
      <c r="ALZ28" s="85"/>
      <c r="AMA28" s="85"/>
      <c r="AMB28" s="85"/>
      <c r="AMC28" s="85"/>
      <c r="AMD28" s="85"/>
      <c r="AME28" s="85"/>
      <c r="AMF28" s="85"/>
      <c r="AMG28" s="85"/>
      <c r="AMH28" s="85"/>
      <c r="AMI28" s="85"/>
      <c r="AMJ28" s="85"/>
      <c r="AMK28" s="85"/>
      <c r="AML28" s="85"/>
      <c r="AMM28" s="85"/>
      <c r="AMN28" s="85"/>
      <c r="AMO28" s="85"/>
      <c r="AMP28" s="85"/>
      <c r="AMQ28" s="85"/>
      <c r="AMR28" s="85"/>
      <c r="AMS28" s="85"/>
      <c r="AMT28" s="85"/>
      <c r="AMU28" s="85"/>
      <c r="AMV28" s="85"/>
      <c r="AMW28" s="85"/>
      <c r="AMX28" s="85"/>
      <c r="AMY28" s="85"/>
      <c r="AMZ28" s="85"/>
      <c r="ANA28" s="85"/>
      <c r="ANB28" s="85"/>
      <c r="ANC28" s="85"/>
      <c r="AND28" s="85"/>
      <c r="ANE28" s="85"/>
      <c r="ANF28" s="85"/>
      <c r="ANG28" s="85"/>
      <c r="ANH28" s="85"/>
      <c r="ANI28" s="85"/>
      <c r="ANJ28" s="85"/>
      <c r="ANK28" s="85"/>
      <c r="ANL28" s="85"/>
      <c r="ANM28" s="85"/>
      <c r="ANN28" s="85"/>
      <c r="ANO28" s="85"/>
      <c r="ANP28" s="85"/>
      <c r="ANQ28" s="85"/>
      <c r="ANR28" s="85"/>
      <c r="ANS28" s="85"/>
      <c r="ANT28" s="85"/>
      <c r="ANU28" s="85"/>
      <c r="ANV28" s="85"/>
      <c r="ANW28" s="85"/>
      <c r="ANX28" s="85"/>
      <c r="ANY28" s="85"/>
      <c r="ANZ28" s="85"/>
      <c r="AOA28" s="85"/>
      <c r="AOB28" s="85"/>
      <c r="AOC28" s="85"/>
      <c r="AOD28" s="85"/>
      <c r="AOE28" s="85"/>
      <c r="AOF28" s="85"/>
      <c r="AOG28" s="85"/>
      <c r="AOH28" s="85"/>
      <c r="AOI28" s="85"/>
      <c r="AOJ28" s="85"/>
      <c r="AOK28" s="85"/>
      <c r="AOL28" s="85"/>
      <c r="AOM28" s="85"/>
      <c r="AON28" s="85"/>
      <c r="AOO28" s="85"/>
      <c r="AOP28" s="85"/>
      <c r="AOQ28" s="85"/>
      <c r="AOR28" s="85"/>
      <c r="AOS28" s="85"/>
      <c r="AOT28" s="85"/>
      <c r="AOU28" s="85"/>
      <c r="AOV28" s="85"/>
      <c r="AOW28" s="85"/>
      <c r="AOX28" s="85"/>
      <c r="AOY28" s="85"/>
      <c r="AOZ28" s="85"/>
      <c r="APA28" s="85"/>
      <c r="APB28" s="85"/>
      <c r="APC28" s="85"/>
      <c r="APD28" s="85"/>
      <c r="APE28" s="85"/>
      <c r="APF28" s="85"/>
      <c r="APG28" s="85"/>
      <c r="APH28" s="85"/>
      <c r="API28" s="85"/>
      <c r="APJ28" s="85"/>
      <c r="APK28" s="85"/>
      <c r="APL28" s="85"/>
      <c r="APM28" s="85"/>
      <c r="APN28" s="85"/>
      <c r="APO28" s="85"/>
      <c r="APP28" s="85"/>
      <c r="APQ28" s="85"/>
      <c r="APR28" s="85"/>
      <c r="APS28" s="85"/>
      <c r="APT28" s="85"/>
      <c r="APU28" s="85"/>
      <c r="APV28" s="85"/>
      <c r="APW28" s="85"/>
      <c r="APX28" s="85"/>
      <c r="APY28" s="85"/>
      <c r="APZ28" s="85"/>
      <c r="AQA28" s="85"/>
      <c r="AQB28" s="85"/>
      <c r="AQC28" s="85"/>
      <c r="AQD28" s="85"/>
      <c r="AQE28" s="85"/>
      <c r="AQF28" s="85"/>
      <c r="AQG28" s="85"/>
      <c r="AQH28" s="85"/>
      <c r="AQI28" s="85"/>
      <c r="AQJ28" s="85"/>
      <c r="AQK28" s="85"/>
      <c r="AQL28" s="85"/>
      <c r="AQM28" s="85"/>
      <c r="AQN28" s="85"/>
      <c r="AQO28" s="85"/>
      <c r="AQP28" s="85"/>
      <c r="AQQ28" s="85"/>
      <c r="AQR28" s="85"/>
      <c r="AQS28" s="85"/>
      <c r="AQT28" s="85"/>
      <c r="AQU28" s="85"/>
      <c r="AQV28" s="85"/>
      <c r="AQW28" s="85"/>
      <c r="AQX28" s="85"/>
      <c r="AQY28" s="85"/>
      <c r="AQZ28" s="85"/>
      <c r="ARA28" s="85"/>
      <c r="ARB28" s="85"/>
      <c r="ARC28" s="85"/>
      <c r="ARD28" s="85"/>
      <c r="ARE28" s="85"/>
      <c r="ARF28" s="85"/>
      <c r="ARG28" s="85"/>
      <c r="ARH28" s="85"/>
      <c r="ARI28" s="85"/>
      <c r="ARJ28" s="85"/>
      <c r="ARK28" s="85"/>
      <c r="ARL28" s="85"/>
      <c r="ARM28" s="85"/>
      <c r="ARN28" s="85"/>
      <c r="ARO28" s="85"/>
      <c r="ARP28" s="85"/>
      <c r="ARQ28" s="85"/>
      <c r="ARR28" s="85"/>
      <c r="ARS28" s="85"/>
      <c r="ART28" s="85"/>
      <c r="ARU28" s="85"/>
      <c r="ARV28" s="85"/>
      <c r="ARW28" s="85"/>
      <c r="ARX28" s="85"/>
      <c r="ARY28" s="85"/>
      <c r="ARZ28" s="85"/>
      <c r="ASA28" s="85"/>
      <c r="ASB28" s="85"/>
      <c r="ASC28" s="85"/>
      <c r="ASD28" s="85"/>
      <c r="ASE28" s="85"/>
      <c r="ASF28" s="85"/>
      <c r="ASG28" s="85"/>
      <c r="ASH28" s="85"/>
      <c r="ASI28" s="85"/>
      <c r="ASJ28" s="85"/>
      <c r="ASK28" s="85"/>
      <c r="ASL28" s="85"/>
      <c r="ASM28" s="85"/>
      <c r="ASN28" s="85"/>
      <c r="ASO28" s="85"/>
      <c r="ASP28" s="85"/>
      <c r="ASQ28" s="85"/>
      <c r="ASR28" s="85"/>
      <c r="ASS28" s="85"/>
      <c r="AST28" s="85"/>
      <c r="ASU28" s="85"/>
      <c r="ASV28" s="85"/>
      <c r="ASW28" s="85"/>
      <c r="ASX28" s="85"/>
      <c r="ASY28" s="85"/>
      <c r="ASZ28" s="85"/>
      <c r="ATA28" s="85"/>
      <c r="ATB28" s="85"/>
      <c r="ATC28" s="85"/>
      <c r="ATD28" s="85"/>
      <c r="ATE28" s="85"/>
      <c r="ATF28" s="85"/>
      <c r="ATG28" s="85"/>
      <c r="ATH28" s="85"/>
      <c r="ATI28" s="85"/>
      <c r="ATJ28" s="85"/>
      <c r="ATK28" s="85"/>
      <c r="ATL28" s="85"/>
      <c r="ATM28" s="85"/>
      <c r="ATN28" s="85"/>
      <c r="ATO28" s="85"/>
      <c r="ATP28" s="85"/>
      <c r="ATQ28" s="85"/>
      <c r="ATR28" s="85"/>
      <c r="ATS28" s="85"/>
      <c r="ATT28" s="85"/>
      <c r="ATU28" s="85"/>
      <c r="ATV28" s="85"/>
      <c r="ATW28" s="85"/>
      <c r="ATX28" s="85"/>
      <c r="ATY28" s="85"/>
      <c r="ATZ28" s="85"/>
      <c r="AUA28" s="85"/>
      <c r="AUB28" s="85"/>
      <c r="AUC28" s="85"/>
      <c r="AUD28" s="85"/>
      <c r="AUE28" s="85"/>
      <c r="AUF28" s="85"/>
      <c r="AUG28" s="85"/>
      <c r="AUH28" s="85"/>
      <c r="AUI28" s="85"/>
      <c r="AUJ28" s="85"/>
      <c r="AUK28" s="85"/>
      <c r="AUL28" s="85"/>
      <c r="AUM28" s="85"/>
      <c r="AUN28" s="85"/>
      <c r="AUO28" s="85"/>
      <c r="AUP28" s="85"/>
      <c r="AUQ28" s="85"/>
      <c r="AUR28" s="85"/>
      <c r="AUS28" s="85"/>
      <c r="AUT28" s="85"/>
      <c r="AUU28" s="85"/>
      <c r="AUV28" s="85"/>
      <c r="AUW28" s="85"/>
      <c r="AUX28" s="85"/>
      <c r="AUY28" s="85"/>
      <c r="AUZ28" s="85"/>
      <c r="AVA28" s="85"/>
      <c r="AVB28" s="85"/>
    </row>
    <row r="29" spans="1:1253">
      <c r="L29" s="86"/>
    </row>
    <row r="30" spans="1:1253">
      <c r="A30" s="69" t="s">
        <v>749</v>
      </c>
      <c r="C30" s="85">
        <f>C24-C27</f>
        <v>0.15000000000000036</v>
      </c>
      <c r="D30" s="85">
        <f t="shared" ref="D30:BK30" si="7">D24-D27</f>
        <v>0.89000000000000012</v>
      </c>
      <c r="E30" s="85">
        <f t="shared" si="7"/>
        <v>2.0396999999999998</v>
      </c>
      <c r="F30" s="85">
        <f t="shared" si="7"/>
        <v>3.1500000000000004</v>
      </c>
      <c r="G30" s="85">
        <f t="shared" si="7"/>
        <v>2.48</v>
      </c>
      <c r="H30" s="85">
        <f t="shared" si="7"/>
        <v>1.3390000000000002</v>
      </c>
      <c r="I30" s="85">
        <f t="shared" si="7"/>
        <v>2.42</v>
      </c>
      <c r="J30" s="85">
        <f t="shared" si="7"/>
        <v>1.7659</v>
      </c>
      <c r="K30" s="85">
        <f t="shared" si="7"/>
        <v>1.6300000000000001</v>
      </c>
      <c r="L30" s="85">
        <f t="shared" si="7"/>
        <v>1.4173000000000002</v>
      </c>
      <c r="M30" s="85">
        <f t="shared" si="7"/>
        <v>2.41</v>
      </c>
      <c r="N30" s="85">
        <f t="shared" si="7"/>
        <v>1.1700000000000002</v>
      </c>
      <c r="O30" s="85">
        <f t="shared" si="7"/>
        <v>1.04</v>
      </c>
      <c r="P30" s="85">
        <f t="shared" si="7"/>
        <v>1.4699999999999998</v>
      </c>
      <c r="Q30" s="85">
        <f t="shared" si="7"/>
        <v>1.1351</v>
      </c>
      <c r="R30" s="85">
        <f t="shared" si="7"/>
        <v>1.4016999999999999</v>
      </c>
      <c r="S30" s="85">
        <f t="shared" si="7"/>
        <v>0.93999999999999972</v>
      </c>
      <c r="T30" s="85">
        <f t="shared" si="7"/>
        <v>2.3860999999999999</v>
      </c>
      <c r="U30" s="85">
        <f t="shared" si="7"/>
        <v>1.4544000000000001</v>
      </c>
      <c r="V30" s="85">
        <f t="shared" si="7"/>
        <v>1.3461000000000001</v>
      </c>
      <c r="W30" s="85">
        <f t="shared" si="7"/>
        <v>1.2439000000000002</v>
      </c>
      <c r="X30" s="85">
        <f t="shared" si="7"/>
        <v>0.87999999999999989</v>
      </c>
      <c r="Y30" s="85">
        <f t="shared" si="7"/>
        <v>1.0165999999999999</v>
      </c>
      <c r="Z30" s="85">
        <f t="shared" si="7"/>
        <v>1.0198</v>
      </c>
      <c r="AA30" s="85">
        <f t="shared" si="7"/>
        <v>0.79500000000000015</v>
      </c>
      <c r="AB30" s="85">
        <f t="shared" si="7"/>
        <v>0.9650000000000003</v>
      </c>
      <c r="AC30" s="85">
        <f t="shared" si="7"/>
        <v>1.0419999999999998</v>
      </c>
      <c r="AD30" s="85">
        <f t="shared" si="7"/>
        <v>0.85499999999999998</v>
      </c>
      <c r="AE30" s="85">
        <f t="shared" si="7"/>
        <v>0.54</v>
      </c>
      <c r="AF30" s="85">
        <f t="shared" si="7"/>
        <v>0.73890000000000011</v>
      </c>
      <c r="AG30" s="85">
        <f t="shared" si="7"/>
        <v>0.99289999999999989</v>
      </c>
      <c r="AH30" s="85">
        <f t="shared" si="7"/>
        <v>0.94349999999999978</v>
      </c>
      <c r="AI30" s="85">
        <f t="shared" si="7"/>
        <v>1.0190999999999999</v>
      </c>
      <c r="AJ30" s="85">
        <f t="shared" si="7"/>
        <v>0.94200000000000017</v>
      </c>
      <c r="AK30" s="85">
        <f t="shared" si="7"/>
        <v>0.97809999999999986</v>
      </c>
      <c r="AL30" s="85">
        <f t="shared" si="7"/>
        <v>1.2076000000000002</v>
      </c>
      <c r="AM30" s="85">
        <f t="shared" si="7"/>
        <v>0.63640000000000008</v>
      </c>
      <c r="AN30" s="85">
        <f t="shared" si="7"/>
        <v>0.64169999999999994</v>
      </c>
      <c r="AO30" s="85">
        <f t="shared" si="7"/>
        <v>0.52779999999999982</v>
      </c>
      <c r="AP30" s="85">
        <f t="shared" si="7"/>
        <v>0.27780000000000005</v>
      </c>
      <c r="AQ30" s="85">
        <f t="shared" si="7"/>
        <v>5.7900000000000063E-2</v>
      </c>
      <c r="AR30" s="85">
        <f t="shared" si="7"/>
        <v>0.37469999999999981</v>
      </c>
      <c r="AS30" s="85">
        <f t="shared" si="7"/>
        <v>0.45799999999999974</v>
      </c>
      <c r="AT30" s="85">
        <f t="shared" si="7"/>
        <v>0.51679999999999993</v>
      </c>
      <c r="AU30" s="85">
        <f t="shared" si="7"/>
        <v>0.68400000000000016</v>
      </c>
      <c r="AV30" s="85">
        <f t="shared" si="7"/>
        <v>0.58239999999999981</v>
      </c>
      <c r="AW30" s="85">
        <f t="shared" si="7"/>
        <v>0.45290000000000008</v>
      </c>
      <c r="AX30" s="85">
        <f t="shared" si="7"/>
        <v>0.50380000000000003</v>
      </c>
      <c r="AY30" s="85">
        <f t="shared" si="7"/>
        <v>0.61470000000000002</v>
      </c>
      <c r="AZ30" s="85">
        <f t="shared" si="7"/>
        <v>0.61080000000000023</v>
      </c>
      <c r="BA30" s="85">
        <f t="shared" si="7"/>
        <v>0.53489999999999993</v>
      </c>
      <c r="BB30" s="85">
        <f t="shared" si="7"/>
        <v>0.56909999999999972</v>
      </c>
      <c r="BC30" s="85">
        <f t="shared" si="7"/>
        <v>0.39029999999999987</v>
      </c>
      <c r="BD30" s="85">
        <f t="shared" si="7"/>
        <v>0.41849999999999943</v>
      </c>
      <c r="BE30" s="85">
        <f t="shared" si="7"/>
        <v>0.37670000000000003</v>
      </c>
      <c r="BF30" s="85">
        <f t="shared" si="7"/>
        <v>0.16999999999999993</v>
      </c>
      <c r="BG30" s="85">
        <f t="shared" si="7"/>
        <v>0.28000000000000025</v>
      </c>
      <c r="BH30" s="85">
        <f t="shared" si="7"/>
        <v>0.24000000000000021</v>
      </c>
      <c r="BI30" s="85">
        <f t="shared" si="7"/>
        <v>0.36570000000000036</v>
      </c>
      <c r="BJ30" s="85">
        <f t="shared" si="7"/>
        <v>0.19830000000000059</v>
      </c>
      <c r="BK30" s="85">
        <f t="shared" si="7"/>
        <v>-2.4937000000000005</v>
      </c>
    </row>
    <row r="32" spans="1:1253">
      <c r="A32" s="69" t="s">
        <v>929</v>
      </c>
      <c r="B32" s="73">
        <f>AVERAGE(C30:BK30)</f>
        <v>0.90498688524590187</v>
      </c>
      <c r="L32" s="86"/>
    </row>
    <row r="33" spans="1:12">
      <c r="A33" s="35" t="s">
        <v>930</v>
      </c>
      <c r="L33" s="86"/>
    </row>
    <row r="34" spans="1:12">
      <c r="L34" s="86"/>
    </row>
    <row r="35" spans="1:12">
      <c r="L35" s="86"/>
    </row>
    <row r="36" spans="1:12">
      <c r="L36" s="86"/>
    </row>
    <row r="37" spans="1:12">
      <c r="L37" s="86"/>
    </row>
    <row r="38" spans="1:12" s="89" customFormat="1" ht="16.3" thickBot="1">
      <c r="L38" s="90"/>
    </row>
    <row r="39" spans="1:12" ht="16.3" thickTop="1">
      <c r="L39" s="86"/>
    </row>
    <row r="40" spans="1:12">
      <c r="A40" s="35" t="s">
        <v>681</v>
      </c>
      <c r="B40" s="2">
        <v>41.76</v>
      </c>
      <c r="C40" s="2">
        <v>40.380000000000003</v>
      </c>
      <c r="D40" s="2">
        <v>45.24</v>
      </c>
      <c r="E40" s="2"/>
      <c r="F40" s="2">
        <v>33.39</v>
      </c>
      <c r="G40" s="2">
        <v>27.85</v>
      </c>
      <c r="H40" s="2">
        <v>29.96</v>
      </c>
      <c r="L40" s="86"/>
    </row>
    <row r="41" spans="1:12">
      <c r="L41" s="86"/>
    </row>
    <row r="42" spans="1:12">
      <c r="L42" s="86"/>
    </row>
    <row r="43" spans="1:12">
      <c r="L43" s="86"/>
    </row>
    <row r="44" spans="1:12">
      <c r="L44" s="86"/>
    </row>
    <row r="45" spans="1:12">
      <c r="L45" s="86"/>
    </row>
    <row r="46" spans="1:12">
      <c r="L46" s="86"/>
    </row>
    <row r="47" spans="1:12">
      <c r="B47" s="79"/>
      <c r="C47" s="79"/>
      <c r="E47" s="79"/>
      <c r="F47" s="79"/>
      <c r="L47" s="86"/>
    </row>
    <row r="48" spans="1:12">
      <c r="B48" s="69"/>
      <c r="C48" s="69"/>
      <c r="D48" s="1"/>
      <c r="E48" s="69"/>
      <c r="F48" s="69"/>
      <c r="L48" s="86"/>
    </row>
    <row r="49" spans="2:12">
      <c r="B49" s="87"/>
      <c r="E49" s="87"/>
      <c r="L49" s="86"/>
    </row>
    <row r="50" spans="2:12">
      <c r="B50" s="87"/>
      <c r="E50" s="87"/>
      <c r="L50" s="86"/>
    </row>
    <row r="51" spans="2:12">
      <c r="B51" s="87"/>
      <c r="E51" s="87"/>
      <c r="L51" s="86"/>
    </row>
    <row r="52" spans="2:12">
      <c r="B52" s="87"/>
      <c r="E52" s="87"/>
      <c r="L52" s="86"/>
    </row>
    <row r="53" spans="2:12">
      <c r="B53" s="87"/>
      <c r="E53" s="87"/>
      <c r="L53" s="86"/>
    </row>
    <row r="54" spans="2:12">
      <c r="B54" s="87"/>
      <c r="E54" s="87"/>
      <c r="L54" s="86"/>
    </row>
    <row r="55" spans="2:12">
      <c r="B55" s="87"/>
      <c r="E55" s="87"/>
      <c r="L55" s="86"/>
    </row>
    <row r="56" spans="2:12">
      <c r="B56" s="87"/>
      <c r="E56" s="87"/>
      <c r="L56" s="86"/>
    </row>
    <row r="57" spans="2:12">
      <c r="B57" s="87"/>
      <c r="E57" s="87"/>
      <c r="L57" s="86"/>
    </row>
    <row r="58" spans="2:12">
      <c r="B58" s="87"/>
      <c r="E58" s="87"/>
      <c r="L58" s="86"/>
    </row>
    <row r="59" spans="2:12">
      <c r="B59" s="87"/>
      <c r="E59" s="87"/>
      <c r="L59" s="86"/>
    </row>
    <row r="60" spans="2:12">
      <c r="B60" s="87"/>
      <c r="E60" s="87"/>
      <c r="L60" s="86"/>
    </row>
    <row r="61" spans="2:12">
      <c r="B61" s="87"/>
      <c r="E61" s="87"/>
      <c r="L61" s="86"/>
    </row>
    <row r="62" spans="2:12">
      <c r="B62" s="86"/>
      <c r="C62" s="86"/>
      <c r="D62" s="86"/>
      <c r="E62" s="86"/>
      <c r="F62" s="86"/>
      <c r="L62" s="86"/>
    </row>
    <row r="63" spans="2:12">
      <c r="B63" s="86"/>
      <c r="C63" s="85"/>
      <c r="D63" s="85"/>
      <c r="E63" s="86"/>
      <c r="F63" s="85"/>
      <c r="L63" s="86"/>
    </row>
    <row r="64" spans="2:12">
      <c r="B64" s="87"/>
      <c r="E64" s="87"/>
      <c r="L64" s="86"/>
    </row>
    <row r="65" spans="2:17">
      <c r="B65" s="87"/>
      <c r="E65" s="87"/>
      <c r="L65" s="86"/>
    </row>
    <row r="66" spans="2:17">
      <c r="B66" s="87"/>
      <c r="E66" s="87"/>
      <c r="L66" s="86"/>
    </row>
    <row r="67" spans="2:17">
      <c r="B67" s="86"/>
      <c r="C67" s="86"/>
      <c r="D67" s="86"/>
      <c r="E67" s="86"/>
      <c r="F67" s="86"/>
      <c r="L67" s="86"/>
    </row>
    <row r="68" spans="2:17">
      <c r="B68" s="86"/>
      <c r="C68" s="85"/>
      <c r="D68" s="85"/>
      <c r="E68" s="86"/>
      <c r="F68" s="85"/>
      <c r="L68" s="86"/>
    </row>
    <row r="69" spans="2:17">
      <c r="B69" s="87"/>
      <c r="E69" s="87"/>
      <c r="L69" s="86"/>
    </row>
    <row r="70" spans="2:17">
      <c r="B70" s="87"/>
      <c r="E70" s="87"/>
      <c r="L70" s="86"/>
      <c r="N70" s="87"/>
      <c r="Q70" s="87"/>
    </row>
    <row r="71" spans="2:17">
      <c r="B71" s="87"/>
      <c r="E71" s="87"/>
      <c r="L71" s="86"/>
      <c r="N71" s="87"/>
      <c r="Q71" s="87"/>
    </row>
    <row r="72" spans="2:17">
      <c r="B72" s="87"/>
      <c r="E72" s="87"/>
      <c r="L72" s="86"/>
      <c r="N72" s="87"/>
      <c r="Q72" s="87"/>
    </row>
    <row r="73" spans="2:17">
      <c r="B73" s="87"/>
      <c r="E73" s="87"/>
      <c r="L73" s="86"/>
      <c r="N73" s="87"/>
      <c r="Q73" s="87"/>
    </row>
    <row r="74" spans="2:17">
      <c r="B74" s="87"/>
      <c r="E74" s="87"/>
      <c r="L74" s="86"/>
      <c r="N74" s="87"/>
      <c r="Q74" s="87"/>
    </row>
    <row r="75" spans="2:17">
      <c r="B75" s="87"/>
      <c r="E75" s="87"/>
      <c r="L75" s="86"/>
      <c r="N75" s="87"/>
      <c r="Q75" s="87"/>
    </row>
    <row r="76" spans="2:17">
      <c r="B76" s="87"/>
      <c r="E76" s="87"/>
      <c r="L76" s="86"/>
      <c r="N76" s="87"/>
      <c r="Q76" s="87"/>
    </row>
    <row r="77" spans="2:17">
      <c r="B77" s="87"/>
      <c r="E77" s="87"/>
      <c r="L77" s="86"/>
      <c r="N77" s="87"/>
      <c r="Q77" s="87"/>
    </row>
    <row r="78" spans="2:17">
      <c r="B78" s="87"/>
      <c r="E78" s="87"/>
      <c r="L78" s="86"/>
      <c r="N78" s="87"/>
      <c r="Q78" s="87"/>
    </row>
    <row r="79" spans="2:17">
      <c r="B79" s="87"/>
      <c r="E79" s="87"/>
      <c r="L79" s="86"/>
      <c r="N79" s="87"/>
      <c r="Q79" s="87"/>
    </row>
    <row r="80" spans="2:17">
      <c r="B80" s="87"/>
      <c r="E80" s="87"/>
      <c r="L80" s="86"/>
      <c r="N80" s="87"/>
      <c r="Q80" s="87"/>
    </row>
    <row r="81" spans="2:17">
      <c r="B81" s="87"/>
      <c r="E81" s="87"/>
      <c r="L81" s="86"/>
      <c r="N81" s="87"/>
      <c r="Q81" s="87"/>
    </row>
    <row r="82" spans="2:17">
      <c r="B82" s="87"/>
      <c r="E82" s="87"/>
      <c r="L82" s="86"/>
      <c r="N82" s="87"/>
      <c r="Q82" s="87"/>
    </row>
    <row r="83" spans="2:17">
      <c r="B83" s="87"/>
      <c r="E83" s="87"/>
      <c r="L83" s="86"/>
      <c r="N83" s="87"/>
      <c r="Q83" s="87"/>
    </row>
    <row r="84" spans="2:17">
      <c r="B84" s="87"/>
      <c r="E84" s="87"/>
      <c r="L84" s="86"/>
      <c r="N84" s="87"/>
      <c r="Q84" s="87"/>
    </row>
    <row r="85" spans="2:17">
      <c r="B85" s="87"/>
      <c r="E85" s="87"/>
      <c r="L85" s="86"/>
      <c r="N85" s="87"/>
      <c r="Q85" s="87"/>
    </row>
    <row r="86" spans="2:17">
      <c r="B86" s="87"/>
      <c r="E86" s="87"/>
      <c r="L86" s="86"/>
      <c r="N86" s="87"/>
      <c r="Q86" s="87"/>
    </row>
    <row r="87" spans="2:17">
      <c r="B87" s="87"/>
      <c r="E87" s="87"/>
      <c r="L87" s="86"/>
      <c r="N87" s="87"/>
      <c r="Q87" s="87"/>
    </row>
    <row r="88" spans="2:17">
      <c r="B88" s="87"/>
      <c r="E88" s="87"/>
      <c r="L88" s="86"/>
      <c r="N88" s="87"/>
      <c r="Q88" s="87"/>
    </row>
    <row r="89" spans="2:17">
      <c r="B89" s="87"/>
      <c r="E89" s="87"/>
      <c r="L89" s="86"/>
      <c r="N89" s="87"/>
      <c r="Q89" s="87"/>
    </row>
    <row r="90" spans="2:17">
      <c r="B90" s="87"/>
      <c r="E90" s="87"/>
      <c r="L90" s="86"/>
      <c r="N90" s="87"/>
      <c r="Q90" s="87"/>
    </row>
    <row r="91" spans="2:17">
      <c r="B91" s="87"/>
      <c r="E91" s="87"/>
      <c r="L91" s="86"/>
      <c r="N91" s="87"/>
      <c r="Q91" s="87"/>
    </row>
    <row r="92" spans="2:17">
      <c r="B92" s="87"/>
      <c r="E92" s="87"/>
      <c r="L92" s="86"/>
      <c r="N92" s="87"/>
      <c r="Q92" s="87"/>
    </row>
    <row r="93" spans="2:17">
      <c r="B93" s="87"/>
      <c r="E93" s="87"/>
      <c r="L93" s="86"/>
      <c r="N93" s="87"/>
      <c r="Q93" s="87"/>
    </row>
    <row r="94" spans="2:17">
      <c r="B94" s="87"/>
      <c r="E94" s="87"/>
      <c r="L94" s="86"/>
      <c r="N94" s="87"/>
      <c r="Q94" s="87"/>
    </row>
    <row r="95" spans="2:17">
      <c r="B95" s="87"/>
      <c r="E95" s="87"/>
      <c r="L95" s="86"/>
      <c r="N95" s="87"/>
      <c r="Q95" s="87"/>
    </row>
    <row r="96" spans="2:17">
      <c r="B96" s="87"/>
      <c r="E96" s="87"/>
      <c r="L96" s="86"/>
      <c r="N96" s="87"/>
      <c r="Q96" s="87"/>
    </row>
    <row r="97" spans="2:17">
      <c r="B97" s="87"/>
      <c r="E97" s="87"/>
      <c r="L97" s="86"/>
      <c r="N97" s="87"/>
      <c r="Q97" s="87"/>
    </row>
    <row r="98" spans="2:17">
      <c r="B98" s="87"/>
      <c r="E98" s="87"/>
      <c r="L98" s="86"/>
      <c r="N98" s="87"/>
      <c r="Q98" s="87"/>
    </row>
    <row r="99" spans="2:17">
      <c r="B99" s="87"/>
      <c r="E99" s="87"/>
      <c r="L99" s="86"/>
      <c r="N99" s="87"/>
      <c r="Q99" s="87"/>
    </row>
    <row r="100" spans="2:17">
      <c r="B100" s="87"/>
      <c r="E100" s="87"/>
      <c r="L100" s="86"/>
      <c r="N100" s="87"/>
      <c r="Q100" s="87"/>
    </row>
    <row r="101" spans="2:17">
      <c r="B101" s="87"/>
      <c r="E101" s="87"/>
      <c r="L101" s="86"/>
      <c r="N101" s="87"/>
      <c r="Q101" s="87"/>
    </row>
    <row r="102" spans="2:17">
      <c r="B102" s="87"/>
      <c r="E102" s="87"/>
      <c r="L102" s="86"/>
      <c r="N102" s="87"/>
      <c r="Q102" s="87"/>
    </row>
    <row r="103" spans="2:17">
      <c r="B103" s="87"/>
      <c r="E103" s="87"/>
      <c r="L103" s="86"/>
      <c r="N103" s="87"/>
      <c r="Q103" s="87"/>
    </row>
    <row r="104" spans="2:17">
      <c r="B104" s="87"/>
      <c r="E104" s="87"/>
      <c r="L104" s="86"/>
      <c r="N104" s="87"/>
      <c r="Q104" s="87"/>
    </row>
    <row r="105" spans="2:17">
      <c r="B105" s="87"/>
      <c r="E105" s="87"/>
      <c r="L105" s="86"/>
      <c r="N105" s="87"/>
      <c r="Q105" s="87"/>
    </row>
    <row r="106" spans="2:17">
      <c r="B106" s="87"/>
      <c r="E106" s="87"/>
      <c r="L106" s="86"/>
      <c r="N106" s="87"/>
      <c r="Q106" s="87"/>
    </row>
    <row r="107" spans="2:17">
      <c r="B107" s="87"/>
      <c r="E107" s="87"/>
      <c r="L107" s="86"/>
      <c r="N107" s="87"/>
      <c r="Q107" s="87"/>
    </row>
    <row r="108" spans="2:17">
      <c r="B108" s="87"/>
      <c r="E108" s="87"/>
      <c r="L108" s="86"/>
      <c r="N108" s="87"/>
      <c r="Q108" s="87"/>
    </row>
    <row r="109" spans="2:17">
      <c r="B109" s="87"/>
      <c r="E109" s="87"/>
      <c r="L109" s="86"/>
      <c r="N109" s="87"/>
      <c r="Q109" s="87"/>
    </row>
    <row r="110" spans="2:17">
      <c r="L110" s="86"/>
      <c r="N110" s="87"/>
      <c r="Q110" s="87"/>
    </row>
    <row r="111" spans="2:17">
      <c r="L111" s="86"/>
      <c r="N111" s="87"/>
      <c r="Q111" s="87"/>
    </row>
    <row r="112" spans="2:17">
      <c r="L112" s="86"/>
      <c r="N112" s="87"/>
      <c r="Q112" s="87"/>
    </row>
    <row r="113" spans="12:17">
      <c r="L113" s="86"/>
      <c r="N113" s="87"/>
      <c r="Q113" s="87"/>
    </row>
    <row r="114" spans="12:17">
      <c r="L114" s="86"/>
      <c r="N114" s="87"/>
      <c r="Q114" s="87"/>
    </row>
    <row r="115" spans="12:17">
      <c r="L115" s="86"/>
      <c r="N115" s="87"/>
      <c r="Q115" s="87"/>
    </row>
    <row r="116" spans="12:17">
      <c r="L116" s="86"/>
      <c r="N116" s="87"/>
      <c r="Q116" s="87"/>
    </row>
    <row r="117" spans="12:17">
      <c r="L117" s="86"/>
      <c r="N117" s="87"/>
      <c r="Q117" s="87"/>
    </row>
    <row r="118" spans="12:17">
      <c r="L118" s="86"/>
      <c r="N118" s="87"/>
      <c r="Q118" s="87"/>
    </row>
    <row r="119" spans="12:17">
      <c r="L119" s="86"/>
      <c r="N119" s="87"/>
      <c r="Q119" s="87"/>
    </row>
    <row r="120" spans="12:17">
      <c r="L120" s="86"/>
      <c r="N120" s="87"/>
      <c r="Q120" s="87"/>
    </row>
    <row r="121" spans="12:17">
      <c r="L121" s="86"/>
      <c r="N121" s="87"/>
      <c r="Q121" s="87"/>
    </row>
    <row r="122" spans="12:17">
      <c r="L122" s="86"/>
      <c r="N122" s="87"/>
      <c r="Q122" s="87"/>
    </row>
    <row r="123" spans="12:17">
      <c r="L123" s="86"/>
      <c r="N123" s="87"/>
      <c r="Q123" s="87"/>
    </row>
    <row r="124" spans="12:17">
      <c r="L124" s="86"/>
      <c r="N124" s="87"/>
      <c r="Q124" s="87"/>
    </row>
    <row r="125" spans="12:17">
      <c r="L125" s="86"/>
      <c r="N125" s="87"/>
      <c r="Q125" s="87"/>
    </row>
    <row r="126" spans="12:17">
      <c r="L126" s="86"/>
      <c r="N126" s="87"/>
      <c r="Q126" s="87"/>
    </row>
    <row r="127" spans="12:17">
      <c r="L127" s="86"/>
      <c r="N127" s="87"/>
      <c r="Q127" s="87"/>
    </row>
    <row r="128" spans="12:17">
      <c r="L128" s="86"/>
      <c r="N128" s="87"/>
      <c r="Q128" s="87"/>
    </row>
    <row r="129" spans="12:17">
      <c r="L129" s="86"/>
      <c r="N129" s="87"/>
      <c r="Q129" s="87"/>
    </row>
    <row r="130" spans="12:17">
      <c r="L130" s="86"/>
      <c r="N130" s="87"/>
      <c r="Q130" s="87"/>
    </row>
    <row r="131" spans="12:17">
      <c r="L131" s="86"/>
      <c r="N131" s="87"/>
      <c r="Q131" s="87"/>
    </row>
    <row r="132" spans="12:17">
      <c r="L132" s="86"/>
      <c r="N132" s="87"/>
      <c r="Q132" s="87"/>
    </row>
    <row r="133" spans="12:17">
      <c r="L133" s="86"/>
      <c r="N133" s="87"/>
      <c r="Q133" s="87"/>
    </row>
    <row r="134" spans="12:17">
      <c r="L134" s="86"/>
      <c r="N134" s="87"/>
      <c r="Q134" s="87"/>
    </row>
    <row r="135" spans="12:17">
      <c r="L135" s="86"/>
      <c r="N135" s="87"/>
      <c r="Q135" s="87"/>
    </row>
    <row r="136" spans="12:17">
      <c r="L136" s="86"/>
      <c r="N136" s="87"/>
      <c r="Q136" s="87"/>
    </row>
    <row r="137" spans="12:17">
      <c r="L137" s="86"/>
      <c r="N137" s="87"/>
      <c r="Q137" s="87"/>
    </row>
    <row r="138" spans="12:17">
      <c r="L138" s="86"/>
      <c r="N138" s="87"/>
      <c r="Q138" s="87"/>
    </row>
    <row r="139" spans="12:17">
      <c r="L139" s="86"/>
      <c r="N139" s="87"/>
      <c r="Q139" s="87"/>
    </row>
    <row r="140" spans="12:17">
      <c r="L140" s="86"/>
      <c r="N140" s="87"/>
      <c r="Q140" s="87"/>
    </row>
    <row r="141" spans="12:17">
      <c r="L141" s="86"/>
      <c r="N141" s="87"/>
      <c r="Q141" s="87"/>
    </row>
    <row r="142" spans="12:17">
      <c r="L142" s="86"/>
      <c r="N142" s="87"/>
      <c r="Q142" s="87"/>
    </row>
    <row r="143" spans="12:17">
      <c r="L143" s="86"/>
      <c r="N143" s="87"/>
      <c r="Q143" s="87"/>
    </row>
    <row r="144" spans="12:17">
      <c r="L144" s="86"/>
      <c r="N144" s="87"/>
      <c r="Q144" s="87"/>
    </row>
    <row r="145" spans="12:17">
      <c r="L145" s="86"/>
      <c r="N145" s="87"/>
      <c r="Q145" s="87"/>
    </row>
    <row r="146" spans="12:17">
      <c r="L146" s="86"/>
      <c r="N146" s="87"/>
      <c r="Q146" s="87"/>
    </row>
    <row r="147" spans="12:17">
      <c r="L147" s="86"/>
      <c r="N147" s="87"/>
      <c r="Q147" s="87"/>
    </row>
    <row r="148" spans="12:17">
      <c r="L148" s="86"/>
      <c r="N148" s="87"/>
      <c r="Q148" s="87"/>
    </row>
    <row r="149" spans="12:17">
      <c r="L149" s="86"/>
      <c r="N149" s="87"/>
      <c r="Q149" s="87"/>
    </row>
    <row r="150" spans="12:17">
      <c r="L150" s="86"/>
      <c r="N150" s="87"/>
      <c r="Q150" s="87"/>
    </row>
    <row r="151" spans="12:17">
      <c r="L151" s="86"/>
      <c r="N151" s="87"/>
      <c r="Q151" s="87"/>
    </row>
    <row r="152" spans="12:17">
      <c r="L152" s="86"/>
      <c r="N152" s="87"/>
      <c r="Q152" s="87"/>
    </row>
    <row r="153" spans="12:17">
      <c r="L153" s="86"/>
      <c r="N153" s="87"/>
      <c r="Q153" s="87"/>
    </row>
    <row r="154" spans="12:17">
      <c r="L154" s="86"/>
      <c r="N154" s="87"/>
      <c r="Q154" s="87"/>
    </row>
    <row r="155" spans="12:17">
      <c r="L155" s="86"/>
      <c r="N155" s="87"/>
      <c r="Q155" s="87"/>
    </row>
    <row r="156" spans="12:17">
      <c r="L156" s="86"/>
      <c r="N156" s="87"/>
      <c r="Q156" s="87"/>
    </row>
    <row r="157" spans="12:17">
      <c r="L157" s="86"/>
      <c r="N157" s="87"/>
      <c r="Q157" s="87"/>
    </row>
    <row r="158" spans="12:17">
      <c r="L158" s="86"/>
      <c r="N158" s="87"/>
      <c r="Q158" s="87"/>
    </row>
    <row r="159" spans="12:17">
      <c r="L159" s="86"/>
      <c r="N159" s="87"/>
      <c r="Q159" s="87"/>
    </row>
    <row r="160" spans="12:17">
      <c r="L160" s="86"/>
      <c r="N160" s="87"/>
      <c r="Q160" s="87"/>
    </row>
    <row r="161" spans="12:17">
      <c r="L161" s="86"/>
      <c r="N161" s="87"/>
      <c r="Q161" s="87"/>
    </row>
    <row r="162" spans="12:17">
      <c r="L162" s="86"/>
      <c r="N162" s="87"/>
      <c r="Q162" s="87"/>
    </row>
    <row r="163" spans="12:17">
      <c r="L163" s="86"/>
      <c r="N163" s="87"/>
      <c r="Q163" s="87"/>
    </row>
    <row r="164" spans="12:17">
      <c r="L164" s="86"/>
      <c r="N164" s="87"/>
      <c r="Q164" s="87"/>
    </row>
    <row r="165" spans="12:17">
      <c r="L165" s="86"/>
      <c r="N165" s="87"/>
      <c r="Q165" s="87"/>
    </row>
    <row r="166" spans="12:17">
      <c r="L166" s="86"/>
      <c r="N166" s="87"/>
      <c r="Q166" s="87"/>
    </row>
    <row r="167" spans="12:17">
      <c r="L167" s="86"/>
      <c r="N167" s="87"/>
      <c r="Q167" s="87"/>
    </row>
    <row r="168" spans="12:17">
      <c r="L168" s="86"/>
      <c r="N168" s="87"/>
      <c r="Q168" s="87"/>
    </row>
    <row r="169" spans="12:17">
      <c r="L169" s="86"/>
      <c r="N169" s="87"/>
      <c r="Q169" s="87"/>
    </row>
    <row r="170" spans="12:17">
      <c r="L170" s="86"/>
      <c r="N170" s="87"/>
      <c r="Q170" s="87"/>
    </row>
    <row r="171" spans="12:17">
      <c r="L171" s="86"/>
      <c r="N171" s="87"/>
      <c r="Q171" s="87"/>
    </row>
    <row r="172" spans="12:17">
      <c r="L172" s="86"/>
      <c r="N172" s="87"/>
      <c r="Q172" s="87"/>
    </row>
    <row r="173" spans="12:17">
      <c r="L173" s="86"/>
      <c r="N173" s="87"/>
      <c r="Q173" s="87"/>
    </row>
    <row r="174" spans="12:17">
      <c r="L174" s="86"/>
      <c r="N174" s="87"/>
      <c r="Q174" s="87"/>
    </row>
    <row r="175" spans="12:17">
      <c r="L175" s="86"/>
      <c r="N175" s="87"/>
      <c r="Q175" s="87"/>
    </row>
    <row r="176" spans="12:17">
      <c r="L176" s="86"/>
      <c r="N176" s="87"/>
      <c r="Q176" s="87"/>
    </row>
    <row r="177" spans="12:17">
      <c r="L177" s="86"/>
      <c r="N177" s="87"/>
      <c r="Q177" s="87"/>
    </row>
    <row r="178" spans="12:17">
      <c r="L178" s="86"/>
      <c r="N178" s="87"/>
      <c r="Q178" s="87"/>
    </row>
    <row r="179" spans="12:17">
      <c r="L179" s="86"/>
      <c r="N179" s="87"/>
      <c r="Q179" s="87"/>
    </row>
    <row r="180" spans="12:17">
      <c r="L180" s="86"/>
      <c r="N180" s="87"/>
      <c r="Q180" s="87"/>
    </row>
    <row r="181" spans="12:17">
      <c r="L181" s="86"/>
      <c r="N181" s="87"/>
      <c r="Q181" s="87"/>
    </row>
    <row r="182" spans="12:17">
      <c r="L182" s="86"/>
      <c r="N182" s="87"/>
      <c r="Q182" s="87"/>
    </row>
    <row r="183" spans="12:17">
      <c r="L183" s="86"/>
      <c r="N183" s="87"/>
      <c r="Q183" s="87"/>
    </row>
    <row r="184" spans="12:17">
      <c r="L184" s="86"/>
      <c r="N184" s="87"/>
      <c r="Q184" s="87"/>
    </row>
    <row r="185" spans="12:17">
      <c r="L185" s="86"/>
      <c r="N185" s="87"/>
      <c r="Q185" s="87"/>
    </row>
    <row r="186" spans="12:17">
      <c r="L186" s="86"/>
      <c r="N186" s="87"/>
      <c r="Q186" s="87"/>
    </row>
    <row r="187" spans="12:17">
      <c r="L187" s="86"/>
      <c r="N187" s="87"/>
      <c r="Q187" s="87"/>
    </row>
    <row r="188" spans="12:17">
      <c r="L188" s="86"/>
      <c r="N188" s="87"/>
      <c r="Q188" s="87"/>
    </row>
    <row r="189" spans="12:17">
      <c r="L189" s="86"/>
      <c r="N189" s="87"/>
      <c r="Q189" s="87"/>
    </row>
    <row r="190" spans="12:17">
      <c r="L190" s="86"/>
      <c r="N190" s="87"/>
      <c r="Q190" s="87"/>
    </row>
    <row r="191" spans="12:17">
      <c r="L191" s="86"/>
      <c r="N191" s="87"/>
      <c r="Q191" s="87"/>
    </row>
    <row r="192" spans="12:17">
      <c r="L192" s="86"/>
      <c r="N192" s="87"/>
      <c r="Q192" s="87"/>
    </row>
    <row r="193" spans="12:17">
      <c r="L193" s="86"/>
      <c r="N193" s="87"/>
      <c r="Q193" s="87"/>
    </row>
    <row r="194" spans="12:17">
      <c r="L194" s="86"/>
      <c r="N194" s="87"/>
      <c r="Q194" s="87"/>
    </row>
    <row r="195" spans="12:17">
      <c r="L195" s="86"/>
      <c r="N195" s="87"/>
      <c r="Q195" s="87"/>
    </row>
    <row r="196" spans="12:17">
      <c r="L196" s="86"/>
      <c r="N196" s="87"/>
      <c r="Q196" s="87"/>
    </row>
    <row r="197" spans="12:17">
      <c r="L197" s="86"/>
      <c r="N197" s="87"/>
      <c r="Q197" s="87"/>
    </row>
    <row r="198" spans="12:17">
      <c r="L198" s="86"/>
      <c r="N198" s="87"/>
      <c r="Q198" s="87"/>
    </row>
    <row r="199" spans="12:17">
      <c r="L199" s="86"/>
      <c r="N199" s="87"/>
      <c r="Q199" s="87"/>
    </row>
    <row r="200" spans="12:17">
      <c r="L200" s="86"/>
      <c r="N200" s="87"/>
      <c r="Q200" s="87"/>
    </row>
    <row r="201" spans="12:17">
      <c r="L201" s="86"/>
      <c r="N201" s="87"/>
      <c r="Q201" s="87"/>
    </row>
    <row r="202" spans="12:17">
      <c r="L202" s="86"/>
      <c r="N202" s="87"/>
      <c r="Q202" s="87"/>
    </row>
    <row r="203" spans="12:17">
      <c r="L203" s="86"/>
      <c r="N203" s="87"/>
      <c r="Q203" s="87"/>
    </row>
    <row r="204" spans="12:17">
      <c r="L204" s="86"/>
      <c r="N204" s="87"/>
      <c r="Q204" s="87"/>
    </row>
    <row r="205" spans="12:17">
      <c r="L205" s="86"/>
      <c r="N205" s="87"/>
      <c r="Q205" s="87"/>
    </row>
    <row r="206" spans="12:17">
      <c r="L206" s="86"/>
      <c r="N206" s="87"/>
      <c r="Q206" s="87"/>
    </row>
    <row r="207" spans="12:17">
      <c r="L207" s="86"/>
      <c r="N207" s="87"/>
      <c r="Q207" s="87"/>
    </row>
    <row r="208" spans="12:17">
      <c r="L208" s="86"/>
      <c r="N208" s="87"/>
      <c r="Q208" s="87"/>
    </row>
    <row r="209" spans="12:17">
      <c r="L209" s="86"/>
      <c r="N209" s="87"/>
      <c r="Q209" s="87"/>
    </row>
    <row r="210" spans="12:17">
      <c r="L210" s="86"/>
      <c r="N210" s="87"/>
      <c r="Q210" s="87"/>
    </row>
    <row r="211" spans="12:17">
      <c r="L211" s="86"/>
      <c r="N211" s="87"/>
      <c r="Q211" s="87"/>
    </row>
    <row r="212" spans="12:17">
      <c r="L212" s="86"/>
      <c r="N212" s="87"/>
      <c r="Q212" s="87"/>
    </row>
    <row r="213" spans="12:17">
      <c r="L213" s="86"/>
      <c r="N213" s="87"/>
      <c r="Q213" s="87"/>
    </row>
    <row r="214" spans="12:17">
      <c r="L214" s="86"/>
      <c r="N214" s="87"/>
      <c r="Q214" s="87"/>
    </row>
    <row r="215" spans="12:17">
      <c r="L215" s="86"/>
      <c r="N215" s="87"/>
      <c r="Q215" s="87"/>
    </row>
    <row r="216" spans="12:17">
      <c r="L216" s="86"/>
      <c r="N216" s="87"/>
      <c r="Q216" s="87"/>
    </row>
    <row r="217" spans="12:17">
      <c r="L217" s="86"/>
      <c r="N217" s="87"/>
      <c r="Q217" s="87"/>
    </row>
    <row r="218" spans="12:17">
      <c r="L218" s="86"/>
      <c r="N218" s="87"/>
      <c r="Q218" s="87"/>
    </row>
    <row r="219" spans="12:17">
      <c r="L219" s="86"/>
      <c r="N219" s="87"/>
      <c r="Q219" s="87"/>
    </row>
    <row r="220" spans="12:17">
      <c r="L220" s="86"/>
      <c r="N220" s="87"/>
      <c r="Q220" s="87"/>
    </row>
    <row r="221" spans="12:17">
      <c r="L221" s="86"/>
      <c r="N221" s="87"/>
      <c r="Q221" s="87"/>
    </row>
    <row r="222" spans="12:17">
      <c r="L222" s="86"/>
      <c r="N222" s="87"/>
      <c r="Q222" s="87"/>
    </row>
    <row r="223" spans="12:17">
      <c r="L223" s="86"/>
      <c r="N223" s="87"/>
      <c r="Q223" s="87"/>
    </row>
    <row r="224" spans="12:17">
      <c r="L224" s="86"/>
      <c r="N224" s="87"/>
      <c r="Q224" s="87"/>
    </row>
    <row r="225" spans="12:17">
      <c r="L225" s="86"/>
      <c r="N225" s="87"/>
      <c r="Q225" s="87"/>
    </row>
    <row r="226" spans="12:17">
      <c r="L226" s="86"/>
      <c r="N226" s="87"/>
      <c r="Q226" s="87"/>
    </row>
    <row r="227" spans="12:17">
      <c r="L227" s="86"/>
      <c r="N227" s="87"/>
      <c r="Q227" s="87"/>
    </row>
    <row r="228" spans="12:17">
      <c r="L228" s="86"/>
      <c r="N228" s="87"/>
      <c r="Q228" s="87"/>
    </row>
    <row r="229" spans="12:17">
      <c r="L229" s="86"/>
      <c r="N229" s="87"/>
      <c r="Q229" s="87"/>
    </row>
    <row r="230" spans="12:17">
      <c r="L230" s="86"/>
      <c r="N230" s="87"/>
      <c r="Q230" s="87"/>
    </row>
    <row r="231" spans="12:17">
      <c r="L231" s="86"/>
      <c r="N231" s="87"/>
      <c r="Q231" s="87"/>
    </row>
    <row r="232" spans="12:17">
      <c r="L232" s="86"/>
      <c r="N232" s="87"/>
      <c r="Q232" s="87"/>
    </row>
    <row r="233" spans="12:17">
      <c r="L233" s="86"/>
      <c r="N233" s="87"/>
      <c r="Q233" s="87"/>
    </row>
    <row r="234" spans="12:17">
      <c r="L234" s="86"/>
      <c r="N234" s="87"/>
      <c r="Q234" s="87"/>
    </row>
    <row r="235" spans="12:17">
      <c r="L235" s="86"/>
      <c r="N235" s="87"/>
      <c r="Q235" s="87"/>
    </row>
    <row r="236" spans="12:17">
      <c r="L236" s="86"/>
      <c r="N236" s="87"/>
      <c r="Q236" s="87"/>
    </row>
    <row r="237" spans="12:17">
      <c r="L237" s="86"/>
      <c r="N237" s="87"/>
      <c r="Q237" s="87"/>
    </row>
    <row r="238" spans="12:17">
      <c r="L238" s="86"/>
      <c r="N238" s="87"/>
      <c r="Q238" s="87"/>
    </row>
    <row r="239" spans="12:17">
      <c r="L239" s="86"/>
      <c r="N239" s="87"/>
      <c r="Q239" s="87"/>
    </row>
    <row r="240" spans="12:17">
      <c r="L240" s="86"/>
      <c r="N240" s="87"/>
      <c r="Q240" s="87"/>
    </row>
    <row r="241" spans="12:17">
      <c r="L241" s="86"/>
      <c r="N241" s="87"/>
      <c r="Q241" s="87"/>
    </row>
    <row r="242" spans="12:17">
      <c r="L242" s="86"/>
      <c r="N242" s="87"/>
      <c r="Q242" s="87"/>
    </row>
    <row r="243" spans="12:17">
      <c r="L243" s="86"/>
      <c r="N243" s="87"/>
      <c r="Q243" s="87"/>
    </row>
    <row r="244" spans="12:17">
      <c r="L244" s="86"/>
      <c r="N244" s="87"/>
      <c r="Q244" s="87"/>
    </row>
    <row r="245" spans="12:17">
      <c r="L245" s="86"/>
      <c r="N245" s="87"/>
      <c r="Q245" s="87"/>
    </row>
    <row r="246" spans="12:17">
      <c r="L246" s="86"/>
      <c r="N246" s="87"/>
      <c r="Q246" s="87"/>
    </row>
    <row r="247" spans="12:17">
      <c r="L247" s="86"/>
      <c r="N247" s="87"/>
      <c r="Q247" s="87"/>
    </row>
    <row r="248" spans="12:17">
      <c r="L248" s="86"/>
      <c r="N248" s="87"/>
      <c r="Q248" s="87"/>
    </row>
    <row r="249" spans="12:17">
      <c r="L249" s="86"/>
      <c r="N249" s="87"/>
      <c r="Q249" s="87"/>
    </row>
    <row r="250" spans="12:17">
      <c r="L250" s="86"/>
      <c r="N250" s="87"/>
      <c r="Q250" s="87"/>
    </row>
    <row r="251" spans="12:17">
      <c r="L251" s="86"/>
      <c r="N251" s="87"/>
      <c r="Q251" s="87"/>
    </row>
    <row r="252" spans="12:17">
      <c r="L252" s="86"/>
      <c r="N252" s="87"/>
      <c r="Q252" s="87"/>
    </row>
    <row r="253" spans="12:17">
      <c r="L253" s="86"/>
      <c r="N253" s="87"/>
      <c r="Q253" s="87"/>
    </row>
    <row r="254" spans="12:17">
      <c r="L254" s="86"/>
      <c r="N254" s="87"/>
      <c r="Q254" s="87"/>
    </row>
    <row r="255" spans="12:17">
      <c r="L255" s="86"/>
      <c r="N255" s="87"/>
      <c r="Q255" s="87"/>
    </row>
    <row r="256" spans="12:17">
      <c r="L256" s="86"/>
      <c r="N256" s="87"/>
      <c r="Q256" s="87"/>
    </row>
    <row r="257" spans="12:17">
      <c r="L257" s="86"/>
      <c r="N257" s="87"/>
      <c r="Q257" s="87"/>
    </row>
    <row r="258" spans="12:17">
      <c r="L258" s="86"/>
      <c r="N258" s="87"/>
      <c r="Q258" s="87"/>
    </row>
    <row r="259" spans="12:17">
      <c r="L259" s="86"/>
      <c r="N259" s="87"/>
      <c r="Q259" s="87"/>
    </row>
    <row r="260" spans="12:17">
      <c r="L260" s="86"/>
      <c r="N260" s="87"/>
      <c r="Q260" s="87"/>
    </row>
    <row r="261" spans="12:17">
      <c r="L261" s="86"/>
      <c r="N261" s="87"/>
      <c r="Q261" s="87"/>
    </row>
    <row r="262" spans="12:17">
      <c r="L262" s="86"/>
      <c r="N262" s="87"/>
      <c r="Q262" s="87"/>
    </row>
    <row r="263" spans="12:17">
      <c r="L263" s="86"/>
      <c r="N263" s="87"/>
      <c r="Q263" s="87"/>
    </row>
    <row r="264" spans="12:17">
      <c r="L264" s="86"/>
      <c r="N264" s="87"/>
      <c r="Q264" s="87"/>
    </row>
    <row r="265" spans="12:17">
      <c r="L265" s="86"/>
      <c r="N265" s="87"/>
      <c r="Q265" s="87"/>
    </row>
    <row r="266" spans="12:17">
      <c r="L266" s="86"/>
      <c r="N266" s="87"/>
      <c r="Q266" s="87"/>
    </row>
    <row r="267" spans="12:17">
      <c r="L267" s="86"/>
      <c r="N267" s="87"/>
      <c r="Q267" s="87"/>
    </row>
    <row r="268" spans="12:17">
      <c r="L268" s="86"/>
      <c r="N268" s="87"/>
      <c r="Q268" s="87"/>
    </row>
    <row r="269" spans="12:17">
      <c r="L269" s="86"/>
      <c r="N269" s="87"/>
      <c r="Q269" s="87"/>
    </row>
    <row r="270" spans="12:17">
      <c r="L270" s="86"/>
      <c r="N270" s="87"/>
      <c r="Q270" s="87"/>
    </row>
    <row r="271" spans="12:17">
      <c r="L271" s="86"/>
      <c r="N271" s="87"/>
      <c r="Q271" s="87"/>
    </row>
    <row r="272" spans="12:17">
      <c r="L272" s="86"/>
      <c r="N272" s="87"/>
      <c r="Q272" s="87"/>
    </row>
    <row r="273" spans="12:17">
      <c r="L273" s="86"/>
      <c r="N273" s="87"/>
      <c r="Q273" s="87"/>
    </row>
    <row r="274" spans="12:17">
      <c r="L274" s="86"/>
      <c r="N274" s="87"/>
      <c r="Q274" s="87"/>
    </row>
    <row r="275" spans="12:17">
      <c r="L275" s="86"/>
      <c r="N275" s="87"/>
      <c r="Q275" s="87"/>
    </row>
    <row r="276" spans="12:17">
      <c r="L276" s="86"/>
      <c r="N276" s="87"/>
      <c r="Q276" s="87"/>
    </row>
    <row r="277" spans="12:17">
      <c r="L277" s="86"/>
      <c r="N277" s="87"/>
      <c r="Q277" s="87"/>
    </row>
    <row r="278" spans="12:17">
      <c r="L278" s="86"/>
      <c r="N278" s="87"/>
      <c r="Q278" s="87"/>
    </row>
    <row r="279" spans="12:17">
      <c r="L279" s="86"/>
      <c r="N279" s="87"/>
      <c r="Q279" s="87"/>
    </row>
    <row r="280" spans="12:17">
      <c r="L280" s="86"/>
      <c r="N280" s="87"/>
      <c r="Q280" s="87"/>
    </row>
    <row r="281" spans="12:17">
      <c r="L281" s="86"/>
      <c r="N281" s="87"/>
      <c r="Q281" s="87"/>
    </row>
    <row r="282" spans="12:17">
      <c r="L282" s="86"/>
      <c r="N282" s="87"/>
      <c r="Q282" s="87"/>
    </row>
    <row r="283" spans="12:17">
      <c r="L283" s="86"/>
      <c r="N283" s="87"/>
      <c r="Q283" s="87"/>
    </row>
    <row r="284" spans="12:17">
      <c r="L284" s="86"/>
      <c r="N284" s="87"/>
      <c r="Q284" s="87"/>
    </row>
    <row r="285" spans="12:17">
      <c r="L285" s="86"/>
      <c r="N285" s="87"/>
      <c r="Q285" s="87"/>
    </row>
    <row r="286" spans="12:17">
      <c r="L286" s="86"/>
      <c r="N286" s="87"/>
      <c r="Q286" s="87"/>
    </row>
    <row r="287" spans="12:17">
      <c r="L287" s="86"/>
      <c r="N287" s="87"/>
      <c r="Q287" s="87"/>
    </row>
    <row r="288" spans="12:17">
      <c r="L288" s="86"/>
      <c r="N288" s="87"/>
      <c r="Q288" s="87"/>
    </row>
    <row r="289" spans="12:17">
      <c r="L289" s="86"/>
      <c r="N289" s="87"/>
      <c r="Q289" s="87"/>
    </row>
    <row r="290" spans="12:17">
      <c r="L290" s="86"/>
      <c r="N290" s="87"/>
      <c r="Q290" s="87"/>
    </row>
    <row r="291" spans="12:17">
      <c r="L291" s="86"/>
      <c r="N291" s="87"/>
      <c r="Q291" s="87"/>
    </row>
    <row r="292" spans="12:17">
      <c r="L292" s="86"/>
      <c r="N292" s="87"/>
      <c r="Q292" s="87"/>
    </row>
    <row r="293" spans="12:17">
      <c r="L293" s="86"/>
      <c r="N293" s="87"/>
      <c r="Q293" s="87"/>
    </row>
    <row r="294" spans="12:17">
      <c r="L294" s="86"/>
      <c r="N294" s="87"/>
      <c r="Q294" s="87"/>
    </row>
    <row r="295" spans="12:17">
      <c r="L295" s="86"/>
      <c r="N295" s="87"/>
      <c r="Q295" s="87"/>
    </row>
    <row r="296" spans="12:17">
      <c r="L296" s="86"/>
      <c r="N296" s="87"/>
      <c r="Q296" s="87"/>
    </row>
    <row r="297" spans="12:17">
      <c r="L297" s="86"/>
      <c r="N297" s="87"/>
      <c r="Q297" s="87"/>
    </row>
    <row r="298" spans="12:17">
      <c r="L298" s="86"/>
      <c r="N298" s="87"/>
      <c r="Q298" s="87"/>
    </row>
    <row r="299" spans="12:17">
      <c r="L299" s="86"/>
      <c r="N299" s="87"/>
      <c r="Q299" s="87"/>
    </row>
    <row r="300" spans="12:17">
      <c r="L300" s="86"/>
      <c r="N300" s="87"/>
      <c r="Q300" s="87"/>
    </row>
    <row r="301" spans="12:17">
      <c r="L301" s="86"/>
      <c r="N301" s="87"/>
      <c r="Q301" s="87"/>
    </row>
    <row r="302" spans="12:17">
      <c r="L302" s="86"/>
      <c r="N302" s="87"/>
      <c r="Q302" s="87"/>
    </row>
    <row r="303" spans="12:17">
      <c r="L303" s="86"/>
      <c r="N303" s="87"/>
      <c r="Q303" s="87"/>
    </row>
    <row r="304" spans="12:17">
      <c r="L304" s="86"/>
      <c r="N304" s="87"/>
      <c r="Q304" s="87"/>
    </row>
    <row r="305" spans="12:17">
      <c r="L305" s="86"/>
      <c r="N305" s="87"/>
      <c r="Q305" s="87"/>
    </row>
    <row r="306" spans="12:17">
      <c r="L306" s="86"/>
      <c r="N306" s="87"/>
      <c r="Q306" s="87"/>
    </row>
    <row r="307" spans="12:17">
      <c r="L307" s="86"/>
      <c r="N307" s="87"/>
      <c r="Q307" s="87"/>
    </row>
    <row r="308" spans="12:17">
      <c r="L308" s="86"/>
      <c r="N308" s="87"/>
      <c r="Q308" s="87"/>
    </row>
    <row r="309" spans="12:17">
      <c r="L309" s="86"/>
      <c r="N309" s="87"/>
      <c r="Q309" s="87"/>
    </row>
    <row r="310" spans="12:17">
      <c r="L310" s="86"/>
      <c r="N310" s="87"/>
      <c r="Q310" s="87"/>
    </row>
    <row r="311" spans="12:17">
      <c r="L311" s="86"/>
      <c r="N311" s="87"/>
      <c r="Q311" s="87"/>
    </row>
    <row r="312" spans="12:17">
      <c r="L312" s="86"/>
      <c r="N312" s="87"/>
      <c r="Q312" s="87"/>
    </row>
    <row r="313" spans="12:17">
      <c r="L313" s="86"/>
      <c r="N313" s="87"/>
      <c r="Q313" s="87"/>
    </row>
    <row r="314" spans="12:17">
      <c r="L314" s="86"/>
      <c r="N314" s="87"/>
      <c r="Q314" s="87"/>
    </row>
    <row r="315" spans="12:17">
      <c r="L315" s="86"/>
      <c r="N315" s="87"/>
      <c r="Q315" s="87"/>
    </row>
    <row r="316" spans="12:17">
      <c r="L316" s="86"/>
      <c r="N316" s="87"/>
      <c r="Q316" s="87"/>
    </row>
    <row r="317" spans="12:17">
      <c r="L317" s="86"/>
      <c r="N317" s="87"/>
      <c r="Q317" s="87"/>
    </row>
    <row r="318" spans="12:17">
      <c r="L318" s="86"/>
      <c r="N318" s="87"/>
      <c r="Q318" s="87"/>
    </row>
    <row r="319" spans="12:17">
      <c r="L319" s="86"/>
      <c r="N319" s="87"/>
      <c r="Q319" s="87"/>
    </row>
    <row r="320" spans="12:17">
      <c r="L320" s="86"/>
      <c r="N320" s="87"/>
      <c r="Q320" s="87"/>
    </row>
    <row r="321" spans="12:17">
      <c r="L321" s="86"/>
      <c r="N321" s="87"/>
      <c r="Q321" s="87"/>
    </row>
    <row r="322" spans="12:17">
      <c r="L322" s="86"/>
      <c r="N322" s="87"/>
      <c r="Q322" s="87"/>
    </row>
    <row r="323" spans="12:17">
      <c r="L323" s="86"/>
      <c r="N323" s="87"/>
      <c r="Q323" s="87"/>
    </row>
    <row r="324" spans="12:17">
      <c r="L324" s="86"/>
      <c r="N324" s="87"/>
      <c r="Q324" s="87"/>
    </row>
    <row r="325" spans="12:17">
      <c r="L325" s="86"/>
      <c r="N325" s="87"/>
      <c r="Q325" s="87"/>
    </row>
    <row r="326" spans="12:17">
      <c r="L326" s="86"/>
      <c r="N326" s="87"/>
      <c r="Q326" s="87"/>
    </row>
    <row r="327" spans="12:17">
      <c r="L327" s="86"/>
      <c r="N327" s="87"/>
      <c r="Q327" s="87"/>
    </row>
    <row r="328" spans="12:17">
      <c r="L328" s="86"/>
      <c r="N328" s="87"/>
      <c r="Q328" s="87"/>
    </row>
    <row r="329" spans="12:17">
      <c r="L329" s="86"/>
      <c r="N329" s="87"/>
      <c r="Q329" s="87"/>
    </row>
    <row r="330" spans="12:17">
      <c r="L330" s="86"/>
      <c r="N330" s="87"/>
      <c r="Q330" s="87"/>
    </row>
    <row r="331" spans="12:17">
      <c r="L331" s="86"/>
      <c r="N331" s="87"/>
      <c r="Q331" s="87"/>
    </row>
    <row r="332" spans="12:17">
      <c r="L332" s="86"/>
      <c r="N332" s="87"/>
      <c r="Q332" s="87"/>
    </row>
    <row r="333" spans="12:17">
      <c r="L333" s="86"/>
      <c r="N333" s="87"/>
      <c r="Q333" s="87"/>
    </row>
    <row r="334" spans="12:17">
      <c r="L334" s="86"/>
      <c r="N334" s="87"/>
      <c r="Q334" s="87"/>
    </row>
    <row r="335" spans="12:17">
      <c r="L335" s="86"/>
      <c r="N335" s="87"/>
      <c r="Q335" s="87"/>
    </row>
    <row r="336" spans="12:17">
      <c r="L336" s="86"/>
      <c r="N336" s="87"/>
      <c r="Q336" s="87"/>
    </row>
    <row r="337" spans="12:17">
      <c r="L337" s="86"/>
      <c r="N337" s="87"/>
      <c r="Q337" s="87"/>
    </row>
    <row r="338" spans="12:17">
      <c r="L338" s="86"/>
      <c r="N338" s="87"/>
      <c r="Q338" s="87"/>
    </row>
    <row r="339" spans="12:17">
      <c r="L339" s="86"/>
      <c r="N339" s="87"/>
      <c r="Q339" s="87"/>
    </row>
    <row r="340" spans="12:17">
      <c r="L340" s="86"/>
      <c r="N340" s="87"/>
      <c r="Q340" s="87"/>
    </row>
    <row r="341" spans="12:17">
      <c r="L341" s="86"/>
      <c r="N341" s="87"/>
      <c r="Q341" s="87"/>
    </row>
    <row r="342" spans="12:17">
      <c r="L342" s="86"/>
      <c r="N342" s="87"/>
      <c r="Q342" s="87"/>
    </row>
    <row r="343" spans="12:17">
      <c r="L343" s="86"/>
      <c r="N343" s="87"/>
      <c r="Q343" s="87"/>
    </row>
    <row r="344" spans="12:17">
      <c r="L344" s="86"/>
      <c r="N344" s="87"/>
      <c r="Q344" s="87"/>
    </row>
    <row r="345" spans="12:17">
      <c r="L345" s="86"/>
      <c r="N345" s="87"/>
      <c r="Q345" s="87"/>
    </row>
    <row r="346" spans="12:17">
      <c r="L346" s="86"/>
      <c r="N346" s="87"/>
      <c r="Q346" s="87"/>
    </row>
    <row r="347" spans="12:17">
      <c r="L347" s="86"/>
      <c r="N347" s="87"/>
      <c r="Q347" s="87"/>
    </row>
    <row r="348" spans="12:17">
      <c r="L348" s="86"/>
      <c r="N348" s="87"/>
      <c r="Q348" s="87"/>
    </row>
    <row r="349" spans="12:17">
      <c r="L349" s="86"/>
      <c r="N349" s="87"/>
      <c r="Q349" s="87"/>
    </row>
    <row r="350" spans="12:17">
      <c r="L350" s="86"/>
      <c r="N350" s="87"/>
      <c r="Q350" s="87"/>
    </row>
    <row r="351" spans="12:17">
      <c r="L351" s="86"/>
      <c r="N351" s="87"/>
      <c r="Q351" s="87"/>
    </row>
    <row r="352" spans="12:17">
      <c r="L352" s="86"/>
      <c r="N352" s="87"/>
      <c r="Q352" s="87"/>
    </row>
    <row r="353" spans="12:17">
      <c r="L353" s="86"/>
      <c r="N353" s="87"/>
      <c r="Q353" s="87"/>
    </row>
    <row r="354" spans="12:17">
      <c r="L354" s="86"/>
      <c r="N354" s="87"/>
      <c r="Q354" s="87"/>
    </row>
    <row r="355" spans="12:17">
      <c r="L355" s="86"/>
      <c r="N355" s="87"/>
      <c r="Q355" s="87"/>
    </row>
    <row r="356" spans="12:17">
      <c r="L356" s="86"/>
      <c r="N356" s="87"/>
      <c r="Q356" s="87"/>
    </row>
    <row r="357" spans="12:17">
      <c r="L357" s="86"/>
      <c r="N357" s="87"/>
      <c r="Q357" s="87"/>
    </row>
    <row r="358" spans="12:17">
      <c r="L358" s="86"/>
      <c r="N358" s="87"/>
      <c r="Q358" s="87"/>
    </row>
    <row r="359" spans="12:17">
      <c r="L359" s="86"/>
      <c r="N359" s="87"/>
      <c r="Q359" s="87"/>
    </row>
    <row r="360" spans="12:17">
      <c r="L360" s="86"/>
      <c r="N360" s="87"/>
      <c r="Q360" s="87"/>
    </row>
    <row r="361" spans="12:17">
      <c r="L361" s="86"/>
      <c r="N361" s="87"/>
      <c r="Q361" s="87"/>
    </row>
    <row r="362" spans="12:17">
      <c r="L362" s="86"/>
      <c r="N362" s="87"/>
      <c r="Q362" s="87"/>
    </row>
    <row r="363" spans="12:17">
      <c r="L363" s="86"/>
      <c r="N363" s="87"/>
      <c r="Q363" s="87"/>
    </row>
    <row r="364" spans="12:17">
      <c r="L364" s="86"/>
      <c r="N364" s="87"/>
      <c r="Q364" s="87"/>
    </row>
    <row r="365" spans="12:17">
      <c r="L365" s="86"/>
      <c r="N365" s="87"/>
      <c r="Q365" s="87"/>
    </row>
    <row r="366" spans="12:17">
      <c r="L366" s="86"/>
      <c r="N366" s="87"/>
      <c r="Q366" s="87"/>
    </row>
    <row r="367" spans="12:17">
      <c r="L367" s="86"/>
      <c r="N367" s="87"/>
      <c r="Q367" s="87"/>
    </row>
    <row r="368" spans="12:17">
      <c r="L368" s="86"/>
      <c r="N368" s="87"/>
      <c r="Q368" s="87"/>
    </row>
    <row r="369" spans="12:17">
      <c r="L369" s="86"/>
      <c r="N369" s="87"/>
      <c r="Q369" s="87"/>
    </row>
    <row r="370" spans="12:17">
      <c r="L370" s="86"/>
      <c r="N370" s="87"/>
      <c r="Q370" s="87"/>
    </row>
    <row r="371" spans="12:17">
      <c r="L371" s="86"/>
      <c r="N371" s="87"/>
      <c r="Q371" s="87"/>
    </row>
    <row r="372" spans="12:17">
      <c r="L372" s="86"/>
      <c r="N372" s="87"/>
      <c r="Q372" s="87"/>
    </row>
    <row r="373" spans="12:17">
      <c r="L373" s="86"/>
      <c r="N373" s="87"/>
      <c r="Q373" s="87"/>
    </row>
    <row r="374" spans="12:17">
      <c r="L374" s="86"/>
      <c r="N374" s="87"/>
      <c r="Q374" s="87"/>
    </row>
    <row r="375" spans="12:17">
      <c r="L375" s="86"/>
      <c r="N375" s="87"/>
      <c r="Q375" s="87"/>
    </row>
    <row r="376" spans="12:17">
      <c r="L376" s="86"/>
      <c r="N376" s="87"/>
      <c r="Q376" s="87"/>
    </row>
    <row r="377" spans="12:17">
      <c r="L377" s="86"/>
      <c r="N377" s="87"/>
      <c r="Q377" s="87"/>
    </row>
    <row r="378" spans="12:17">
      <c r="L378" s="86"/>
      <c r="N378" s="87"/>
      <c r="Q378" s="87"/>
    </row>
    <row r="379" spans="12:17">
      <c r="L379" s="86"/>
      <c r="N379" s="87"/>
      <c r="Q379" s="87"/>
    </row>
    <row r="380" spans="12:17">
      <c r="L380" s="86"/>
      <c r="N380" s="87"/>
      <c r="Q380" s="87"/>
    </row>
    <row r="381" spans="12:17">
      <c r="L381" s="86"/>
      <c r="N381" s="87"/>
      <c r="Q381" s="87"/>
    </row>
    <row r="382" spans="12:17">
      <c r="L382" s="86"/>
      <c r="N382" s="87"/>
      <c r="Q382" s="87"/>
    </row>
    <row r="383" spans="12:17">
      <c r="L383" s="86"/>
      <c r="N383" s="87"/>
      <c r="Q383" s="87"/>
    </row>
    <row r="384" spans="12:17">
      <c r="L384" s="86"/>
      <c r="N384" s="87"/>
      <c r="Q384" s="87"/>
    </row>
    <row r="385" spans="12:17">
      <c r="L385" s="86"/>
      <c r="N385" s="87"/>
      <c r="Q385" s="87"/>
    </row>
    <row r="386" spans="12:17">
      <c r="L386" s="86"/>
      <c r="N386" s="87"/>
      <c r="Q386" s="87"/>
    </row>
    <row r="387" spans="12:17">
      <c r="L387" s="86"/>
      <c r="N387" s="87"/>
      <c r="Q387" s="87"/>
    </row>
    <row r="388" spans="12:17">
      <c r="L388" s="86"/>
      <c r="N388" s="87"/>
      <c r="Q388" s="87"/>
    </row>
    <row r="389" spans="12:17">
      <c r="L389" s="86"/>
      <c r="N389" s="87"/>
      <c r="Q389" s="87"/>
    </row>
    <row r="390" spans="12:17">
      <c r="L390" s="86"/>
      <c r="N390" s="87"/>
      <c r="Q390" s="87"/>
    </row>
    <row r="391" spans="12:17">
      <c r="L391" s="86"/>
      <c r="N391" s="87"/>
      <c r="Q391" s="87"/>
    </row>
    <row r="392" spans="12:17">
      <c r="L392" s="86"/>
      <c r="N392" s="87"/>
      <c r="Q392" s="87"/>
    </row>
    <row r="393" spans="12:17">
      <c r="L393" s="86"/>
      <c r="N393" s="87"/>
      <c r="Q393" s="87"/>
    </row>
    <row r="394" spans="12:17">
      <c r="L394" s="86"/>
      <c r="N394" s="87"/>
      <c r="Q394" s="87"/>
    </row>
    <row r="395" spans="12:17">
      <c r="L395" s="86"/>
      <c r="N395" s="87"/>
      <c r="Q395" s="87"/>
    </row>
    <row r="396" spans="12:17">
      <c r="L396" s="86"/>
      <c r="N396" s="87"/>
      <c r="Q396" s="87"/>
    </row>
    <row r="397" spans="12:17">
      <c r="L397" s="86"/>
      <c r="N397" s="87"/>
      <c r="Q397" s="87"/>
    </row>
    <row r="398" spans="12:17">
      <c r="L398" s="86"/>
      <c r="N398" s="87"/>
      <c r="Q398" s="87"/>
    </row>
    <row r="399" spans="12:17">
      <c r="L399" s="86"/>
      <c r="N399" s="87"/>
      <c r="Q399" s="87"/>
    </row>
    <row r="400" spans="12:17">
      <c r="L400" s="86"/>
      <c r="N400" s="87"/>
      <c r="Q400" s="87"/>
    </row>
    <row r="401" spans="12:17">
      <c r="L401" s="86"/>
      <c r="N401" s="87"/>
      <c r="Q401" s="87"/>
    </row>
    <row r="402" spans="12:17">
      <c r="L402" s="86"/>
      <c r="N402" s="87"/>
      <c r="Q402" s="87"/>
    </row>
    <row r="403" spans="12:17">
      <c r="L403" s="86"/>
      <c r="N403" s="87"/>
      <c r="Q403" s="87"/>
    </row>
    <row r="404" spans="12:17">
      <c r="L404" s="86"/>
      <c r="N404" s="87"/>
      <c r="Q404" s="87"/>
    </row>
    <row r="405" spans="12:17">
      <c r="L405" s="86"/>
      <c r="N405" s="87"/>
      <c r="Q405" s="87"/>
    </row>
    <row r="406" spans="12:17">
      <c r="L406" s="86"/>
      <c r="N406" s="87"/>
      <c r="Q406" s="87"/>
    </row>
    <row r="407" spans="12:17">
      <c r="L407" s="86"/>
      <c r="N407" s="87"/>
      <c r="Q407" s="87"/>
    </row>
    <row r="408" spans="12:17">
      <c r="L408" s="86"/>
      <c r="N408" s="87"/>
      <c r="Q408" s="87"/>
    </row>
    <row r="409" spans="12:17">
      <c r="L409" s="86"/>
      <c r="N409" s="87"/>
      <c r="Q409" s="87"/>
    </row>
    <row r="410" spans="12:17">
      <c r="L410" s="86"/>
      <c r="N410" s="87"/>
      <c r="Q410" s="87"/>
    </row>
    <row r="411" spans="12:17">
      <c r="L411" s="86"/>
      <c r="N411" s="87"/>
      <c r="Q411" s="87"/>
    </row>
    <row r="412" spans="12:17">
      <c r="L412" s="86"/>
      <c r="N412" s="87"/>
      <c r="Q412" s="87"/>
    </row>
    <row r="413" spans="12:17">
      <c r="L413" s="86"/>
      <c r="N413" s="87"/>
      <c r="Q413" s="87"/>
    </row>
    <row r="414" spans="12:17">
      <c r="L414" s="86"/>
      <c r="N414" s="87"/>
      <c r="Q414" s="87"/>
    </row>
    <row r="415" spans="12:17">
      <c r="L415" s="86"/>
      <c r="N415" s="87"/>
      <c r="Q415" s="87"/>
    </row>
    <row r="416" spans="12:17">
      <c r="L416" s="86"/>
      <c r="N416" s="87"/>
      <c r="Q416" s="87"/>
    </row>
    <row r="417" spans="12:17">
      <c r="L417" s="86"/>
      <c r="N417" s="87"/>
      <c r="Q417" s="87"/>
    </row>
    <row r="418" spans="12:17">
      <c r="L418" s="86"/>
      <c r="N418" s="87"/>
      <c r="Q418" s="87"/>
    </row>
    <row r="419" spans="12:17">
      <c r="L419" s="86"/>
      <c r="N419" s="87"/>
      <c r="Q419" s="87"/>
    </row>
    <row r="420" spans="12:17">
      <c r="L420" s="86"/>
      <c r="N420" s="87"/>
      <c r="Q420" s="87"/>
    </row>
    <row r="421" spans="12:17">
      <c r="L421" s="86"/>
      <c r="N421" s="87"/>
      <c r="Q421" s="87"/>
    </row>
    <row r="422" spans="12:17">
      <c r="L422" s="86"/>
      <c r="N422" s="87"/>
      <c r="Q422" s="87"/>
    </row>
    <row r="423" spans="12:17">
      <c r="L423" s="86"/>
      <c r="N423" s="87"/>
      <c r="Q423" s="87"/>
    </row>
    <row r="424" spans="12:17">
      <c r="L424" s="86"/>
      <c r="N424" s="87"/>
      <c r="Q424" s="87"/>
    </row>
    <row r="425" spans="12:17">
      <c r="L425" s="86"/>
      <c r="N425" s="87"/>
      <c r="Q425" s="87"/>
    </row>
    <row r="426" spans="12:17">
      <c r="L426" s="86"/>
      <c r="N426" s="87"/>
      <c r="Q426" s="87"/>
    </row>
    <row r="427" spans="12:17">
      <c r="L427" s="86"/>
      <c r="N427" s="87"/>
      <c r="Q427" s="87"/>
    </row>
    <row r="428" spans="12:17">
      <c r="L428" s="86"/>
      <c r="N428" s="87"/>
      <c r="Q428" s="87"/>
    </row>
    <row r="429" spans="12:17">
      <c r="L429" s="86"/>
      <c r="N429" s="87"/>
      <c r="Q429" s="87"/>
    </row>
    <row r="430" spans="12:17">
      <c r="L430" s="86"/>
      <c r="N430" s="87"/>
      <c r="Q430" s="87"/>
    </row>
    <row r="431" spans="12:17">
      <c r="L431" s="86"/>
      <c r="N431" s="87"/>
      <c r="Q431" s="87"/>
    </row>
    <row r="432" spans="12:17">
      <c r="L432" s="86"/>
      <c r="N432" s="87"/>
      <c r="Q432" s="87"/>
    </row>
    <row r="433" spans="12:17">
      <c r="L433" s="86"/>
      <c r="N433" s="87"/>
      <c r="Q433" s="87"/>
    </row>
    <row r="434" spans="12:17">
      <c r="L434" s="86"/>
      <c r="N434" s="87"/>
      <c r="Q434" s="87"/>
    </row>
    <row r="435" spans="12:17">
      <c r="L435" s="86"/>
      <c r="N435" s="87"/>
      <c r="Q435" s="87"/>
    </row>
    <row r="436" spans="12:17">
      <c r="L436" s="86"/>
      <c r="N436" s="87"/>
      <c r="Q436" s="87"/>
    </row>
    <row r="437" spans="12:17">
      <c r="L437" s="86"/>
      <c r="N437" s="87"/>
      <c r="Q437" s="87"/>
    </row>
    <row r="438" spans="12:17">
      <c r="L438" s="86"/>
      <c r="N438" s="87"/>
      <c r="Q438" s="87"/>
    </row>
    <row r="439" spans="12:17">
      <c r="L439" s="86"/>
      <c r="N439" s="87"/>
      <c r="Q439" s="87"/>
    </row>
    <row r="440" spans="12:17">
      <c r="L440" s="86"/>
      <c r="N440" s="87"/>
      <c r="Q440" s="87"/>
    </row>
    <row r="441" spans="12:17">
      <c r="L441" s="86"/>
      <c r="N441" s="87"/>
      <c r="Q441" s="87"/>
    </row>
    <row r="442" spans="12:17">
      <c r="L442" s="86"/>
      <c r="N442" s="87"/>
      <c r="Q442" s="87"/>
    </row>
    <row r="443" spans="12:17">
      <c r="L443" s="86"/>
      <c r="N443" s="87"/>
      <c r="Q443" s="87"/>
    </row>
    <row r="444" spans="12:17">
      <c r="L444" s="86"/>
      <c r="N444" s="87"/>
      <c r="Q444" s="87"/>
    </row>
    <row r="445" spans="12:17">
      <c r="L445" s="86"/>
      <c r="N445" s="87"/>
      <c r="Q445" s="87"/>
    </row>
    <row r="446" spans="12:17">
      <c r="L446" s="86"/>
      <c r="N446" s="87"/>
      <c r="Q446" s="87"/>
    </row>
    <row r="447" spans="12:17">
      <c r="L447" s="86"/>
      <c r="N447" s="87"/>
      <c r="Q447" s="87"/>
    </row>
    <row r="448" spans="12:17">
      <c r="L448" s="86"/>
      <c r="N448" s="87"/>
      <c r="Q448" s="87"/>
    </row>
    <row r="449" spans="12:17">
      <c r="L449" s="86"/>
      <c r="N449" s="87"/>
      <c r="Q449" s="87"/>
    </row>
    <row r="450" spans="12:17">
      <c r="L450" s="86"/>
      <c r="N450" s="87"/>
      <c r="Q450" s="87"/>
    </row>
    <row r="451" spans="12:17">
      <c r="L451" s="86"/>
      <c r="N451" s="87"/>
      <c r="Q451" s="87"/>
    </row>
    <row r="452" spans="12:17">
      <c r="L452" s="86"/>
      <c r="N452" s="87"/>
      <c r="Q452" s="87"/>
    </row>
    <row r="453" spans="12:17">
      <c r="L453" s="86"/>
      <c r="N453" s="87"/>
      <c r="Q453" s="87"/>
    </row>
    <row r="454" spans="12:17">
      <c r="L454" s="86"/>
      <c r="N454" s="87"/>
      <c r="Q454" s="87"/>
    </row>
    <row r="455" spans="12:17">
      <c r="L455" s="86"/>
      <c r="N455" s="87"/>
      <c r="Q455" s="87"/>
    </row>
    <row r="456" spans="12:17">
      <c r="L456" s="86"/>
      <c r="N456" s="87"/>
      <c r="Q456" s="87"/>
    </row>
    <row r="457" spans="12:17">
      <c r="L457" s="86"/>
      <c r="N457" s="87"/>
      <c r="Q457" s="87"/>
    </row>
    <row r="458" spans="12:17">
      <c r="L458" s="86"/>
      <c r="N458" s="87"/>
      <c r="Q458" s="87"/>
    </row>
    <row r="459" spans="12:17">
      <c r="L459" s="86"/>
      <c r="N459" s="87"/>
      <c r="Q459" s="87"/>
    </row>
    <row r="460" spans="12:17">
      <c r="L460" s="86"/>
      <c r="N460" s="87"/>
      <c r="Q460" s="87"/>
    </row>
    <row r="461" spans="12:17">
      <c r="L461" s="86"/>
      <c r="N461" s="87"/>
      <c r="Q461" s="87"/>
    </row>
    <row r="462" spans="12:17">
      <c r="L462" s="86"/>
      <c r="N462" s="87"/>
      <c r="Q462" s="87"/>
    </row>
    <row r="463" spans="12:17">
      <c r="L463" s="86"/>
      <c r="N463" s="87"/>
      <c r="Q463" s="87"/>
    </row>
    <row r="464" spans="12:17">
      <c r="L464" s="86"/>
      <c r="N464" s="87"/>
      <c r="Q464" s="87"/>
    </row>
    <row r="465" spans="12:17">
      <c r="L465" s="86"/>
      <c r="N465" s="87"/>
      <c r="Q465" s="87"/>
    </row>
    <row r="466" spans="12:17">
      <c r="L466" s="86"/>
      <c r="N466" s="87"/>
      <c r="Q466" s="87"/>
    </row>
    <row r="467" spans="12:17">
      <c r="L467" s="86"/>
      <c r="N467" s="87"/>
      <c r="Q467" s="87"/>
    </row>
    <row r="468" spans="12:17">
      <c r="L468" s="86"/>
      <c r="N468" s="87"/>
      <c r="Q468" s="87"/>
    </row>
    <row r="469" spans="12:17">
      <c r="L469" s="86"/>
      <c r="N469" s="87"/>
      <c r="Q469" s="87"/>
    </row>
    <row r="470" spans="12:17">
      <c r="L470" s="86"/>
      <c r="N470" s="87"/>
      <c r="Q470" s="87"/>
    </row>
    <row r="471" spans="12:17">
      <c r="L471" s="86"/>
      <c r="N471" s="87"/>
      <c r="Q471" s="87"/>
    </row>
    <row r="472" spans="12:17">
      <c r="L472" s="86"/>
      <c r="N472" s="87"/>
      <c r="Q472" s="87"/>
    </row>
    <row r="473" spans="12:17">
      <c r="L473" s="86"/>
      <c r="N473" s="87"/>
      <c r="Q473" s="87"/>
    </row>
    <row r="474" spans="12:17">
      <c r="L474" s="86"/>
      <c r="N474" s="87"/>
      <c r="Q474" s="87"/>
    </row>
    <row r="475" spans="12:17">
      <c r="L475" s="86"/>
      <c r="N475" s="87"/>
      <c r="Q475" s="87"/>
    </row>
    <row r="476" spans="12:17">
      <c r="L476" s="86"/>
      <c r="N476" s="87"/>
      <c r="Q476" s="87"/>
    </row>
    <row r="477" spans="12:17">
      <c r="L477" s="86"/>
      <c r="N477" s="87"/>
      <c r="Q477" s="87"/>
    </row>
    <row r="478" spans="12:17">
      <c r="L478" s="86"/>
      <c r="N478" s="87"/>
      <c r="Q478" s="87"/>
    </row>
    <row r="479" spans="12:17">
      <c r="L479" s="86"/>
      <c r="N479" s="87"/>
      <c r="Q479" s="87"/>
    </row>
    <row r="480" spans="12:17">
      <c r="L480" s="86"/>
      <c r="N480" s="87"/>
      <c r="Q480" s="87"/>
    </row>
    <row r="481" spans="12:17">
      <c r="L481" s="86"/>
      <c r="N481" s="87"/>
      <c r="Q481" s="87"/>
    </row>
    <row r="482" spans="12:17">
      <c r="L482" s="86"/>
      <c r="N482" s="87"/>
      <c r="Q482" s="87"/>
    </row>
    <row r="483" spans="12:17">
      <c r="L483" s="86"/>
      <c r="N483" s="87"/>
      <c r="Q483" s="87"/>
    </row>
    <row r="484" spans="12:17">
      <c r="L484" s="86"/>
      <c r="N484" s="87"/>
      <c r="Q484" s="87"/>
    </row>
    <row r="485" spans="12:17">
      <c r="L485" s="86"/>
      <c r="N485" s="87"/>
      <c r="Q485" s="87"/>
    </row>
    <row r="486" spans="12:17">
      <c r="L486" s="86"/>
      <c r="N486" s="87"/>
      <c r="Q486" s="87"/>
    </row>
    <row r="487" spans="12:17">
      <c r="L487" s="86"/>
      <c r="N487" s="87"/>
      <c r="Q487" s="87"/>
    </row>
    <row r="488" spans="12:17">
      <c r="L488" s="86"/>
      <c r="N488" s="87"/>
      <c r="Q488" s="87"/>
    </row>
    <row r="489" spans="12:17">
      <c r="L489" s="86"/>
      <c r="N489" s="87"/>
      <c r="Q489" s="87"/>
    </row>
    <row r="490" spans="12:17">
      <c r="L490" s="86"/>
      <c r="N490" s="87"/>
      <c r="Q490" s="87"/>
    </row>
    <row r="491" spans="12:17">
      <c r="L491" s="86"/>
      <c r="N491" s="87"/>
      <c r="Q491" s="87"/>
    </row>
    <row r="492" spans="12:17">
      <c r="L492" s="86"/>
      <c r="N492" s="87"/>
      <c r="Q492" s="87"/>
    </row>
    <row r="493" spans="12:17">
      <c r="L493" s="86"/>
      <c r="N493" s="87"/>
      <c r="Q493" s="87"/>
    </row>
    <row r="494" spans="12:17">
      <c r="L494" s="86"/>
      <c r="N494" s="87"/>
      <c r="Q494" s="87"/>
    </row>
    <row r="495" spans="12:17">
      <c r="L495" s="86"/>
      <c r="N495" s="87"/>
      <c r="Q495" s="87"/>
    </row>
    <row r="496" spans="12:17">
      <c r="L496" s="86"/>
      <c r="N496" s="87"/>
      <c r="Q496" s="87"/>
    </row>
    <row r="497" spans="12:17">
      <c r="L497" s="86"/>
      <c r="N497" s="87"/>
      <c r="Q497" s="87"/>
    </row>
    <row r="498" spans="12:17">
      <c r="L498" s="86"/>
      <c r="N498" s="87"/>
      <c r="Q498" s="87"/>
    </row>
    <row r="499" spans="12:17">
      <c r="L499" s="86"/>
      <c r="N499" s="87"/>
      <c r="Q499" s="87"/>
    </row>
    <row r="500" spans="12:17">
      <c r="L500" s="86"/>
      <c r="N500" s="87"/>
      <c r="Q500" s="87"/>
    </row>
    <row r="501" spans="12:17">
      <c r="L501" s="86"/>
      <c r="N501" s="87"/>
      <c r="Q501" s="87"/>
    </row>
    <row r="502" spans="12:17">
      <c r="L502" s="86"/>
      <c r="N502" s="87"/>
      <c r="Q502" s="87"/>
    </row>
    <row r="503" spans="12:17">
      <c r="L503" s="86"/>
      <c r="N503" s="87"/>
      <c r="Q503" s="87"/>
    </row>
    <row r="504" spans="12:17">
      <c r="L504" s="86"/>
      <c r="N504" s="87"/>
      <c r="Q504" s="87"/>
    </row>
    <row r="505" spans="12:17">
      <c r="L505" s="86"/>
      <c r="N505" s="87"/>
      <c r="Q505" s="87"/>
    </row>
    <row r="506" spans="12:17">
      <c r="L506" s="86"/>
      <c r="N506" s="87"/>
      <c r="Q506" s="87"/>
    </row>
    <row r="507" spans="12:17">
      <c r="L507" s="86"/>
      <c r="N507" s="87"/>
      <c r="Q507" s="87"/>
    </row>
    <row r="508" spans="12:17">
      <c r="L508" s="86"/>
      <c r="N508" s="87"/>
      <c r="Q508" s="87"/>
    </row>
    <row r="509" spans="12:17">
      <c r="L509" s="86"/>
      <c r="N509" s="87"/>
      <c r="Q509" s="87"/>
    </row>
    <row r="510" spans="12:17">
      <c r="L510" s="86"/>
      <c r="N510" s="87"/>
      <c r="Q510" s="87"/>
    </row>
    <row r="511" spans="12:17">
      <c r="L511" s="86"/>
      <c r="N511" s="87"/>
      <c r="Q511" s="87"/>
    </row>
    <row r="512" spans="12:17">
      <c r="L512" s="86"/>
      <c r="N512" s="87"/>
      <c r="Q512" s="87"/>
    </row>
    <row r="513" spans="12:17">
      <c r="L513" s="86"/>
      <c r="N513" s="87"/>
      <c r="Q513" s="87"/>
    </row>
    <row r="514" spans="12:17">
      <c r="L514" s="86"/>
      <c r="N514" s="87"/>
      <c r="Q514" s="87"/>
    </row>
    <row r="515" spans="12:17">
      <c r="L515" s="86"/>
      <c r="N515" s="87"/>
      <c r="Q515" s="87"/>
    </row>
    <row r="516" spans="12:17">
      <c r="L516" s="86"/>
      <c r="N516" s="87"/>
      <c r="Q516" s="87"/>
    </row>
    <row r="517" spans="12:17">
      <c r="L517" s="86"/>
      <c r="N517" s="87"/>
      <c r="Q517" s="87"/>
    </row>
    <row r="518" spans="12:17">
      <c r="L518" s="86"/>
      <c r="N518" s="87"/>
      <c r="Q518" s="87"/>
    </row>
    <row r="519" spans="12:17">
      <c r="L519" s="86"/>
      <c r="N519" s="87"/>
      <c r="Q519" s="87"/>
    </row>
    <row r="520" spans="12:17">
      <c r="L520" s="86"/>
      <c r="N520" s="87"/>
      <c r="Q520" s="87"/>
    </row>
    <row r="521" spans="12:17">
      <c r="L521" s="86"/>
      <c r="N521" s="87"/>
      <c r="Q521" s="87"/>
    </row>
    <row r="522" spans="12:17">
      <c r="L522" s="86"/>
      <c r="N522" s="87"/>
      <c r="Q522" s="87"/>
    </row>
    <row r="523" spans="12:17">
      <c r="L523" s="86"/>
      <c r="N523" s="87"/>
      <c r="Q523" s="87"/>
    </row>
    <row r="524" spans="12:17">
      <c r="L524" s="86"/>
      <c r="N524" s="87"/>
      <c r="Q524" s="87"/>
    </row>
    <row r="525" spans="12:17">
      <c r="L525" s="86"/>
      <c r="N525" s="87"/>
      <c r="Q525" s="87"/>
    </row>
    <row r="526" spans="12:17">
      <c r="L526" s="86"/>
      <c r="N526" s="87"/>
      <c r="Q526" s="87"/>
    </row>
    <row r="527" spans="12:17">
      <c r="L527" s="86"/>
      <c r="N527" s="87"/>
      <c r="Q527" s="87"/>
    </row>
    <row r="528" spans="12:17">
      <c r="L528" s="86"/>
      <c r="N528" s="87"/>
      <c r="Q528" s="87"/>
    </row>
    <row r="529" spans="12:17">
      <c r="L529" s="86"/>
      <c r="N529" s="87"/>
      <c r="Q529" s="87"/>
    </row>
    <row r="530" spans="12:17">
      <c r="L530" s="86"/>
      <c r="N530" s="87"/>
      <c r="Q530" s="87"/>
    </row>
    <row r="531" spans="12:17">
      <c r="L531" s="86"/>
      <c r="N531" s="87"/>
      <c r="Q531" s="87"/>
    </row>
    <row r="532" spans="12:17">
      <c r="L532" s="86"/>
      <c r="N532" s="87"/>
      <c r="Q532" s="87"/>
    </row>
    <row r="533" spans="12:17">
      <c r="L533" s="86"/>
      <c r="N533" s="87"/>
      <c r="Q533" s="87"/>
    </row>
    <row r="534" spans="12:17">
      <c r="L534" s="86"/>
      <c r="N534" s="87"/>
      <c r="Q534" s="87"/>
    </row>
    <row r="535" spans="12:17">
      <c r="L535" s="86"/>
      <c r="N535" s="87"/>
      <c r="Q535" s="87"/>
    </row>
    <row r="536" spans="12:17">
      <c r="L536" s="86"/>
      <c r="N536" s="87"/>
      <c r="Q536" s="87"/>
    </row>
    <row r="537" spans="12:17">
      <c r="L537" s="86"/>
      <c r="N537" s="87"/>
      <c r="Q537" s="87"/>
    </row>
    <row r="538" spans="12:17">
      <c r="L538" s="86"/>
      <c r="N538" s="87"/>
      <c r="Q538" s="87"/>
    </row>
    <row r="539" spans="12:17">
      <c r="L539" s="86"/>
      <c r="N539" s="87"/>
      <c r="Q539" s="87"/>
    </row>
    <row r="540" spans="12:17">
      <c r="L540" s="86"/>
      <c r="N540" s="87"/>
      <c r="Q540" s="87"/>
    </row>
    <row r="541" spans="12:17">
      <c r="L541" s="86"/>
      <c r="N541" s="87"/>
      <c r="Q541" s="87"/>
    </row>
    <row r="542" spans="12:17">
      <c r="L542" s="86"/>
      <c r="N542" s="87"/>
      <c r="Q542" s="87"/>
    </row>
    <row r="543" spans="12:17">
      <c r="L543" s="86"/>
      <c r="N543" s="87"/>
      <c r="Q543" s="87"/>
    </row>
    <row r="544" spans="12:17">
      <c r="L544" s="86"/>
      <c r="N544" s="87"/>
      <c r="Q544" s="87"/>
    </row>
    <row r="545" spans="12:17">
      <c r="L545" s="86"/>
      <c r="N545" s="87"/>
      <c r="Q545" s="87"/>
    </row>
    <row r="546" spans="12:17">
      <c r="L546" s="86"/>
      <c r="N546" s="87"/>
      <c r="Q546" s="87"/>
    </row>
    <row r="547" spans="12:17">
      <c r="L547" s="86"/>
      <c r="N547" s="87"/>
      <c r="Q547" s="87"/>
    </row>
    <row r="548" spans="12:17">
      <c r="L548" s="86"/>
      <c r="N548" s="87"/>
      <c r="Q548" s="87"/>
    </row>
    <row r="549" spans="12:17">
      <c r="L549" s="86"/>
      <c r="N549" s="87"/>
      <c r="Q549" s="87"/>
    </row>
    <row r="550" spans="12:17">
      <c r="L550" s="86"/>
      <c r="N550" s="87"/>
      <c r="Q550" s="87"/>
    </row>
    <row r="551" spans="12:17">
      <c r="L551" s="86"/>
      <c r="N551" s="87"/>
      <c r="Q551" s="87"/>
    </row>
    <row r="552" spans="12:17">
      <c r="L552" s="86"/>
      <c r="N552" s="87"/>
      <c r="Q552" s="87"/>
    </row>
    <row r="553" spans="12:17">
      <c r="L553" s="86"/>
      <c r="N553" s="87"/>
      <c r="Q553" s="87"/>
    </row>
    <row r="554" spans="12:17">
      <c r="L554" s="86"/>
      <c r="N554" s="87"/>
      <c r="Q554" s="87"/>
    </row>
    <row r="555" spans="12:17">
      <c r="L555" s="86"/>
      <c r="N555" s="87"/>
      <c r="Q555" s="87"/>
    </row>
    <row r="556" spans="12:17">
      <c r="L556" s="86"/>
      <c r="N556" s="87"/>
      <c r="Q556" s="87"/>
    </row>
    <row r="557" spans="12:17">
      <c r="L557" s="86"/>
      <c r="N557" s="87"/>
      <c r="Q557" s="87"/>
    </row>
    <row r="558" spans="12:17">
      <c r="L558" s="86"/>
      <c r="N558" s="87"/>
      <c r="Q558" s="87"/>
    </row>
    <row r="559" spans="12:17">
      <c r="L559" s="86"/>
      <c r="N559" s="87"/>
      <c r="Q559" s="87"/>
    </row>
    <row r="560" spans="12:17">
      <c r="L560" s="86"/>
      <c r="N560" s="87"/>
      <c r="Q560" s="87"/>
    </row>
    <row r="561" spans="12:17">
      <c r="L561" s="86"/>
      <c r="N561" s="87"/>
      <c r="Q561" s="87"/>
    </row>
    <row r="562" spans="12:17">
      <c r="L562" s="86"/>
      <c r="N562" s="87"/>
      <c r="Q562" s="87"/>
    </row>
    <row r="563" spans="12:17">
      <c r="L563" s="86"/>
      <c r="N563" s="87"/>
      <c r="Q563" s="87"/>
    </row>
    <row r="564" spans="12:17">
      <c r="L564" s="86"/>
      <c r="N564" s="87"/>
      <c r="Q564" s="87"/>
    </row>
    <row r="565" spans="12:17">
      <c r="L565" s="86"/>
      <c r="N565" s="87"/>
      <c r="Q565" s="87"/>
    </row>
    <row r="566" spans="12:17">
      <c r="L566" s="86"/>
      <c r="N566" s="87"/>
      <c r="Q566" s="87"/>
    </row>
    <row r="567" spans="12:17">
      <c r="L567" s="86"/>
      <c r="N567" s="87"/>
      <c r="Q567" s="87"/>
    </row>
    <row r="568" spans="12:17">
      <c r="L568" s="86"/>
      <c r="N568" s="87"/>
      <c r="Q568" s="87"/>
    </row>
    <row r="569" spans="12:17">
      <c r="L569" s="86"/>
      <c r="N569" s="87"/>
      <c r="Q569" s="87"/>
    </row>
    <row r="570" spans="12:17">
      <c r="L570" s="86"/>
      <c r="N570" s="87"/>
      <c r="Q570" s="87"/>
    </row>
    <row r="571" spans="12:17">
      <c r="L571" s="86"/>
      <c r="N571" s="87"/>
      <c r="Q571" s="87"/>
    </row>
    <row r="572" spans="12:17">
      <c r="L572" s="86"/>
      <c r="N572" s="87"/>
      <c r="Q572" s="87"/>
    </row>
    <row r="573" spans="12:17">
      <c r="L573" s="86"/>
      <c r="N573" s="87"/>
      <c r="Q573" s="87"/>
    </row>
    <row r="574" spans="12:17">
      <c r="L574" s="86"/>
      <c r="N574" s="87"/>
      <c r="Q574" s="87"/>
    </row>
    <row r="575" spans="12:17">
      <c r="L575" s="86"/>
      <c r="N575" s="87"/>
      <c r="Q575" s="87"/>
    </row>
    <row r="576" spans="12:17">
      <c r="L576" s="86"/>
      <c r="N576" s="87"/>
      <c r="Q576" s="87"/>
    </row>
    <row r="577" spans="12:17">
      <c r="L577" s="86"/>
      <c r="N577" s="87"/>
      <c r="Q577" s="87"/>
    </row>
    <row r="578" spans="12:17">
      <c r="L578" s="86"/>
      <c r="N578" s="87"/>
      <c r="Q578" s="87"/>
    </row>
    <row r="579" spans="12:17">
      <c r="L579" s="86"/>
      <c r="N579" s="87"/>
      <c r="Q579" s="87"/>
    </row>
    <row r="580" spans="12:17">
      <c r="L580" s="86"/>
      <c r="N580" s="87"/>
      <c r="Q580" s="87"/>
    </row>
    <row r="581" spans="12:17">
      <c r="L581" s="86"/>
      <c r="N581" s="87"/>
      <c r="Q581" s="87"/>
    </row>
    <row r="582" spans="12:17">
      <c r="L582" s="86"/>
      <c r="N582" s="87"/>
      <c r="Q582" s="87"/>
    </row>
    <row r="583" spans="12:17">
      <c r="L583" s="86"/>
      <c r="N583" s="87"/>
      <c r="Q583" s="87"/>
    </row>
    <row r="584" spans="12:17">
      <c r="L584" s="86"/>
      <c r="N584" s="87"/>
      <c r="Q584" s="87"/>
    </row>
    <row r="585" spans="12:17">
      <c r="L585" s="86"/>
      <c r="N585" s="87"/>
      <c r="Q585" s="87"/>
    </row>
    <row r="586" spans="12:17">
      <c r="L586" s="86"/>
      <c r="N586" s="87"/>
      <c r="Q586" s="87"/>
    </row>
    <row r="587" spans="12:17">
      <c r="L587" s="86"/>
      <c r="N587" s="87"/>
      <c r="Q587" s="87"/>
    </row>
    <row r="588" spans="12:17">
      <c r="L588" s="86"/>
      <c r="N588" s="87"/>
      <c r="Q588" s="87"/>
    </row>
    <row r="589" spans="12:17">
      <c r="L589" s="86"/>
      <c r="N589" s="87"/>
      <c r="Q589" s="87"/>
    </row>
    <row r="590" spans="12:17">
      <c r="L590" s="86"/>
      <c r="N590" s="87"/>
      <c r="Q590" s="87"/>
    </row>
    <row r="591" spans="12:17">
      <c r="L591" s="86"/>
      <c r="N591" s="87"/>
      <c r="Q591" s="87"/>
    </row>
    <row r="592" spans="12:17">
      <c r="L592" s="86"/>
      <c r="N592" s="87"/>
      <c r="Q592" s="87"/>
    </row>
    <row r="593" spans="12:17">
      <c r="L593" s="86"/>
      <c r="N593" s="87"/>
      <c r="Q593" s="87"/>
    </row>
    <row r="594" spans="12:17">
      <c r="L594" s="86"/>
      <c r="N594" s="87"/>
      <c r="Q594" s="87"/>
    </row>
    <row r="595" spans="12:17">
      <c r="L595" s="86"/>
      <c r="N595" s="87"/>
      <c r="Q595" s="87"/>
    </row>
    <row r="596" spans="12:17">
      <c r="L596" s="86"/>
      <c r="N596" s="87"/>
      <c r="Q596" s="87"/>
    </row>
    <row r="597" spans="12:17">
      <c r="L597" s="86"/>
      <c r="N597" s="87"/>
      <c r="Q597" s="87"/>
    </row>
    <row r="598" spans="12:17">
      <c r="L598" s="86"/>
      <c r="N598" s="87"/>
      <c r="Q598" s="87"/>
    </row>
    <row r="599" spans="12:17">
      <c r="L599" s="86"/>
      <c r="N599" s="87"/>
      <c r="Q599" s="87"/>
    </row>
    <row r="600" spans="12:17">
      <c r="L600" s="86"/>
      <c r="N600" s="87"/>
      <c r="Q600" s="87"/>
    </row>
    <row r="601" spans="12:17">
      <c r="L601" s="86"/>
      <c r="N601" s="87"/>
      <c r="Q601" s="87"/>
    </row>
    <row r="602" spans="12:17">
      <c r="L602" s="86"/>
      <c r="N602" s="87"/>
      <c r="Q602" s="87"/>
    </row>
    <row r="603" spans="12:17">
      <c r="L603" s="86"/>
      <c r="N603" s="87"/>
      <c r="Q603" s="87"/>
    </row>
    <row r="604" spans="12:17">
      <c r="L604" s="86"/>
      <c r="N604" s="87"/>
      <c r="Q604" s="87"/>
    </row>
    <row r="605" spans="12:17">
      <c r="L605" s="86"/>
      <c r="N605" s="87"/>
      <c r="Q605" s="87"/>
    </row>
    <row r="606" spans="12:17">
      <c r="L606" s="86"/>
      <c r="N606" s="87"/>
      <c r="Q606" s="87"/>
    </row>
    <row r="607" spans="12:17">
      <c r="L607" s="86"/>
      <c r="N607" s="87"/>
      <c r="Q607" s="87"/>
    </row>
    <row r="608" spans="12:17">
      <c r="L608" s="86"/>
      <c r="N608" s="87"/>
      <c r="Q608" s="87"/>
    </row>
    <row r="609" spans="12:17">
      <c r="L609" s="86"/>
      <c r="N609" s="87"/>
      <c r="Q609" s="87"/>
    </row>
    <row r="610" spans="12:17">
      <c r="L610" s="86"/>
      <c r="N610" s="87"/>
      <c r="Q610" s="87"/>
    </row>
    <row r="611" spans="12:17">
      <c r="L611" s="86"/>
      <c r="N611" s="87"/>
      <c r="Q611" s="87"/>
    </row>
    <row r="612" spans="12:17">
      <c r="L612" s="86"/>
      <c r="N612" s="87"/>
      <c r="Q612" s="87"/>
    </row>
    <row r="613" spans="12:17">
      <c r="L613" s="86"/>
      <c r="N613" s="87"/>
      <c r="Q613" s="87"/>
    </row>
    <row r="614" spans="12:17">
      <c r="L614" s="86"/>
      <c r="N614" s="87"/>
      <c r="Q614" s="87"/>
    </row>
    <row r="615" spans="12:17">
      <c r="L615" s="86"/>
      <c r="N615" s="87"/>
      <c r="Q615" s="87"/>
    </row>
    <row r="616" spans="12:17">
      <c r="L616" s="86"/>
      <c r="N616" s="87"/>
      <c r="Q616" s="87"/>
    </row>
    <row r="617" spans="12:17">
      <c r="L617" s="86"/>
      <c r="N617" s="87"/>
      <c r="Q617" s="87"/>
    </row>
    <row r="618" spans="12:17">
      <c r="L618" s="86"/>
      <c r="N618" s="87"/>
      <c r="Q618" s="87"/>
    </row>
    <row r="619" spans="12:17">
      <c r="L619" s="86"/>
      <c r="N619" s="87"/>
      <c r="Q619" s="87"/>
    </row>
    <row r="620" spans="12:17">
      <c r="L620" s="86"/>
      <c r="N620" s="87"/>
      <c r="Q620" s="87"/>
    </row>
    <row r="621" spans="12:17">
      <c r="L621" s="86"/>
      <c r="N621" s="87"/>
      <c r="Q621" s="87"/>
    </row>
    <row r="622" spans="12:17">
      <c r="L622" s="86"/>
      <c r="N622" s="87"/>
      <c r="Q622" s="87"/>
    </row>
    <row r="623" spans="12:17">
      <c r="L623" s="86"/>
      <c r="N623" s="87"/>
      <c r="Q623" s="87"/>
    </row>
    <row r="624" spans="12:17">
      <c r="L624" s="86"/>
      <c r="N624" s="87"/>
      <c r="Q624" s="87"/>
    </row>
    <row r="625" spans="12:17">
      <c r="L625" s="86"/>
      <c r="N625" s="87"/>
      <c r="Q625" s="87"/>
    </row>
    <row r="626" spans="12:17">
      <c r="L626" s="86"/>
      <c r="N626" s="87"/>
      <c r="Q626" s="87"/>
    </row>
    <row r="627" spans="12:17">
      <c r="L627" s="86"/>
      <c r="N627" s="87"/>
      <c r="Q627" s="87"/>
    </row>
    <row r="628" spans="12:17">
      <c r="L628" s="86"/>
      <c r="N628" s="87"/>
      <c r="Q628" s="87"/>
    </row>
    <row r="629" spans="12:17">
      <c r="L629" s="86"/>
      <c r="N629" s="87"/>
      <c r="Q629" s="87"/>
    </row>
    <row r="630" spans="12:17">
      <c r="L630" s="86"/>
      <c r="N630" s="87"/>
      <c r="Q630" s="87"/>
    </row>
    <row r="631" spans="12:17">
      <c r="L631" s="86"/>
      <c r="N631" s="87"/>
      <c r="Q631" s="87"/>
    </row>
    <row r="632" spans="12:17">
      <c r="L632" s="86"/>
      <c r="N632" s="87"/>
      <c r="Q632" s="87"/>
    </row>
    <row r="633" spans="12:17">
      <c r="L633" s="86"/>
      <c r="N633" s="87"/>
      <c r="Q633" s="87"/>
    </row>
    <row r="634" spans="12:17">
      <c r="L634" s="86"/>
      <c r="N634" s="87"/>
      <c r="Q634" s="87"/>
    </row>
    <row r="635" spans="12:17">
      <c r="L635" s="86"/>
      <c r="N635" s="87"/>
      <c r="Q635" s="87"/>
    </row>
    <row r="636" spans="12:17">
      <c r="L636" s="86"/>
      <c r="N636" s="87"/>
      <c r="Q636" s="87"/>
    </row>
    <row r="637" spans="12:17">
      <c r="L637" s="86"/>
      <c r="N637" s="87"/>
      <c r="Q637" s="87"/>
    </row>
    <row r="638" spans="12:17">
      <c r="L638" s="86"/>
      <c r="N638" s="87"/>
      <c r="Q638" s="87"/>
    </row>
    <row r="639" spans="12:17">
      <c r="L639" s="86"/>
      <c r="N639" s="87"/>
      <c r="Q639" s="87"/>
    </row>
    <row r="640" spans="12:17">
      <c r="L640" s="86"/>
      <c r="N640" s="87"/>
      <c r="Q640" s="87"/>
    </row>
    <row r="641" spans="12:17">
      <c r="L641" s="86"/>
      <c r="N641" s="87"/>
      <c r="Q641" s="87"/>
    </row>
    <row r="642" spans="12:17">
      <c r="L642" s="86"/>
      <c r="N642" s="87"/>
      <c r="Q642" s="87"/>
    </row>
    <row r="643" spans="12:17">
      <c r="L643" s="86"/>
      <c r="N643" s="87"/>
      <c r="Q643" s="87"/>
    </row>
    <row r="644" spans="12:17">
      <c r="L644" s="86"/>
      <c r="N644" s="87"/>
      <c r="Q644" s="87"/>
    </row>
    <row r="645" spans="12:17">
      <c r="L645" s="86"/>
      <c r="N645" s="87"/>
      <c r="Q645" s="87"/>
    </row>
    <row r="646" spans="12:17">
      <c r="L646" s="86"/>
      <c r="N646" s="87"/>
      <c r="Q646" s="87"/>
    </row>
    <row r="647" spans="12:17">
      <c r="L647" s="86"/>
      <c r="N647" s="87"/>
      <c r="Q647" s="87"/>
    </row>
    <row r="648" spans="12:17">
      <c r="L648" s="86"/>
      <c r="N648" s="87"/>
      <c r="Q648" s="87"/>
    </row>
    <row r="649" spans="12:17">
      <c r="L649" s="86"/>
      <c r="N649" s="87"/>
      <c r="Q649" s="87"/>
    </row>
    <row r="650" spans="12:17">
      <c r="L650" s="86"/>
      <c r="N650" s="87"/>
      <c r="Q650" s="87"/>
    </row>
    <row r="651" spans="12:17">
      <c r="L651" s="86"/>
      <c r="N651" s="87"/>
      <c r="Q651" s="87"/>
    </row>
    <row r="652" spans="12:17">
      <c r="L652" s="86"/>
      <c r="N652" s="87"/>
      <c r="Q652" s="87"/>
    </row>
    <row r="653" spans="12:17">
      <c r="L653" s="86"/>
      <c r="N653" s="87"/>
      <c r="Q653" s="87"/>
    </row>
    <row r="654" spans="12:17">
      <c r="L654" s="86"/>
      <c r="N654" s="87"/>
      <c r="Q654" s="87"/>
    </row>
    <row r="655" spans="12:17">
      <c r="L655" s="86"/>
      <c r="N655" s="87"/>
      <c r="Q655" s="87"/>
    </row>
    <row r="656" spans="12:17">
      <c r="L656" s="86"/>
      <c r="N656" s="87"/>
      <c r="Q656" s="87"/>
    </row>
    <row r="657" spans="12:17">
      <c r="L657" s="86"/>
      <c r="N657" s="87"/>
      <c r="Q657" s="87"/>
    </row>
    <row r="658" spans="12:17">
      <c r="L658" s="86"/>
      <c r="N658" s="87"/>
      <c r="Q658" s="87"/>
    </row>
    <row r="659" spans="12:17">
      <c r="L659" s="86"/>
      <c r="N659" s="87"/>
      <c r="Q659" s="87"/>
    </row>
    <row r="660" spans="12:17">
      <c r="L660" s="86"/>
      <c r="N660" s="87"/>
      <c r="Q660" s="87"/>
    </row>
    <row r="661" spans="12:17">
      <c r="L661" s="86"/>
      <c r="N661" s="87"/>
      <c r="Q661" s="87"/>
    </row>
    <row r="662" spans="12:17">
      <c r="L662" s="86"/>
      <c r="N662" s="87"/>
      <c r="Q662" s="87"/>
    </row>
    <row r="663" spans="12:17">
      <c r="L663" s="86"/>
      <c r="N663" s="87"/>
      <c r="Q663" s="87"/>
    </row>
    <row r="664" spans="12:17">
      <c r="L664" s="86"/>
      <c r="N664" s="87"/>
      <c r="Q664" s="87"/>
    </row>
    <row r="665" spans="12:17">
      <c r="L665" s="86"/>
      <c r="N665" s="87"/>
      <c r="Q665" s="87"/>
    </row>
    <row r="666" spans="12:17">
      <c r="L666" s="86"/>
      <c r="N666" s="87"/>
      <c r="Q666" s="87"/>
    </row>
    <row r="667" spans="12:17">
      <c r="L667" s="86"/>
      <c r="N667" s="87"/>
      <c r="Q667" s="87"/>
    </row>
    <row r="668" spans="12:17">
      <c r="L668" s="86"/>
      <c r="N668" s="87"/>
      <c r="Q668" s="87"/>
    </row>
    <row r="669" spans="12:17">
      <c r="L669" s="86"/>
      <c r="N669" s="87"/>
      <c r="Q669" s="87"/>
    </row>
    <row r="670" spans="12:17">
      <c r="L670" s="86"/>
      <c r="N670" s="87"/>
      <c r="Q670" s="87"/>
    </row>
    <row r="671" spans="12:17">
      <c r="L671" s="86"/>
      <c r="N671" s="87"/>
      <c r="Q671" s="87"/>
    </row>
    <row r="672" spans="12:17">
      <c r="L672" s="86"/>
      <c r="N672" s="87"/>
      <c r="Q672" s="87"/>
    </row>
    <row r="673" spans="12:17">
      <c r="L673" s="86"/>
      <c r="N673" s="87"/>
      <c r="Q673" s="87"/>
    </row>
    <row r="674" spans="12:17">
      <c r="L674" s="86"/>
      <c r="N674" s="87"/>
      <c r="Q674" s="87"/>
    </row>
    <row r="675" spans="12:17">
      <c r="L675" s="86"/>
      <c r="N675" s="87"/>
      <c r="Q675" s="87"/>
    </row>
    <row r="676" spans="12:17">
      <c r="L676" s="86"/>
      <c r="N676" s="87"/>
      <c r="Q676" s="87"/>
    </row>
    <row r="677" spans="12:17">
      <c r="L677" s="86"/>
      <c r="N677" s="87"/>
      <c r="Q677" s="87"/>
    </row>
    <row r="678" spans="12:17">
      <c r="L678" s="86"/>
      <c r="N678" s="87"/>
      <c r="Q678" s="87"/>
    </row>
    <row r="679" spans="12:17">
      <c r="L679" s="86"/>
      <c r="N679" s="87"/>
      <c r="Q679" s="87"/>
    </row>
    <row r="680" spans="12:17">
      <c r="L680" s="86"/>
      <c r="N680" s="87"/>
      <c r="Q680" s="87"/>
    </row>
    <row r="681" spans="12:17">
      <c r="L681" s="86"/>
      <c r="N681" s="87"/>
      <c r="Q681" s="87"/>
    </row>
    <row r="682" spans="12:17">
      <c r="L682" s="86"/>
      <c r="N682" s="87"/>
      <c r="Q682" s="87"/>
    </row>
    <row r="683" spans="12:17">
      <c r="L683" s="86"/>
      <c r="N683" s="87"/>
      <c r="Q683" s="87"/>
    </row>
    <row r="684" spans="12:17">
      <c r="L684" s="86"/>
      <c r="N684" s="87"/>
      <c r="Q684" s="87"/>
    </row>
    <row r="685" spans="12:17">
      <c r="L685" s="86"/>
      <c r="N685" s="87"/>
      <c r="Q685" s="87"/>
    </row>
    <row r="686" spans="12:17">
      <c r="L686" s="86"/>
      <c r="N686" s="87"/>
      <c r="Q686" s="87"/>
    </row>
    <row r="687" spans="12:17">
      <c r="L687" s="86"/>
      <c r="N687" s="87"/>
      <c r="Q687" s="87"/>
    </row>
    <row r="688" spans="12:17">
      <c r="L688" s="86"/>
      <c r="N688" s="87"/>
      <c r="Q688" s="87"/>
    </row>
    <row r="689" spans="12:17">
      <c r="L689" s="86"/>
      <c r="N689" s="87"/>
      <c r="Q689" s="87"/>
    </row>
    <row r="690" spans="12:17">
      <c r="L690" s="86"/>
      <c r="N690" s="87"/>
      <c r="Q690" s="87"/>
    </row>
    <row r="691" spans="12:17">
      <c r="L691" s="86"/>
      <c r="N691" s="87"/>
      <c r="Q691" s="87"/>
    </row>
    <row r="692" spans="12:17">
      <c r="L692" s="86"/>
      <c r="N692" s="87"/>
      <c r="Q692" s="87"/>
    </row>
    <row r="693" spans="12:17">
      <c r="L693" s="86"/>
      <c r="N693" s="87"/>
      <c r="Q693" s="87"/>
    </row>
    <row r="694" spans="12:17">
      <c r="L694" s="86"/>
      <c r="N694" s="87"/>
      <c r="Q694" s="87"/>
    </row>
    <row r="695" spans="12:17">
      <c r="L695" s="86"/>
      <c r="N695" s="87"/>
      <c r="Q695" s="87"/>
    </row>
    <row r="696" spans="12:17">
      <c r="L696" s="86"/>
      <c r="N696" s="87"/>
      <c r="Q696" s="87"/>
    </row>
    <row r="697" spans="12:17">
      <c r="L697" s="86"/>
      <c r="N697" s="87"/>
      <c r="Q697" s="87"/>
    </row>
    <row r="698" spans="12:17">
      <c r="L698" s="86"/>
      <c r="N698" s="87"/>
      <c r="Q698" s="87"/>
    </row>
    <row r="699" spans="12:17">
      <c r="L699" s="86"/>
      <c r="N699" s="87"/>
      <c r="Q699" s="87"/>
    </row>
    <row r="700" spans="12:17">
      <c r="L700" s="86"/>
      <c r="N700" s="87"/>
      <c r="Q700" s="87"/>
    </row>
    <row r="701" spans="12:17">
      <c r="L701" s="86"/>
      <c r="N701" s="87"/>
      <c r="Q701" s="87"/>
    </row>
    <row r="702" spans="12:17">
      <c r="L702" s="86"/>
      <c r="N702" s="87"/>
      <c r="Q702" s="87"/>
    </row>
    <row r="703" spans="12:17">
      <c r="L703" s="86"/>
      <c r="N703" s="87"/>
      <c r="Q703" s="87"/>
    </row>
    <row r="704" spans="12:17">
      <c r="L704" s="86"/>
      <c r="N704" s="87"/>
      <c r="Q704" s="87"/>
    </row>
    <row r="705" spans="12:17">
      <c r="L705" s="86"/>
      <c r="N705" s="87"/>
      <c r="Q705" s="87"/>
    </row>
    <row r="706" spans="12:17">
      <c r="L706" s="86"/>
      <c r="N706" s="87"/>
      <c r="Q706" s="87"/>
    </row>
    <row r="707" spans="12:17">
      <c r="L707" s="86"/>
      <c r="N707" s="87"/>
      <c r="Q707" s="87"/>
    </row>
    <row r="708" spans="12:17">
      <c r="L708" s="86"/>
      <c r="N708" s="87"/>
      <c r="Q708" s="87"/>
    </row>
    <row r="709" spans="12:17">
      <c r="L709" s="86"/>
      <c r="N709" s="87"/>
      <c r="Q709" s="87"/>
    </row>
    <row r="710" spans="12:17">
      <c r="L710" s="86"/>
      <c r="N710" s="87"/>
      <c r="Q710" s="87"/>
    </row>
    <row r="711" spans="12:17">
      <c r="L711" s="86"/>
      <c r="N711" s="87"/>
      <c r="Q711" s="87"/>
    </row>
    <row r="712" spans="12:17">
      <c r="L712" s="86"/>
      <c r="N712" s="87"/>
      <c r="Q712" s="87"/>
    </row>
    <row r="713" spans="12:17">
      <c r="L713" s="86"/>
      <c r="N713" s="87"/>
      <c r="Q713" s="87"/>
    </row>
    <row r="714" spans="12:17">
      <c r="L714" s="86"/>
      <c r="N714" s="87"/>
      <c r="Q714" s="87"/>
    </row>
    <row r="715" spans="12:17">
      <c r="L715" s="86"/>
      <c r="N715" s="87"/>
      <c r="Q715" s="87"/>
    </row>
    <row r="716" spans="12:17">
      <c r="L716" s="86"/>
      <c r="N716" s="87"/>
      <c r="Q716" s="87"/>
    </row>
    <row r="717" spans="12:17">
      <c r="L717" s="86"/>
      <c r="N717" s="87"/>
      <c r="Q717" s="87"/>
    </row>
    <row r="718" spans="12:17">
      <c r="L718" s="86"/>
      <c r="N718" s="87"/>
      <c r="Q718" s="87"/>
    </row>
    <row r="719" spans="12:17">
      <c r="L719" s="86"/>
      <c r="N719" s="87"/>
      <c r="Q719" s="87"/>
    </row>
    <row r="720" spans="12:17">
      <c r="L720" s="86"/>
      <c r="N720" s="87"/>
      <c r="Q720" s="87"/>
    </row>
    <row r="721" spans="12:17">
      <c r="L721" s="86"/>
      <c r="N721" s="87"/>
      <c r="Q721" s="87"/>
    </row>
    <row r="722" spans="12:17">
      <c r="L722" s="86"/>
      <c r="N722" s="87"/>
      <c r="Q722" s="87"/>
    </row>
    <row r="723" spans="12:17">
      <c r="L723" s="86"/>
      <c r="N723" s="87"/>
      <c r="Q723" s="87"/>
    </row>
    <row r="724" spans="12:17">
      <c r="L724" s="86"/>
      <c r="N724" s="87"/>
      <c r="Q724" s="87"/>
    </row>
    <row r="725" spans="12:17">
      <c r="L725" s="86"/>
      <c r="N725" s="87"/>
      <c r="Q725" s="87"/>
    </row>
    <row r="726" spans="12:17">
      <c r="L726" s="86"/>
      <c r="N726" s="87"/>
      <c r="Q726" s="87"/>
    </row>
    <row r="727" spans="12:17">
      <c r="L727" s="86"/>
      <c r="N727" s="87"/>
      <c r="Q727" s="87"/>
    </row>
    <row r="728" spans="12:17">
      <c r="L728" s="86"/>
      <c r="N728" s="87"/>
      <c r="Q728" s="87"/>
    </row>
    <row r="729" spans="12:17">
      <c r="L729" s="86"/>
      <c r="N729" s="87"/>
      <c r="Q729" s="87"/>
    </row>
    <row r="730" spans="12:17">
      <c r="L730" s="86"/>
      <c r="N730" s="87"/>
      <c r="Q730" s="87"/>
    </row>
    <row r="731" spans="12:17">
      <c r="L731" s="86"/>
      <c r="N731" s="87"/>
      <c r="Q731" s="87"/>
    </row>
    <row r="732" spans="12:17">
      <c r="L732" s="86"/>
      <c r="N732" s="87"/>
      <c r="Q732" s="87"/>
    </row>
    <row r="733" spans="12:17">
      <c r="L733" s="86"/>
      <c r="N733" s="87"/>
      <c r="Q733" s="87"/>
    </row>
    <row r="734" spans="12:17">
      <c r="L734" s="86"/>
      <c r="N734" s="87"/>
      <c r="Q734" s="87"/>
    </row>
    <row r="735" spans="12:17">
      <c r="L735" s="86"/>
      <c r="N735" s="87"/>
      <c r="Q735" s="87"/>
    </row>
    <row r="736" spans="12:17">
      <c r="L736" s="86"/>
      <c r="N736" s="87"/>
      <c r="Q736" s="87"/>
    </row>
    <row r="737" spans="12:17">
      <c r="L737" s="86"/>
      <c r="N737" s="87"/>
      <c r="Q737" s="87"/>
    </row>
    <row r="738" spans="12:17">
      <c r="L738" s="86"/>
      <c r="N738" s="87"/>
      <c r="Q738" s="87"/>
    </row>
    <row r="739" spans="12:17">
      <c r="L739" s="86"/>
      <c r="N739" s="87"/>
      <c r="Q739" s="87"/>
    </row>
    <row r="740" spans="12:17">
      <c r="L740" s="86"/>
      <c r="N740" s="87"/>
      <c r="Q740" s="87"/>
    </row>
    <row r="741" spans="12:17">
      <c r="L741" s="86"/>
      <c r="N741" s="87"/>
      <c r="Q741" s="87"/>
    </row>
    <row r="742" spans="12:17">
      <c r="L742" s="86"/>
      <c r="N742" s="87"/>
      <c r="Q742" s="87"/>
    </row>
    <row r="743" spans="12:17">
      <c r="L743" s="86"/>
      <c r="N743" s="87"/>
      <c r="Q743" s="87"/>
    </row>
    <row r="744" spans="12:17">
      <c r="L744" s="86"/>
      <c r="N744" s="87"/>
      <c r="Q744" s="87"/>
    </row>
    <row r="745" spans="12:17">
      <c r="L745" s="86"/>
      <c r="N745" s="87"/>
      <c r="Q745" s="87"/>
    </row>
    <row r="746" spans="12:17">
      <c r="L746" s="86"/>
      <c r="N746" s="87"/>
      <c r="Q746" s="87"/>
    </row>
    <row r="747" spans="12:17">
      <c r="L747" s="86"/>
      <c r="N747" s="87"/>
      <c r="Q747" s="87"/>
    </row>
    <row r="748" spans="12:17">
      <c r="L748" s="86"/>
      <c r="N748" s="87"/>
      <c r="Q748" s="87"/>
    </row>
    <row r="749" spans="12:17">
      <c r="L749" s="86"/>
      <c r="N749" s="87"/>
      <c r="Q749" s="87"/>
    </row>
    <row r="750" spans="12:17">
      <c r="L750" s="86"/>
      <c r="N750" s="87"/>
      <c r="Q750" s="87"/>
    </row>
    <row r="751" spans="12:17">
      <c r="L751" s="86"/>
      <c r="N751" s="87"/>
      <c r="Q751" s="87"/>
    </row>
    <row r="752" spans="12:17">
      <c r="L752" s="86"/>
      <c r="N752" s="87"/>
      <c r="Q752" s="87"/>
    </row>
    <row r="753" spans="12:17">
      <c r="L753" s="86"/>
      <c r="N753" s="87"/>
      <c r="Q753" s="87"/>
    </row>
    <row r="754" spans="12:17">
      <c r="L754" s="86"/>
      <c r="N754" s="87"/>
      <c r="Q754" s="87"/>
    </row>
    <row r="755" spans="12:17">
      <c r="L755" s="86"/>
      <c r="N755" s="87"/>
      <c r="Q755" s="87"/>
    </row>
    <row r="756" spans="12:17">
      <c r="L756" s="86"/>
      <c r="N756" s="87"/>
      <c r="Q756" s="87"/>
    </row>
    <row r="757" spans="12:17">
      <c r="L757" s="86"/>
      <c r="N757" s="87"/>
      <c r="Q757" s="87"/>
    </row>
    <row r="758" spans="12:17">
      <c r="L758" s="86"/>
      <c r="N758" s="87"/>
      <c r="Q758" s="87"/>
    </row>
    <row r="759" spans="12:17">
      <c r="L759" s="86"/>
      <c r="N759" s="87"/>
      <c r="Q759" s="87"/>
    </row>
    <row r="760" spans="12:17">
      <c r="L760" s="86"/>
      <c r="N760" s="87"/>
      <c r="Q760" s="87"/>
    </row>
    <row r="761" spans="12:17">
      <c r="L761" s="86"/>
      <c r="N761" s="87"/>
      <c r="Q761" s="87"/>
    </row>
    <row r="762" spans="12:17">
      <c r="L762" s="86"/>
      <c r="N762" s="87"/>
      <c r="Q762" s="87"/>
    </row>
    <row r="763" spans="12:17">
      <c r="L763" s="86"/>
      <c r="N763" s="87"/>
      <c r="Q763" s="87"/>
    </row>
    <row r="764" spans="12:17">
      <c r="L764" s="86"/>
      <c r="N764" s="87"/>
      <c r="Q764" s="87"/>
    </row>
    <row r="765" spans="12:17">
      <c r="L765" s="86"/>
      <c r="N765" s="87"/>
      <c r="Q765" s="87"/>
    </row>
    <row r="766" spans="12:17">
      <c r="L766" s="86"/>
      <c r="N766" s="87"/>
      <c r="Q766" s="87"/>
    </row>
    <row r="767" spans="12:17">
      <c r="L767" s="86"/>
      <c r="N767" s="87"/>
      <c r="Q767" s="87"/>
    </row>
    <row r="768" spans="12:17">
      <c r="L768" s="86"/>
      <c r="N768" s="87"/>
      <c r="Q768" s="87"/>
    </row>
    <row r="769" spans="12:17">
      <c r="L769" s="86"/>
      <c r="N769" s="87"/>
      <c r="Q769" s="87"/>
    </row>
    <row r="770" spans="12:17">
      <c r="L770" s="86"/>
      <c r="N770" s="87"/>
      <c r="Q770" s="87"/>
    </row>
    <row r="771" spans="12:17">
      <c r="L771" s="86"/>
      <c r="N771" s="87"/>
      <c r="Q771" s="87"/>
    </row>
    <row r="772" spans="12:17">
      <c r="L772" s="86"/>
      <c r="N772" s="87"/>
      <c r="Q772" s="87"/>
    </row>
    <row r="773" spans="12:17">
      <c r="L773" s="86"/>
      <c r="N773" s="87"/>
      <c r="Q773" s="87"/>
    </row>
    <row r="774" spans="12:17">
      <c r="L774" s="86"/>
      <c r="N774" s="87"/>
      <c r="Q774" s="87"/>
    </row>
    <row r="775" spans="12:17">
      <c r="L775" s="86"/>
      <c r="N775" s="87"/>
      <c r="Q775" s="87"/>
    </row>
    <row r="776" spans="12:17">
      <c r="L776" s="86"/>
      <c r="N776" s="87"/>
      <c r="Q776" s="87"/>
    </row>
    <row r="777" spans="12:17">
      <c r="L777" s="86"/>
      <c r="N777" s="87"/>
      <c r="Q777" s="87"/>
    </row>
    <row r="778" spans="12:17">
      <c r="L778" s="86"/>
      <c r="N778" s="87"/>
      <c r="Q778" s="87"/>
    </row>
    <row r="779" spans="12:17">
      <c r="L779" s="86"/>
      <c r="N779" s="87"/>
      <c r="Q779" s="87"/>
    </row>
    <row r="780" spans="12:17">
      <c r="L780" s="86"/>
      <c r="N780" s="87"/>
      <c r="Q780" s="87"/>
    </row>
    <row r="781" spans="12:17">
      <c r="L781" s="86"/>
      <c r="N781" s="87"/>
      <c r="Q781" s="87"/>
    </row>
    <row r="782" spans="12:17">
      <c r="L782" s="86"/>
      <c r="N782" s="87"/>
      <c r="Q782" s="87"/>
    </row>
    <row r="783" spans="12:17">
      <c r="L783" s="86"/>
      <c r="N783" s="87"/>
      <c r="Q783" s="87"/>
    </row>
    <row r="784" spans="12:17">
      <c r="L784" s="86"/>
      <c r="N784" s="87"/>
      <c r="Q784" s="87"/>
    </row>
    <row r="785" spans="12:17">
      <c r="L785" s="86"/>
      <c r="N785" s="87"/>
      <c r="Q785" s="87"/>
    </row>
    <row r="786" spans="12:17">
      <c r="L786" s="86"/>
      <c r="N786" s="87"/>
      <c r="Q786" s="87"/>
    </row>
    <row r="787" spans="12:17">
      <c r="L787" s="86"/>
      <c r="N787" s="87"/>
      <c r="Q787" s="87"/>
    </row>
    <row r="788" spans="12:17">
      <c r="L788" s="86"/>
      <c r="N788" s="87"/>
      <c r="Q788" s="87"/>
    </row>
    <row r="789" spans="12:17">
      <c r="L789" s="86"/>
      <c r="N789" s="87"/>
      <c r="Q789" s="87"/>
    </row>
    <row r="790" spans="12:17">
      <c r="L790" s="86"/>
      <c r="N790" s="87"/>
      <c r="Q790" s="87"/>
    </row>
    <row r="791" spans="12:17">
      <c r="L791" s="86"/>
      <c r="N791" s="87"/>
      <c r="Q791" s="87"/>
    </row>
    <row r="792" spans="12:17">
      <c r="L792" s="86"/>
      <c r="N792" s="87"/>
      <c r="Q792" s="87"/>
    </row>
    <row r="793" spans="12:17">
      <c r="L793" s="86"/>
      <c r="N793" s="87"/>
      <c r="Q793" s="87"/>
    </row>
    <row r="794" spans="12:17">
      <c r="L794" s="86"/>
      <c r="N794" s="87"/>
      <c r="Q794" s="87"/>
    </row>
    <row r="795" spans="12:17">
      <c r="L795" s="86"/>
      <c r="N795" s="87"/>
      <c r="Q795" s="87"/>
    </row>
    <row r="796" spans="12:17">
      <c r="L796" s="86"/>
      <c r="N796" s="87"/>
      <c r="Q796" s="87"/>
    </row>
    <row r="797" spans="12:17">
      <c r="L797" s="86"/>
      <c r="N797" s="87"/>
      <c r="Q797" s="87"/>
    </row>
    <row r="798" spans="12:17">
      <c r="L798" s="86"/>
      <c r="N798" s="87"/>
      <c r="Q798" s="87"/>
    </row>
    <row r="799" spans="12:17">
      <c r="L799" s="86"/>
      <c r="N799" s="87"/>
      <c r="Q799" s="87"/>
    </row>
    <row r="800" spans="12:17">
      <c r="L800" s="86"/>
      <c r="N800" s="87"/>
      <c r="Q800" s="87"/>
    </row>
    <row r="801" spans="12:17">
      <c r="L801" s="86"/>
      <c r="N801" s="87"/>
      <c r="Q801" s="87"/>
    </row>
    <row r="802" spans="12:17">
      <c r="L802" s="86"/>
      <c r="N802" s="87"/>
      <c r="Q802" s="87"/>
    </row>
    <row r="803" spans="12:17">
      <c r="L803" s="86"/>
      <c r="N803" s="87"/>
      <c r="Q803" s="87"/>
    </row>
    <row r="804" spans="12:17">
      <c r="L804" s="86"/>
      <c r="N804" s="87"/>
      <c r="Q804" s="87"/>
    </row>
    <row r="805" spans="12:17">
      <c r="L805" s="86"/>
      <c r="N805" s="87"/>
      <c r="Q805" s="87"/>
    </row>
    <row r="806" spans="12:17">
      <c r="L806" s="86"/>
      <c r="N806" s="87"/>
      <c r="Q806" s="87"/>
    </row>
    <row r="807" spans="12:17">
      <c r="L807" s="86"/>
      <c r="N807" s="87"/>
      <c r="Q807" s="87"/>
    </row>
    <row r="808" spans="12:17">
      <c r="L808" s="86"/>
      <c r="N808" s="87"/>
      <c r="Q808" s="87"/>
    </row>
    <row r="809" spans="12:17">
      <c r="L809" s="86"/>
      <c r="N809" s="87"/>
      <c r="Q809" s="87"/>
    </row>
    <row r="810" spans="12:17">
      <c r="L810" s="86"/>
      <c r="N810" s="87"/>
      <c r="Q810" s="87"/>
    </row>
    <row r="811" spans="12:17">
      <c r="L811" s="86"/>
      <c r="N811" s="87"/>
      <c r="Q811" s="87"/>
    </row>
    <row r="812" spans="12:17">
      <c r="L812" s="86"/>
      <c r="N812" s="87"/>
      <c r="Q812" s="87"/>
    </row>
    <row r="813" spans="12:17">
      <c r="L813" s="86"/>
      <c r="N813" s="87"/>
      <c r="Q813" s="87"/>
    </row>
    <row r="814" spans="12:17">
      <c r="L814" s="86"/>
      <c r="N814" s="87"/>
      <c r="Q814" s="87"/>
    </row>
    <row r="815" spans="12:17">
      <c r="L815" s="86"/>
      <c r="N815" s="87"/>
      <c r="Q815" s="87"/>
    </row>
    <row r="816" spans="12:17">
      <c r="L816" s="86"/>
      <c r="N816" s="87"/>
      <c r="Q816" s="87"/>
    </row>
    <row r="817" spans="12:17">
      <c r="L817" s="86"/>
      <c r="N817" s="87"/>
      <c r="Q817" s="87"/>
    </row>
    <row r="818" spans="12:17">
      <c r="L818" s="86"/>
      <c r="N818" s="87"/>
      <c r="Q818" s="87"/>
    </row>
    <row r="819" spans="12:17">
      <c r="L819" s="86"/>
      <c r="N819" s="87"/>
      <c r="Q819" s="87"/>
    </row>
    <row r="820" spans="12:17">
      <c r="L820" s="86"/>
      <c r="N820" s="87"/>
      <c r="Q820" s="87"/>
    </row>
    <row r="821" spans="12:17">
      <c r="L821" s="86"/>
      <c r="N821" s="87"/>
      <c r="Q821" s="87"/>
    </row>
    <row r="822" spans="12:17">
      <c r="L822" s="86"/>
      <c r="N822" s="87"/>
      <c r="Q822" s="87"/>
    </row>
    <row r="823" spans="12:17">
      <c r="L823" s="86"/>
      <c r="N823" s="87"/>
      <c r="Q823" s="87"/>
    </row>
    <row r="824" spans="12:17">
      <c r="L824" s="86"/>
      <c r="N824" s="87"/>
      <c r="Q824" s="87"/>
    </row>
    <row r="825" spans="12:17">
      <c r="L825" s="86"/>
      <c r="N825" s="87"/>
      <c r="Q825" s="87"/>
    </row>
    <row r="826" spans="12:17">
      <c r="L826" s="86"/>
      <c r="N826" s="87"/>
      <c r="Q826" s="87"/>
    </row>
    <row r="827" spans="12:17">
      <c r="L827" s="86"/>
      <c r="N827" s="87"/>
      <c r="Q827" s="87"/>
    </row>
    <row r="828" spans="12:17">
      <c r="L828" s="86"/>
      <c r="N828" s="87"/>
      <c r="Q828" s="87"/>
    </row>
    <row r="829" spans="12:17">
      <c r="L829" s="86"/>
      <c r="N829" s="87"/>
      <c r="Q829" s="87"/>
    </row>
    <row r="830" spans="12:17">
      <c r="L830" s="86"/>
      <c r="N830" s="87"/>
      <c r="Q830" s="87"/>
    </row>
    <row r="831" spans="12:17">
      <c r="L831" s="86"/>
      <c r="N831" s="87"/>
      <c r="Q831" s="87"/>
    </row>
    <row r="832" spans="12:17">
      <c r="L832" s="86"/>
      <c r="N832" s="87"/>
      <c r="Q832" s="87"/>
    </row>
    <row r="833" spans="12:17">
      <c r="L833" s="86"/>
      <c r="N833" s="87"/>
      <c r="Q833" s="87"/>
    </row>
    <row r="834" spans="12:17">
      <c r="L834" s="86"/>
      <c r="N834" s="87"/>
      <c r="Q834" s="87"/>
    </row>
    <row r="835" spans="12:17">
      <c r="L835" s="86"/>
      <c r="N835" s="87"/>
      <c r="Q835" s="87"/>
    </row>
    <row r="836" spans="12:17">
      <c r="L836" s="86"/>
      <c r="N836" s="87"/>
      <c r="Q836" s="87"/>
    </row>
    <row r="837" spans="12:17">
      <c r="L837" s="86"/>
      <c r="N837" s="87"/>
      <c r="Q837" s="87"/>
    </row>
    <row r="838" spans="12:17">
      <c r="L838" s="86"/>
      <c r="N838" s="87"/>
      <c r="Q838" s="87"/>
    </row>
    <row r="839" spans="12:17">
      <c r="L839" s="86"/>
      <c r="N839" s="87"/>
      <c r="Q839" s="87"/>
    </row>
    <row r="840" spans="12:17">
      <c r="L840" s="86"/>
      <c r="N840" s="87"/>
      <c r="Q840" s="87"/>
    </row>
    <row r="841" spans="12:17">
      <c r="L841" s="86"/>
      <c r="N841" s="87"/>
      <c r="Q841" s="87"/>
    </row>
    <row r="842" spans="12:17">
      <c r="L842" s="86"/>
      <c r="N842" s="87"/>
      <c r="Q842" s="87"/>
    </row>
    <row r="843" spans="12:17">
      <c r="L843" s="86"/>
      <c r="N843" s="87"/>
      <c r="Q843" s="87"/>
    </row>
    <row r="844" spans="12:17">
      <c r="L844" s="86"/>
      <c r="N844" s="87"/>
      <c r="Q844" s="87"/>
    </row>
    <row r="845" spans="12:17">
      <c r="L845" s="86"/>
      <c r="N845" s="87"/>
      <c r="Q845" s="87"/>
    </row>
    <row r="846" spans="12:17">
      <c r="L846" s="86"/>
      <c r="N846" s="87"/>
      <c r="Q846" s="87"/>
    </row>
    <row r="847" spans="12:17">
      <c r="L847" s="86"/>
      <c r="N847" s="87"/>
      <c r="Q847" s="87"/>
    </row>
    <row r="848" spans="12:17">
      <c r="L848" s="86"/>
      <c r="N848" s="87"/>
      <c r="Q848" s="87"/>
    </row>
    <row r="849" spans="12:17">
      <c r="L849" s="86"/>
      <c r="N849" s="87"/>
      <c r="Q849" s="87"/>
    </row>
    <row r="850" spans="12:17">
      <c r="L850" s="86"/>
      <c r="N850" s="87"/>
      <c r="Q850" s="87"/>
    </row>
    <row r="851" spans="12:17">
      <c r="L851" s="86"/>
      <c r="N851" s="87"/>
      <c r="Q851" s="87"/>
    </row>
    <row r="852" spans="12:17">
      <c r="L852" s="86"/>
      <c r="N852" s="87"/>
      <c r="Q852" s="87"/>
    </row>
    <row r="853" spans="12:17">
      <c r="L853" s="86"/>
      <c r="N853" s="87"/>
      <c r="Q853" s="87"/>
    </row>
    <row r="854" spans="12:17">
      <c r="L854" s="86"/>
      <c r="N854" s="87"/>
      <c r="Q854" s="87"/>
    </row>
    <row r="855" spans="12:17">
      <c r="L855" s="86"/>
      <c r="N855" s="87"/>
      <c r="Q855" s="87"/>
    </row>
    <row r="856" spans="12:17">
      <c r="L856" s="86"/>
      <c r="N856" s="87"/>
      <c r="Q856" s="87"/>
    </row>
    <row r="857" spans="12:17">
      <c r="L857" s="86"/>
      <c r="N857" s="87"/>
      <c r="Q857" s="87"/>
    </row>
    <row r="858" spans="12:17">
      <c r="L858" s="86"/>
      <c r="N858" s="87"/>
      <c r="Q858" s="87"/>
    </row>
    <row r="859" spans="12:17">
      <c r="L859" s="86"/>
      <c r="N859" s="87"/>
      <c r="Q859" s="87"/>
    </row>
    <row r="860" spans="12:17">
      <c r="L860" s="86"/>
      <c r="N860" s="87"/>
      <c r="Q860" s="87"/>
    </row>
    <row r="861" spans="12:17">
      <c r="L861" s="86"/>
      <c r="N861" s="87"/>
      <c r="Q861" s="87"/>
    </row>
    <row r="862" spans="12:17">
      <c r="L862" s="86"/>
      <c r="N862" s="87"/>
      <c r="Q862" s="87"/>
    </row>
    <row r="863" spans="12:17">
      <c r="L863" s="86"/>
      <c r="N863" s="87"/>
      <c r="Q863" s="87"/>
    </row>
    <row r="864" spans="12:17">
      <c r="L864" s="86"/>
      <c r="N864" s="87"/>
      <c r="Q864" s="87"/>
    </row>
    <row r="865" spans="12:17">
      <c r="L865" s="86"/>
      <c r="N865" s="87"/>
      <c r="Q865" s="87"/>
    </row>
    <row r="866" spans="12:17">
      <c r="L866" s="86"/>
      <c r="N866" s="87"/>
      <c r="Q866" s="87"/>
    </row>
    <row r="867" spans="12:17">
      <c r="L867" s="86"/>
      <c r="N867" s="87"/>
      <c r="Q867" s="87"/>
    </row>
    <row r="868" spans="12:17">
      <c r="L868" s="86"/>
      <c r="N868" s="87"/>
      <c r="Q868" s="87"/>
    </row>
    <row r="869" spans="12:17">
      <c r="L869" s="86"/>
      <c r="N869" s="87"/>
      <c r="Q869" s="87"/>
    </row>
    <row r="870" spans="12:17">
      <c r="L870" s="86"/>
      <c r="N870" s="87"/>
      <c r="Q870" s="87"/>
    </row>
    <row r="871" spans="12:17">
      <c r="L871" s="86"/>
      <c r="N871" s="87"/>
      <c r="Q871" s="87"/>
    </row>
    <row r="872" spans="12:17">
      <c r="L872" s="86"/>
      <c r="N872" s="87"/>
      <c r="Q872" s="87"/>
    </row>
    <row r="873" spans="12:17">
      <c r="L873" s="86"/>
      <c r="N873" s="87"/>
      <c r="Q873" s="87"/>
    </row>
    <row r="874" spans="12:17">
      <c r="L874" s="86"/>
      <c r="N874" s="87"/>
      <c r="Q874" s="87"/>
    </row>
    <row r="875" spans="12:17">
      <c r="L875" s="86"/>
      <c r="N875" s="87"/>
      <c r="Q875" s="87"/>
    </row>
    <row r="876" spans="12:17">
      <c r="L876" s="86"/>
      <c r="N876" s="87"/>
      <c r="Q876" s="87"/>
    </row>
    <row r="877" spans="12:17">
      <c r="L877" s="86"/>
      <c r="N877" s="87"/>
      <c r="Q877" s="87"/>
    </row>
    <row r="878" spans="12:17">
      <c r="L878" s="86"/>
      <c r="N878" s="87"/>
      <c r="Q878" s="87"/>
    </row>
    <row r="879" spans="12:17">
      <c r="L879" s="86"/>
      <c r="N879" s="87"/>
      <c r="Q879" s="87"/>
    </row>
    <row r="880" spans="12:17">
      <c r="L880" s="86"/>
      <c r="N880" s="87"/>
      <c r="Q880" s="87"/>
    </row>
    <row r="881" spans="12:17">
      <c r="L881" s="86"/>
      <c r="N881" s="87"/>
      <c r="Q881" s="87"/>
    </row>
    <row r="882" spans="12:17">
      <c r="L882" s="86"/>
      <c r="N882" s="87"/>
      <c r="Q882" s="87"/>
    </row>
    <row r="883" spans="12:17">
      <c r="L883" s="86"/>
      <c r="N883" s="87"/>
      <c r="Q883" s="87"/>
    </row>
    <row r="884" spans="12:17">
      <c r="L884" s="86"/>
      <c r="N884" s="87"/>
      <c r="Q884" s="87"/>
    </row>
    <row r="885" spans="12:17">
      <c r="L885" s="86"/>
      <c r="N885" s="87"/>
      <c r="Q885" s="87"/>
    </row>
    <row r="886" spans="12:17">
      <c r="L886" s="86"/>
      <c r="N886" s="87"/>
      <c r="Q886" s="87"/>
    </row>
    <row r="887" spans="12:17">
      <c r="L887" s="86"/>
      <c r="N887" s="87"/>
      <c r="Q887" s="87"/>
    </row>
    <row r="888" spans="12:17">
      <c r="L888" s="86"/>
      <c r="N888" s="87"/>
      <c r="Q888" s="87"/>
    </row>
    <row r="889" spans="12:17">
      <c r="L889" s="86"/>
      <c r="N889" s="87"/>
      <c r="Q889" s="87"/>
    </row>
    <row r="890" spans="12:17">
      <c r="L890" s="86"/>
      <c r="N890" s="87"/>
      <c r="Q890" s="87"/>
    </row>
    <row r="891" spans="12:17">
      <c r="L891" s="86"/>
      <c r="N891" s="87"/>
      <c r="Q891" s="87"/>
    </row>
    <row r="892" spans="12:17">
      <c r="L892" s="86"/>
      <c r="N892" s="87"/>
      <c r="Q892" s="87"/>
    </row>
    <row r="893" spans="12:17">
      <c r="L893" s="86"/>
      <c r="N893" s="87"/>
      <c r="Q893" s="87"/>
    </row>
    <row r="894" spans="12:17">
      <c r="L894" s="86"/>
      <c r="N894" s="87"/>
      <c r="Q894" s="87"/>
    </row>
    <row r="895" spans="12:17">
      <c r="L895" s="86"/>
      <c r="N895" s="87"/>
      <c r="Q895" s="87"/>
    </row>
    <row r="896" spans="12:17">
      <c r="L896" s="86"/>
      <c r="N896" s="87"/>
      <c r="Q896" s="87"/>
    </row>
    <row r="897" spans="12:17">
      <c r="L897" s="86"/>
      <c r="N897" s="87"/>
      <c r="Q897" s="87"/>
    </row>
    <row r="898" spans="12:17">
      <c r="L898" s="86"/>
      <c r="N898" s="87"/>
      <c r="Q898" s="87"/>
    </row>
    <row r="899" spans="12:17">
      <c r="L899" s="86"/>
      <c r="N899" s="87"/>
      <c r="Q899" s="87"/>
    </row>
    <row r="900" spans="12:17">
      <c r="L900" s="86"/>
      <c r="N900" s="87"/>
      <c r="Q900" s="87"/>
    </row>
    <row r="901" spans="12:17">
      <c r="L901" s="86"/>
      <c r="N901" s="87"/>
      <c r="Q901" s="87"/>
    </row>
    <row r="902" spans="12:17">
      <c r="L902" s="86"/>
      <c r="N902" s="87"/>
      <c r="Q902" s="87"/>
    </row>
    <row r="903" spans="12:17">
      <c r="L903" s="86"/>
      <c r="N903" s="87"/>
      <c r="Q903" s="87"/>
    </row>
    <row r="904" spans="12:17">
      <c r="L904" s="86"/>
      <c r="N904" s="87"/>
      <c r="Q904" s="87"/>
    </row>
    <row r="905" spans="12:17">
      <c r="L905" s="86"/>
      <c r="N905" s="87"/>
      <c r="Q905" s="87"/>
    </row>
    <row r="906" spans="12:17">
      <c r="L906" s="86"/>
      <c r="N906" s="87"/>
      <c r="Q906" s="87"/>
    </row>
    <row r="907" spans="12:17">
      <c r="L907" s="86"/>
      <c r="N907" s="87"/>
      <c r="Q907" s="87"/>
    </row>
    <row r="908" spans="12:17">
      <c r="L908" s="86"/>
      <c r="N908" s="87"/>
      <c r="Q908" s="87"/>
    </row>
    <row r="909" spans="12:17">
      <c r="L909" s="86"/>
      <c r="N909" s="87"/>
      <c r="Q909" s="87"/>
    </row>
    <row r="910" spans="12:17">
      <c r="L910" s="86"/>
      <c r="N910" s="87"/>
      <c r="Q910" s="87"/>
    </row>
    <row r="911" spans="12:17">
      <c r="L911" s="86"/>
      <c r="N911" s="87"/>
      <c r="Q911" s="87"/>
    </row>
    <row r="912" spans="12:17">
      <c r="L912" s="86"/>
      <c r="N912" s="87"/>
      <c r="Q912" s="87"/>
    </row>
    <row r="913" spans="12:17">
      <c r="L913" s="86"/>
      <c r="N913" s="87"/>
      <c r="Q913" s="87"/>
    </row>
    <row r="914" spans="12:17">
      <c r="L914" s="86"/>
      <c r="N914" s="87"/>
      <c r="Q914" s="87"/>
    </row>
    <row r="915" spans="12:17">
      <c r="L915" s="86"/>
      <c r="N915" s="87"/>
      <c r="Q915" s="87"/>
    </row>
    <row r="916" spans="12:17">
      <c r="L916" s="86"/>
      <c r="N916" s="87"/>
      <c r="Q916" s="87"/>
    </row>
    <row r="917" spans="12:17">
      <c r="L917" s="86"/>
      <c r="N917" s="87"/>
      <c r="Q917" s="87"/>
    </row>
    <row r="918" spans="12:17">
      <c r="L918" s="86"/>
      <c r="N918" s="87"/>
      <c r="Q918" s="87"/>
    </row>
    <row r="919" spans="12:17">
      <c r="L919" s="86"/>
      <c r="N919" s="87"/>
      <c r="Q919" s="87"/>
    </row>
    <row r="920" spans="12:17">
      <c r="L920" s="86"/>
      <c r="N920" s="87"/>
      <c r="Q920" s="87"/>
    </row>
    <row r="921" spans="12:17">
      <c r="L921" s="86"/>
      <c r="N921" s="87"/>
      <c r="Q921" s="87"/>
    </row>
    <row r="922" spans="12:17">
      <c r="L922" s="86"/>
      <c r="N922" s="87"/>
      <c r="Q922" s="87"/>
    </row>
    <row r="923" spans="12:17">
      <c r="L923" s="86"/>
      <c r="N923" s="87"/>
      <c r="Q923" s="87"/>
    </row>
    <row r="924" spans="12:17">
      <c r="L924" s="86"/>
      <c r="N924" s="87"/>
      <c r="Q924" s="87"/>
    </row>
    <row r="925" spans="12:17">
      <c r="L925" s="86"/>
      <c r="N925" s="87"/>
      <c r="Q925" s="87"/>
    </row>
    <row r="926" spans="12:17">
      <c r="L926" s="86"/>
      <c r="N926" s="87"/>
      <c r="Q926" s="87"/>
    </row>
    <row r="927" spans="12:17">
      <c r="L927" s="86"/>
      <c r="N927" s="87"/>
      <c r="Q927" s="87"/>
    </row>
    <row r="928" spans="12:17">
      <c r="L928" s="86"/>
      <c r="N928" s="87"/>
      <c r="Q928" s="87"/>
    </row>
    <row r="929" spans="12:17">
      <c r="L929" s="86"/>
      <c r="N929" s="87"/>
      <c r="Q929" s="87"/>
    </row>
    <row r="930" spans="12:17">
      <c r="L930" s="86"/>
      <c r="N930" s="87"/>
      <c r="Q930" s="87"/>
    </row>
    <row r="931" spans="12:17">
      <c r="L931" s="86"/>
      <c r="N931" s="87"/>
      <c r="Q931" s="87"/>
    </row>
    <row r="932" spans="12:17">
      <c r="L932" s="86"/>
      <c r="N932" s="87"/>
      <c r="Q932" s="87"/>
    </row>
    <row r="933" spans="12:17">
      <c r="L933" s="86"/>
      <c r="N933" s="87"/>
      <c r="Q933" s="87"/>
    </row>
    <row r="934" spans="12:17">
      <c r="L934" s="86"/>
      <c r="N934" s="87"/>
      <c r="Q934" s="87"/>
    </row>
    <row r="935" spans="12:17">
      <c r="L935" s="86"/>
      <c r="N935" s="87"/>
      <c r="Q935" s="87"/>
    </row>
    <row r="936" spans="12:17">
      <c r="L936" s="86"/>
      <c r="N936" s="87"/>
      <c r="Q936" s="87"/>
    </row>
    <row r="937" spans="12:17">
      <c r="L937" s="86"/>
      <c r="N937" s="87"/>
      <c r="Q937" s="87"/>
    </row>
    <row r="938" spans="12:17">
      <c r="L938" s="86"/>
      <c r="N938" s="87"/>
      <c r="Q938" s="87"/>
    </row>
    <row r="939" spans="12:17">
      <c r="L939" s="86"/>
      <c r="N939" s="87"/>
      <c r="Q939" s="87"/>
    </row>
    <row r="940" spans="12:17">
      <c r="L940" s="86"/>
      <c r="N940" s="87"/>
      <c r="Q940" s="87"/>
    </row>
    <row r="941" spans="12:17">
      <c r="L941" s="86"/>
      <c r="N941" s="87"/>
      <c r="Q941" s="87"/>
    </row>
    <row r="942" spans="12:17">
      <c r="L942" s="86"/>
      <c r="N942" s="87"/>
      <c r="Q942" s="87"/>
    </row>
    <row r="943" spans="12:17">
      <c r="L943" s="86"/>
      <c r="N943" s="87"/>
      <c r="Q943" s="87"/>
    </row>
    <row r="944" spans="12:17">
      <c r="L944" s="86"/>
      <c r="N944" s="87"/>
      <c r="Q944" s="87"/>
    </row>
    <row r="945" spans="12:17">
      <c r="L945" s="86"/>
      <c r="N945" s="87"/>
      <c r="Q945" s="87"/>
    </row>
    <row r="946" spans="12:17">
      <c r="L946" s="86"/>
      <c r="N946" s="87"/>
      <c r="Q946" s="87"/>
    </row>
    <row r="947" spans="12:17">
      <c r="L947" s="86"/>
      <c r="N947" s="87"/>
      <c r="Q947" s="87"/>
    </row>
    <row r="948" spans="12:17">
      <c r="L948" s="86"/>
      <c r="N948" s="87"/>
      <c r="Q948" s="87"/>
    </row>
    <row r="949" spans="12:17">
      <c r="L949" s="86"/>
      <c r="N949" s="87"/>
      <c r="Q949" s="87"/>
    </row>
    <row r="950" spans="12:17">
      <c r="L950" s="86"/>
      <c r="N950" s="87"/>
      <c r="Q950" s="87"/>
    </row>
    <row r="951" spans="12:17">
      <c r="L951" s="86"/>
      <c r="N951" s="87"/>
      <c r="Q951" s="87"/>
    </row>
    <row r="952" spans="12:17">
      <c r="L952" s="86"/>
      <c r="N952" s="87"/>
      <c r="Q952" s="87"/>
    </row>
    <row r="953" spans="12:17">
      <c r="L953" s="86"/>
      <c r="N953" s="87"/>
      <c r="Q953" s="87"/>
    </row>
    <row r="954" spans="12:17">
      <c r="L954" s="86"/>
      <c r="N954" s="87"/>
      <c r="Q954" s="87"/>
    </row>
    <row r="955" spans="12:17">
      <c r="L955" s="86"/>
      <c r="N955" s="87"/>
      <c r="Q955" s="87"/>
    </row>
    <row r="956" spans="12:17">
      <c r="L956" s="86"/>
      <c r="N956" s="87"/>
      <c r="Q956" s="87"/>
    </row>
    <row r="957" spans="12:17">
      <c r="L957" s="86"/>
      <c r="N957" s="87"/>
      <c r="Q957" s="87"/>
    </row>
    <row r="958" spans="12:17">
      <c r="L958" s="86"/>
      <c r="N958" s="87"/>
      <c r="Q958" s="87"/>
    </row>
    <row r="959" spans="12:17">
      <c r="L959" s="86"/>
      <c r="N959" s="87"/>
      <c r="Q959" s="87"/>
    </row>
    <row r="960" spans="12:17">
      <c r="L960" s="86"/>
      <c r="N960" s="87"/>
      <c r="Q960" s="87"/>
    </row>
    <row r="961" spans="12:17">
      <c r="L961" s="86"/>
      <c r="N961" s="87"/>
      <c r="Q961" s="87"/>
    </row>
    <row r="962" spans="12:17">
      <c r="L962" s="86"/>
      <c r="N962" s="87"/>
      <c r="Q962" s="87"/>
    </row>
    <row r="963" spans="12:17">
      <c r="L963" s="86"/>
      <c r="N963" s="87"/>
      <c r="Q963" s="87"/>
    </row>
    <row r="964" spans="12:17">
      <c r="L964" s="86"/>
      <c r="N964" s="87"/>
      <c r="Q964" s="87"/>
    </row>
    <row r="965" spans="12:17">
      <c r="L965" s="86"/>
      <c r="N965" s="87"/>
      <c r="Q965" s="87"/>
    </row>
    <row r="966" spans="12:17">
      <c r="L966" s="86"/>
      <c r="N966" s="87"/>
      <c r="Q966" s="87"/>
    </row>
    <row r="967" spans="12:17">
      <c r="L967" s="86"/>
      <c r="N967" s="87"/>
      <c r="Q967" s="87"/>
    </row>
    <row r="968" spans="12:17">
      <c r="L968" s="86"/>
      <c r="N968" s="87"/>
      <c r="Q968" s="87"/>
    </row>
    <row r="969" spans="12:17">
      <c r="L969" s="86"/>
      <c r="N969" s="87"/>
      <c r="Q969" s="87"/>
    </row>
    <row r="970" spans="12:17">
      <c r="L970" s="86"/>
      <c r="N970" s="87"/>
      <c r="Q970" s="87"/>
    </row>
    <row r="971" spans="12:17">
      <c r="L971" s="86"/>
      <c r="N971" s="87"/>
      <c r="Q971" s="87"/>
    </row>
    <row r="972" spans="12:17">
      <c r="L972" s="86"/>
      <c r="N972" s="87"/>
      <c r="Q972" s="87"/>
    </row>
    <row r="973" spans="12:17">
      <c r="L973" s="86"/>
      <c r="N973" s="87"/>
      <c r="Q973" s="87"/>
    </row>
    <row r="974" spans="12:17">
      <c r="L974" s="86"/>
      <c r="N974" s="87"/>
      <c r="Q974" s="87"/>
    </row>
    <row r="975" spans="12:17">
      <c r="L975" s="86"/>
      <c r="N975" s="87"/>
      <c r="Q975" s="87"/>
    </row>
    <row r="976" spans="12:17">
      <c r="L976" s="86"/>
      <c r="N976" s="87"/>
      <c r="Q976" s="87"/>
    </row>
    <row r="977" spans="12:17">
      <c r="L977" s="86"/>
      <c r="N977" s="87"/>
      <c r="Q977" s="87"/>
    </row>
    <row r="978" spans="12:17">
      <c r="L978" s="86"/>
      <c r="N978" s="87"/>
      <c r="Q978" s="87"/>
    </row>
    <row r="979" spans="12:17">
      <c r="L979" s="86"/>
      <c r="N979" s="87"/>
      <c r="Q979" s="87"/>
    </row>
    <row r="980" spans="12:17">
      <c r="L980" s="86"/>
      <c r="N980" s="87"/>
      <c r="Q980" s="87"/>
    </row>
    <row r="981" spans="12:17">
      <c r="L981" s="86"/>
      <c r="N981" s="87"/>
      <c r="Q981" s="87"/>
    </row>
    <row r="982" spans="12:17">
      <c r="L982" s="86"/>
      <c r="N982" s="87"/>
      <c r="Q982" s="87"/>
    </row>
    <row r="983" spans="12:17">
      <c r="L983" s="86"/>
      <c r="N983" s="87"/>
      <c r="Q983" s="87"/>
    </row>
    <row r="984" spans="12:17">
      <c r="L984" s="86"/>
      <c r="N984" s="87"/>
      <c r="Q984" s="87"/>
    </row>
    <row r="985" spans="12:17">
      <c r="L985" s="86"/>
      <c r="N985" s="87"/>
      <c r="Q985" s="87"/>
    </row>
    <row r="986" spans="12:17">
      <c r="L986" s="86"/>
      <c r="N986" s="87"/>
      <c r="Q986" s="87"/>
    </row>
    <row r="987" spans="12:17">
      <c r="L987" s="86"/>
      <c r="N987" s="87"/>
      <c r="Q987" s="87"/>
    </row>
    <row r="988" spans="12:17">
      <c r="L988" s="86"/>
      <c r="N988" s="87"/>
      <c r="Q988" s="87"/>
    </row>
    <row r="989" spans="12:17">
      <c r="L989" s="86"/>
      <c r="N989" s="87"/>
      <c r="Q989" s="87"/>
    </row>
    <row r="990" spans="12:17">
      <c r="L990" s="86"/>
      <c r="N990" s="87"/>
      <c r="Q990" s="87"/>
    </row>
    <row r="991" spans="12:17">
      <c r="L991" s="86"/>
      <c r="N991" s="87"/>
      <c r="Q991" s="87"/>
    </row>
    <row r="992" spans="12:17">
      <c r="L992" s="86"/>
      <c r="N992" s="87"/>
      <c r="Q992" s="87"/>
    </row>
    <row r="993" spans="12:17">
      <c r="L993" s="86"/>
      <c r="N993" s="87"/>
      <c r="Q993" s="87"/>
    </row>
    <row r="994" spans="12:17">
      <c r="L994" s="86"/>
      <c r="N994" s="87"/>
      <c r="Q994" s="87"/>
    </row>
    <row r="995" spans="12:17">
      <c r="L995" s="86"/>
      <c r="N995" s="87"/>
      <c r="Q995" s="87"/>
    </row>
    <row r="996" spans="12:17">
      <c r="L996" s="86"/>
      <c r="N996" s="87"/>
      <c r="Q996" s="87"/>
    </row>
    <row r="997" spans="12:17">
      <c r="L997" s="86"/>
      <c r="N997" s="87"/>
      <c r="Q997" s="87"/>
    </row>
    <row r="998" spans="12:17">
      <c r="L998" s="86"/>
      <c r="N998" s="87"/>
      <c r="Q998" s="87"/>
    </row>
    <row r="999" spans="12:17">
      <c r="L999" s="86"/>
      <c r="N999" s="87"/>
      <c r="Q999" s="87"/>
    </row>
    <row r="1000" spans="12:17">
      <c r="L1000" s="86"/>
      <c r="N1000" s="87"/>
      <c r="Q1000" s="87"/>
    </row>
    <row r="1001" spans="12:17">
      <c r="L1001" s="86"/>
      <c r="N1001" s="87"/>
      <c r="Q1001" s="87"/>
    </row>
    <row r="1002" spans="12:17">
      <c r="L1002" s="86"/>
      <c r="N1002" s="87"/>
      <c r="Q1002" s="87"/>
    </row>
    <row r="1003" spans="12:17">
      <c r="L1003" s="86"/>
      <c r="N1003" s="87"/>
      <c r="Q1003" s="87"/>
    </row>
    <row r="1004" spans="12:17">
      <c r="L1004" s="86"/>
      <c r="N1004" s="87"/>
      <c r="Q1004" s="87"/>
    </row>
    <row r="1005" spans="12:17">
      <c r="L1005" s="86"/>
      <c r="N1005" s="87"/>
      <c r="Q1005" s="87"/>
    </row>
    <row r="1006" spans="12:17">
      <c r="L1006" s="86"/>
      <c r="N1006" s="87"/>
      <c r="Q1006" s="87"/>
    </row>
    <row r="1007" spans="12:17">
      <c r="L1007" s="86"/>
      <c r="N1007" s="87"/>
      <c r="Q1007" s="87"/>
    </row>
    <row r="1008" spans="12:17">
      <c r="L1008" s="86"/>
      <c r="N1008" s="87"/>
      <c r="Q1008" s="87"/>
    </row>
    <row r="1009" spans="12:17">
      <c r="L1009" s="86"/>
      <c r="N1009" s="87"/>
      <c r="Q1009" s="87"/>
    </row>
    <row r="1010" spans="12:17">
      <c r="L1010" s="86"/>
      <c r="N1010" s="87"/>
      <c r="Q1010" s="87"/>
    </row>
    <row r="1011" spans="12:17">
      <c r="L1011" s="86"/>
      <c r="N1011" s="87"/>
      <c r="Q1011" s="87"/>
    </row>
    <row r="1012" spans="12:17">
      <c r="L1012" s="86"/>
      <c r="N1012" s="87"/>
      <c r="Q1012" s="87"/>
    </row>
    <row r="1013" spans="12:17">
      <c r="L1013" s="86"/>
      <c r="N1013" s="87"/>
      <c r="Q1013" s="87"/>
    </row>
    <row r="1014" spans="12:17">
      <c r="L1014" s="86"/>
      <c r="N1014" s="87"/>
      <c r="Q1014" s="87"/>
    </row>
    <row r="1015" spans="12:17">
      <c r="L1015" s="86"/>
      <c r="N1015" s="87"/>
      <c r="Q1015" s="87"/>
    </row>
    <row r="1016" spans="12:17">
      <c r="L1016" s="86"/>
      <c r="N1016" s="87"/>
      <c r="Q1016" s="87"/>
    </row>
    <row r="1017" spans="12:17">
      <c r="L1017" s="86"/>
      <c r="N1017" s="87"/>
      <c r="Q1017" s="87"/>
    </row>
    <row r="1018" spans="12:17">
      <c r="L1018" s="86"/>
      <c r="N1018" s="87"/>
      <c r="Q1018" s="87"/>
    </row>
    <row r="1019" spans="12:17">
      <c r="L1019" s="86"/>
      <c r="N1019" s="87"/>
      <c r="Q1019" s="87"/>
    </row>
    <row r="1020" spans="12:17">
      <c r="L1020" s="86"/>
      <c r="N1020" s="87"/>
      <c r="Q1020" s="87"/>
    </row>
    <row r="1021" spans="12:17">
      <c r="L1021" s="86"/>
      <c r="N1021" s="87"/>
      <c r="Q1021" s="87"/>
    </row>
    <row r="1022" spans="12:17">
      <c r="L1022" s="86"/>
      <c r="N1022" s="87"/>
      <c r="Q1022" s="87"/>
    </row>
    <row r="1023" spans="12:17">
      <c r="L1023" s="86"/>
      <c r="N1023" s="87"/>
      <c r="Q1023" s="87"/>
    </row>
    <row r="1024" spans="12:17">
      <c r="L1024" s="86"/>
      <c r="N1024" s="87"/>
      <c r="Q1024" s="87"/>
    </row>
    <row r="1025" spans="12:17">
      <c r="L1025" s="86"/>
      <c r="N1025" s="87"/>
      <c r="Q1025" s="87"/>
    </row>
    <row r="1026" spans="12:17">
      <c r="L1026" s="86"/>
      <c r="N1026" s="87"/>
      <c r="Q1026" s="87"/>
    </row>
    <row r="1027" spans="12:17">
      <c r="L1027" s="86"/>
      <c r="N1027" s="87"/>
      <c r="Q1027" s="87"/>
    </row>
    <row r="1028" spans="12:17">
      <c r="L1028" s="86"/>
      <c r="N1028" s="87"/>
      <c r="Q1028" s="87"/>
    </row>
    <row r="1029" spans="12:17">
      <c r="L1029" s="86"/>
      <c r="N1029" s="87"/>
      <c r="Q1029" s="87"/>
    </row>
    <row r="1030" spans="12:17">
      <c r="L1030" s="86"/>
      <c r="N1030" s="87"/>
      <c r="Q1030" s="87"/>
    </row>
    <row r="1031" spans="12:17">
      <c r="L1031" s="86"/>
      <c r="N1031" s="87"/>
      <c r="Q1031" s="87"/>
    </row>
    <row r="1032" spans="12:17">
      <c r="L1032" s="86"/>
      <c r="N1032" s="87"/>
      <c r="Q1032" s="87"/>
    </row>
    <row r="1033" spans="12:17">
      <c r="L1033" s="86"/>
      <c r="N1033" s="87"/>
      <c r="Q1033" s="87"/>
    </row>
    <row r="1034" spans="12:17">
      <c r="L1034" s="86"/>
      <c r="N1034" s="87"/>
      <c r="Q1034" s="87"/>
    </row>
    <row r="1035" spans="12:17">
      <c r="L1035" s="86"/>
      <c r="N1035" s="87"/>
      <c r="Q1035" s="87"/>
    </row>
    <row r="1036" spans="12:17">
      <c r="L1036" s="86"/>
      <c r="N1036" s="87"/>
      <c r="Q1036" s="87"/>
    </row>
    <row r="1037" spans="12:17">
      <c r="L1037" s="86"/>
      <c r="N1037" s="87"/>
      <c r="Q1037" s="87"/>
    </row>
    <row r="1038" spans="12:17">
      <c r="L1038" s="86"/>
      <c r="N1038" s="87"/>
      <c r="Q1038" s="87"/>
    </row>
    <row r="1039" spans="12:17">
      <c r="L1039" s="86"/>
      <c r="N1039" s="87"/>
      <c r="Q1039" s="87"/>
    </row>
    <row r="1040" spans="12:17">
      <c r="L1040" s="86"/>
      <c r="N1040" s="87"/>
      <c r="Q1040" s="87"/>
    </row>
    <row r="1041" spans="12:17">
      <c r="L1041" s="86"/>
      <c r="N1041" s="87"/>
      <c r="Q1041" s="87"/>
    </row>
    <row r="1042" spans="12:17">
      <c r="L1042" s="86"/>
      <c r="N1042" s="87"/>
      <c r="Q1042" s="87"/>
    </row>
    <row r="1043" spans="12:17">
      <c r="L1043" s="86"/>
      <c r="N1043" s="87"/>
      <c r="Q1043" s="87"/>
    </row>
    <row r="1044" spans="12:17">
      <c r="L1044" s="86"/>
      <c r="N1044" s="87"/>
      <c r="Q1044" s="87"/>
    </row>
    <row r="1045" spans="12:17">
      <c r="L1045" s="86"/>
      <c r="N1045" s="87"/>
      <c r="Q1045" s="87"/>
    </row>
    <row r="1046" spans="12:17">
      <c r="L1046" s="86"/>
      <c r="N1046" s="87"/>
      <c r="Q1046" s="87"/>
    </row>
    <row r="1047" spans="12:17">
      <c r="L1047" s="86"/>
      <c r="N1047" s="87"/>
      <c r="Q1047" s="87"/>
    </row>
    <row r="1048" spans="12:17">
      <c r="L1048" s="86"/>
      <c r="N1048" s="87"/>
      <c r="Q1048" s="87"/>
    </row>
    <row r="1049" spans="12:17">
      <c r="L1049" s="86"/>
      <c r="N1049" s="87"/>
      <c r="Q1049" s="87"/>
    </row>
    <row r="1050" spans="12:17">
      <c r="L1050" s="86"/>
      <c r="N1050" s="87"/>
      <c r="Q1050" s="87"/>
    </row>
    <row r="1051" spans="12:17">
      <c r="L1051" s="86"/>
      <c r="N1051" s="87"/>
      <c r="Q1051" s="87"/>
    </row>
    <row r="1052" spans="12:17">
      <c r="L1052" s="86"/>
      <c r="N1052" s="87"/>
      <c r="Q1052" s="87"/>
    </row>
    <row r="1053" spans="12:17">
      <c r="L1053" s="86"/>
      <c r="N1053" s="87"/>
      <c r="Q1053" s="87"/>
    </row>
    <row r="1054" spans="12:17">
      <c r="L1054" s="86"/>
      <c r="N1054" s="87"/>
      <c r="Q1054" s="87"/>
    </row>
    <row r="1055" spans="12:17">
      <c r="L1055" s="86"/>
      <c r="N1055" s="87"/>
      <c r="Q1055" s="87"/>
    </row>
    <row r="1056" spans="12:17">
      <c r="L1056" s="86"/>
      <c r="N1056" s="87"/>
      <c r="Q1056" s="87"/>
    </row>
    <row r="1057" spans="12:17">
      <c r="L1057" s="86"/>
      <c r="N1057" s="87"/>
      <c r="Q1057" s="87"/>
    </row>
    <row r="1058" spans="12:17">
      <c r="L1058" s="86"/>
      <c r="N1058" s="87"/>
      <c r="Q1058" s="87"/>
    </row>
    <row r="1059" spans="12:17">
      <c r="L1059" s="86"/>
      <c r="N1059" s="87"/>
      <c r="Q1059" s="87"/>
    </row>
    <row r="1060" spans="12:17">
      <c r="L1060" s="86"/>
      <c r="N1060" s="87"/>
      <c r="Q1060" s="87"/>
    </row>
    <row r="1061" spans="12:17">
      <c r="L1061" s="86"/>
      <c r="N1061" s="87"/>
      <c r="Q1061" s="87"/>
    </row>
    <row r="1062" spans="12:17">
      <c r="L1062" s="86"/>
      <c r="N1062" s="87"/>
      <c r="Q1062" s="87"/>
    </row>
    <row r="1063" spans="12:17">
      <c r="L1063" s="86"/>
      <c r="N1063" s="87"/>
      <c r="Q1063" s="87"/>
    </row>
    <row r="1064" spans="12:17">
      <c r="L1064" s="86"/>
      <c r="N1064" s="87"/>
      <c r="Q1064" s="87"/>
    </row>
    <row r="1065" spans="12:17">
      <c r="L1065" s="86"/>
      <c r="N1065" s="87"/>
      <c r="Q1065" s="87"/>
    </row>
    <row r="1066" spans="12:17">
      <c r="L1066" s="86"/>
      <c r="N1066" s="87"/>
      <c r="Q1066" s="87"/>
    </row>
    <row r="1067" spans="12:17">
      <c r="L1067" s="86"/>
      <c r="N1067" s="87"/>
      <c r="Q1067" s="87"/>
    </row>
    <row r="1068" spans="12:17">
      <c r="L1068" s="86"/>
      <c r="N1068" s="87"/>
      <c r="Q1068" s="87"/>
    </row>
    <row r="1069" spans="12:17">
      <c r="L1069" s="86"/>
      <c r="N1069" s="87"/>
      <c r="Q1069" s="87"/>
    </row>
    <row r="1070" spans="12:17">
      <c r="L1070" s="86"/>
      <c r="N1070" s="87"/>
      <c r="Q1070" s="87"/>
    </row>
    <row r="1071" spans="12:17">
      <c r="L1071" s="86"/>
      <c r="N1071" s="87"/>
      <c r="Q1071" s="87"/>
    </row>
    <row r="1072" spans="12:17">
      <c r="L1072" s="86"/>
      <c r="N1072" s="87"/>
      <c r="Q1072" s="87"/>
    </row>
    <row r="1073" spans="12:17">
      <c r="L1073" s="86"/>
      <c r="N1073" s="87"/>
      <c r="Q1073" s="87"/>
    </row>
    <row r="1074" spans="12:17">
      <c r="L1074" s="86"/>
      <c r="N1074" s="87"/>
      <c r="Q1074" s="87"/>
    </row>
    <row r="1075" spans="12:17">
      <c r="L1075" s="86"/>
      <c r="N1075" s="87"/>
      <c r="Q1075" s="87"/>
    </row>
    <row r="1076" spans="12:17">
      <c r="L1076" s="86"/>
      <c r="N1076" s="87"/>
      <c r="Q1076" s="87"/>
    </row>
    <row r="1077" spans="12:17">
      <c r="L1077" s="86"/>
      <c r="N1077" s="87"/>
      <c r="Q1077" s="87"/>
    </row>
    <row r="1078" spans="12:17">
      <c r="L1078" s="86"/>
      <c r="N1078" s="87"/>
      <c r="Q1078" s="87"/>
    </row>
    <row r="1079" spans="12:17">
      <c r="L1079" s="86"/>
      <c r="N1079" s="87"/>
      <c r="Q1079" s="87"/>
    </row>
    <row r="1080" spans="12:17">
      <c r="L1080" s="86"/>
      <c r="N1080" s="87"/>
      <c r="Q1080" s="87"/>
    </row>
    <row r="1081" spans="12:17">
      <c r="L1081" s="86"/>
      <c r="N1081" s="87"/>
      <c r="Q1081" s="87"/>
    </row>
    <row r="1082" spans="12:17">
      <c r="L1082" s="86"/>
      <c r="N1082" s="87"/>
      <c r="Q1082" s="87"/>
    </row>
    <row r="1083" spans="12:17">
      <c r="L1083" s="86"/>
      <c r="N1083" s="87"/>
      <c r="Q1083" s="87"/>
    </row>
    <row r="1084" spans="12:17">
      <c r="L1084" s="86"/>
      <c r="N1084" s="87"/>
      <c r="Q1084" s="87"/>
    </row>
    <row r="1085" spans="12:17">
      <c r="L1085" s="86"/>
      <c r="N1085" s="87"/>
      <c r="Q1085" s="87"/>
    </row>
    <row r="1086" spans="12:17">
      <c r="L1086" s="86"/>
      <c r="N1086" s="87"/>
      <c r="Q1086" s="87"/>
    </row>
    <row r="1087" spans="12:17">
      <c r="L1087" s="86"/>
      <c r="N1087" s="87"/>
      <c r="Q1087" s="87"/>
    </row>
    <row r="1088" spans="12:17">
      <c r="L1088" s="86"/>
      <c r="N1088" s="87"/>
      <c r="Q1088" s="87"/>
    </row>
    <row r="1089" spans="12:17">
      <c r="L1089" s="86"/>
      <c r="N1089" s="87"/>
      <c r="Q1089" s="87"/>
    </row>
    <row r="1090" spans="12:17">
      <c r="L1090" s="86"/>
      <c r="N1090" s="87"/>
      <c r="Q1090" s="87"/>
    </row>
    <row r="1091" spans="12:17">
      <c r="L1091" s="86"/>
      <c r="N1091" s="87"/>
      <c r="Q1091" s="87"/>
    </row>
    <row r="1092" spans="12:17">
      <c r="L1092" s="86"/>
      <c r="N1092" s="87"/>
      <c r="Q1092" s="87"/>
    </row>
    <row r="1093" spans="12:17">
      <c r="L1093" s="86"/>
      <c r="N1093" s="87"/>
      <c r="Q1093" s="87"/>
    </row>
    <row r="1094" spans="12:17">
      <c r="L1094" s="86"/>
      <c r="N1094" s="87"/>
      <c r="Q1094" s="87"/>
    </row>
    <row r="1095" spans="12:17">
      <c r="L1095" s="86"/>
      <c r="N1095" s="87"/>
      <c r="Q1095" s="87"/>
    </row>
    <row r="1096" spans="12:17">
      <c r="L1096" s="86"/>
      <c r="N1096" s="87"/>
      <c r="Q1096" s="87"/>
    </row>
    <row r="1097" spans="12:17">
      <c r="L1097" s="86"/>
      <c r="N1097" s="87"/>
      <c r="Q1097" s="87"/>
    </row>
    <row r="1098" spans="12:17">
      <c r="L1098" s="86"/>
      <c r="N1098" s="87"/>
      <c r="Q1098" s="87"/>
    </row>
    <row r="1099" spans="12:17">
      <c r="L1099" s="86"/>
      <c r="N1099" s="87"/>
      <c r="Q1099" s="87"/>
    </row>
    <row r="1100" spans="12:17">
      <c r="L1100" s="86"/>
      <c r="N1100" s="87"/>
      <c r="Q1100" s="87"/>
    </row>
    <row r="1101" spans="12:17">
      <c r="L1101" s="86"/>
      <c r="N1101" s="87"/>
      <c r="Q1101" s="87"/>
    </row>
    <row r="1102" spans="12:17">
      <c r="L1102" s="86"/>
      <c r="N1102" s="87"/>
      <c r="Q1102" s="87"/>
    </row>
    <row r="1103" spans="12:17">
      <c r="L1103" s="86"/>
      <c r="N1103" s="87"/>
      <c r="Q1103" s="87"/>
    </row>
    <row r="1104" spans="12:17">
      <c r="L1104" s="86"/>
      <c r="N1104" s="87"/>
      <c r="Q1104" s="87"/>
    </row>
    <row r="1105" spans="12:17">
      <c r="L1105" s="86"/>
      <c r="N1105" s="87"/>
      <c r="Q1105" s="87"/>
    </row>
    <row r="1106" spans="12:17">
      <c r="L1106" s="86"/>
      <c r="N1106" s="87"/>
      <c r="Q1106" s="87"/>
    </row>
    <row r="1107" spans="12:17">
      <c r="L1107" s="86"/>
      <c r="N1107" s="87"/>
      <c r="Q1107" s="87"/>
    </row>
    <row r="1108" spans="12:17">
      <c r="L1108" s="86"/>
      <c r="N1108" s="87"/>
      <c r="Q1108" s="87"/>
    </row>
    <row r="1109" spans="12:17">
      <c r="L1109" s="86"/>
      <c r="N1109" s="87"/>
      <c r="Q1109" s="87"/>
    </row>
    <row r="1110" spans="12:17">
      <c r="L1110" s="86"/>
      <c r="N1110" s="87"/>
      <c r="Q1110" s="87"/>
    </row>
    <row r="1111" spans="12:17">
      <c r="L1111" s="86"/>
      <c r="N1111" s="87"/>
      <c r="Q1111" s="87"/>
    </row>
    <row r="1112" spans="12:17">
      <c r="L1112" s="86"/>
      <c r="N1112" s="87"/>
      <c r="Q1112" s="87"/>
    </row>
    <row r="1113" spans="12:17">
      <c r="L1113" s="86"/>
      <c r="N1113" s="87"/>
      <c r="Q1113" s="87"/>
    </row>
    <row r="1114" spans="12:17">
      <c r="L1114" s="86"/>
      <c r="N1114" s="87"/>
      <c r="Q1114" s="87"/>
    </row>
    <row r="1115" spans="12:17">
      <c r="L1115" s="86"/>
      <c r="N1115" s="87"/>
      <c r="Q1115" s="87"/>
    </row>
    <row r="1116" spans="12:17">
      <c r="L1116" s="86"/>
      <c r="N1116" s="87"/>
      <c r="Q1116" s="87"/>
    </row>
    <row r="1117" spans="12:17">
      <c r="L1117" s="86"/>
      <c r="N1117" s="87"/>
      <c r="Q1117" s="87"/>
    </row>
    <row r="1118" spans="12:17">
      <c r="L1118" s="86"/>
      <c r="N1118" s="87"/>
      <c r="Q1118" s="87"/>
    </row>
    <row r="1119" spans="12:17">
      <c r="L1119" s="86"/>
      <c r="N1119" s="87"/>
      <c r="Q1119" s="87"/>
    </row>
    <row r="1120" spans="12:17">
      <c r="L1120" s="86"/>
      <c r="N1120" s="87"/>
      <c r="Q1120" s="87"/>
    </row>
    <row r="1121" spans="12:17">
      <c r="L1121" s="86"/>
      <c r="N1121" s="87"/>
      <c r="Q1121" s="87"/>
    </row>
    <row r="1122" spans="12:17">
      <c r="L1122" s="86"/>
      <c r="N1122" s="87"/>
      <c r="Q1122" s="87"/>
    </row>
    <row r="1123" spans="12:17">
      <c r="L1123" s="86"/>
      <c r="N1123" s="87"/>
      <c r="Q1123" s="87"/>
    </row>
    <row r="1124" spans="12:17">
      <c r="L1124" s="86"/>
      <c r="N1124" s="87"/>
      <c r="Q1124" s="87"/>
    </row>
    <row r="1125" spans="12:17">
      <c r="L1125" s="86"/>
      <c r="N1125" s="87"/>
      <c r="Q1125" s="87"/>
    </row>
    <row r="1126" spans="12:17">
      <c r="L1126" s="86"/>
      <c r="N1126" s="87"/>
      <c r="Q1126" s="87"/>
    </row>
    <row r="1127" spans="12:17">
      <c r="L1127" s="86"/>
      <c r="N1127" s="87"/>
      <c r="Q1127" s="87"/>
    </row>
    <row r="1128" spans="12:17">
      <c r="L1128" s="86"/>
      <c r="N1128" s="87"/>
      <c r="Q1128" s="87"/>
    </row>
    <row r="1129" spans="12:17">
      <c r="L1129" s="86"/>
      <c r="N1129" s="87"/>
      <c r="Q1129" s="87"/>
    </row>
    <row r="1130" spans="12:17">
      <c r="L1130" s="86"/>
      <c r="N1130" s="87"/>
      <c r="Q1130" s="87"/>
    </row>
    <row r="1131" spans="12:17">
      <c r="L1131" s="86"/>
      <c r="N1131" s="87"/>
      <c r="Q1131" s="87"/>
    </row>
    <row r="1132" spans="12:17">
      <c r="L1132" s="86"/>
      <c r="N1132" s="87"/>
      <c r="Q1132" s="87"/>
    </row>
    <row r="1133" spans="12:17">
      <c r="L1133" s="86"/>
      <c r="N1133" s="87"/>
      <c r="Q1133" s="87"/>
    </row>
    <row r="1134" spans="12:17">
      <c r="L1134" s="86"/>
      <c r="N1134" s="87"/>
      <c r="Q1134" s="87"/>
    </row>
    <row r="1135" spans="12:17">
      <c r="L1135" s="86"/>
      <c r="N1135" s="87"/>
      <c r="Q1135" s="87"/>
    </row>
    <row r="1136" spans="12:17">
      <c r="L1136" s="86"/>
      <c r="N1136" s="87"/>
      <c r="Q1136" s="87"/>
    </row>
    <row r="1137" spans="12:17">
      <c r="L1137" s="86"/>
      <c r="N1137" s="87"/>
      <c r="Q1137" s="87"/>
    </row>
    <row r="1138" spans="12:17">
      <c r="L1138" s="86"/>
      <c r="N1138" s="87"/>
      <c r="Q1138" s="87"/>
    </row>
    <row r="1139" spans="12:17">
      <c r="L1139" s="86"/>
      <c r="N1139" s="87"/>
      <c r="Q1139" s="87"/>
    </row>
    <row r="1140" spans="12:17">
      <c r="L1140" s="86"/>
      <c r="N1140" s="87"/>
      <c r="Q1140" s="87"/>
    </row>
    <row r="1141" spans="12:17">
      <c r="L1141" s="86"/>
      <c r="N1141" s="87"/>
      <c r="Q1141" s="87"/>
    </row>
    <row r="1142" spans="12:17">
      <c r="L1142" s="86"/>
      <c r="N1142" s="87"/>
      <c r="Q1142" s="87"/>
    </row>
    <row r="1143" spans="12:17">
      <c r="L1143" s="86"/>
      <c r="N1143" s="87"/>
      <c r="Q1143" s="87"/>
    </row>
    <row r="1144" spans="12:17">
      <c r="L1144" s="86"/>
      <c r="N1144" s="87"/>
      <c r="Q1144" s="87"/>
    </row>
    <row r="1145" spans="12:17">
      <c r="L1145" s="86"/>
      <c r="N1145" s="87"/>
      <c r="Q1145" s="87"/>
    </row>
    <row r="1146" spans="12:17">
      <c r="L1146" s="86"/>
      <c r="N1146" s="87"/>
      <c r="Q1146" s="87"/>
    </row>
    <row r="1147" spans="12:17">
      <c r="L1147" s="86"/>
      <c r="N1147" s="87"/>
      <c r="Q1147" s="87"/>
    </row>
    <row r="1148" spans="12:17">
      <c r="L1148" s="86"/>
      <c r="N1148" s="87"/>
      <c r="Q1148" s="87"/>
    </row>
    <row r="1149" spans="12:17">
      <c r="L1149" s="86"/>
      <c r="N1149" s="87"/>
      <c r="Q1149" s="87"/>
    </row>
    <row r="1150" spans="12:17">
      <c r="L1150" s="86"/>
      <c r="N1150" s="87"/>
      <c r="Q1150" s="87"/>
    </row>
    <row r="1151" spans="12:17">
      <c r="L1151" s="86"/>
      <c r="N1151" s="87"/>
      <c r="Q1151" s="87"/>
    </row>
    <row r="1152" spans="12:17">
      <c r="L1152" s="86"/>
      <c r="N1152" s="87"/>
      <c r="Q1152" s="87"/>
    </row>
    <row r="1153" spans="12:17">
      <c r="L1153" s="86"/>
      <c r="N1153" s="87"/>
      <c r="Q1153" s="87"/>
    </row>
    <row r="1154" spans="12:17">
      <c r="L1154" s="86"/>
      <c r="N1154" s="87"/>
      <c r="Q1154" s="87"/>
    </row>
    <row r="1155" spans="12:17">
      <c r="L1155" s="86"/>
      <c r="N1155" s="87"/>
      <c r="Q1155" s="87"/>
    </row>
    <row r="1156" spans="12:17">
      <c r="L1156" s="86"/>
      <c r="N1156" s="87"/>
      <c r="Q1156" s="87"/>
    </row>
    <row r="1157" spans="12:17">
      <c r="L1157" s="86"/>
      <c r="N1157" s="87"/>
      <c r="Q1157" s="87"/>
    </row>
    <row r="1158" spans="12:17">
      <c r="L1158" s="86"/>
      <c r="N1158" s="87"/>
      <c r="Q1158" s="87"/>
    </row>
    <row r="1159" spans="12:17">
      <c r="L1159" s="86"/>
      <c r="N1159" s="87"/>
      <c r="Q1159" s="87"/>
    </row>
    <row r="1160" spans="12:17">
      <c r="L1160" s="86"/>
      <c r="N1160" s="87"/>
      <c r="Q1160" s="87"/>
    </row>
    <row r="1161" spans="12:17">
      <c r="L1161" s="86"/>
      <c r="N1161" s="87"/>
      <c r="Q1161" s="87"/>
    </row>
    <row r="1162" spans="12:17">
      <c r="L1162" s="86"/>
      <c r="N1162" s="87"/>
      <c r="Q1162" s="87"/>
    </row>
    <row r="1163" spans="12:17">
      <c r="L1163" s="86"/>
      <c r="N1163" s="87"/>
      <c r="Q1163" s="87"/>
    </row>
    <row r="1164" spans="12:17">
      <c r="L1164" s="86"/>
      <c r="N1164" s="87"/>
      <c r="Q1164" s="87"/>
    </row>
    <row r="1165" spans="12:17">
      <c r="L1165" s="86"/>
      <c r="N1165" s="87"/>
      <c r="Q1165" s="87"/>
    </row>
    <row r="1166" spans="12:17">
      <c r="L1166" s="86"/>
      <c r="N1166" s="87"/>
      <c r="Q1166" s="87"/>
    </row>
    <row r="1167" spans="12:17">
      <c r="L1167" s="86"/>
      <c r="N1167" s="87"/>
      <c r="Q1167" s="87"/>
    </row>
    <row r="1168" spans="12:17">
      <c r="L1168" s="86"/>
      <c r="N1168" s="87"/>
      <c r="Q1168" s="87"/>
    </row>
    <row r="1169" spans="12:17">
      <c r="L1169" s="86"/>
      <c r="N1169" s="87"/>
      <c r="Q1169" s="87"/>
    </row>
    <row r="1170" spans="12:17">
      <c r="L1170" s="86"/>
      <c r="N1170" s="87"/>
      <c r="Q1170" s="87"/>
    </row>
    <row r="1171" spans="12:17">
      <c r="L1171" s="86"/>
      <c r="N1171" s="87"/>
      <c r="Q1171" s="87"/>
    </row>
    <row r="1172" spans="12:17">
      <c r="L1172" s="86"/>
      <c r="N1172" s="87"/>
      <c r="Q1172" s="87"/>
    </row>
    <row r="1173" spans="12:17">
      <c r="L1173" s="86"/>
      <c r="N1173" s="87"/>
      <c r="Q1173" s="87"/>
    </row>
    <row r="1174" spans="12:17">
      <c r="L1174" s="86"/>
      <c r="N1174" s="87"/>
      <c r="Q1174" s="87"/>
    </row>
    <row r="1175" spans="12:17">
      <c r="L1175" s="86"/>
      <c r="N1175" s="87"/>
      <c r="Q1175" s="87"/>
    </row>
    <row r="1176" spans="12:17">
      <c r="L1176" s="86"/>
      <c r="N1176" s="87"/>
      <c r="Q1176" s="87"/>
    </row>
    <row r="1177" spans="12:17">
      <c r="L1177" s="86"/>
      <c r="N1177" s="87"/>
      <c r="Q1177" s="87"/>
    </row>
    <row r="1178" spans="12:17">
      <c r="L1178" s="86"/>
      <c r="N1178" s="87"/>
      <c r="Q1178" s="87"/>
    </row>
    <row r="1179" spans="12:17">
      <c r="L1179" s="86"/>
      <c r="N1179" s="87"/>
      <c r="Q1179" s="87"/>
    </row>
    <row r="1180" spans="12:17">
      <c r="L1180" s="86"/>
      <c r="N1180" s="87"/>
      <c r="Q1180" s="87"/>
    </row>
    <row r="1181" spans="12:17">
      <c r="L1181" s="86"/>
      <c r="N1181" s="87"/>
      <c r="Q1181" s="87"/>
    </row>
    <row r="1182" spans="12:17">
      <c r="L1182" s="86"/>
      <c r="N1182" s="87"/>
      <c r="Q1182" s="87"/>
    </row>
    <row r="1183" spans="12:17">
      <c r="L1183" s="86"/>
      <c r="N1183" s="87"/>
      <c r="Q1183" s="87"/>
    </row>
    <row r="1184" spans="12:17">
      <c r="L1184" s="86"/>
      <c r="N1184" s="87"/>
      <c r="Q1184" s="87"/>
    </row>
    <row r="1185" spans="12:17">
      <c r="L1185" s="86"/>
      <c r="N1185" s="87"/>
      <c r="Q1185" s="87"/>
    </row>
    <row r="1186" spans="12:17">
      <c r="L1186" s="86"/>
      <c r="N1186" s="87"/>
      <c r="Q1186" s="87"/>
    </row>
    <row r="1187" spans="12:17">
      <c r="L1187" s="86"/>
      <c r="N1187" s="87"/>
      <c r="Q1187" s="87"/>
    </row>
    <row r="1188" spans="12:17">
      <c r="L1188" s="86"/>
      <c r="N1188" s="87"/>
      <c r="Q1188" s="87"/>
    </row>
    <row r="1189" spans="12:17">
      <c r="L1189" s="86"/>
      <c r="N1189" s="87"/>
      <c r="Q1189" s="87"/>
    </row>
    <row r="1190" spans="12:17">
      <c r="L1190" s="86"/>
      <c r="N1190" s="87"/>
      <c r="Q1190" s="87"/>
    </row>
    <row r="1191" spans="12:17">
      <c r="L1191" s="86"/>
      <c r="N1191" s="87"/>
      <c r="Q1191" s="87"/>
    </row>
    <row r="1192" spans="12:17">
      <c r="L1192" s="86"/>
      <c r="N1192" s="87"/>
      <c r="Q1192" s="87"/>
    </row>
    <row r="1193" spans="12:17">
      <c r="L1193" s="86"/>
      <c r="N1193" s="87"/>
      <c r="Q1193" s="87"/>
    </row>
    <row r="1194" spans="12:17">
      <c r="L1194" s="86"/>
      <c r="N1194" s="87"/>
      <c r="Q1194" s="87"/>
    </row>
    <row r="1195" spans="12:17">
      <c r="L1195" s="86"/>
      <c r="N1195" s="87"/>
      <c r="Q1195" s="87"/>
    </row>
    <row r="1196" spans="12:17">
      <c r="L1196" s="86"/>
      <c r="N1196" s="87"/>
      <c r="Q1196" s="87"/>
    </row>
    <row r="1197" spans="12:17">
      <c r="L1197" s="86"/>
      <c r="N1197" s="87"/>
      <c r="Q1197" s="87"/>
    </row>
    <row r="1198" spans="12:17">
      <c r="L1198" s="86"/>
      <c r="N1198" s="87"/>
      <c r="Q1198" s="87"/>
    </row>
    <row r="1199" spans="12:17">
      <c r="L1199" s="86"/>
      <c r="N1199" s="87"/>
      <c r="Q1199" s="87"/>
    </row>
    <row r="1200" spans="12:17">
      <c r="L1200" s="86"/>
      <c r="N1200" s="87"/>
      <c r="Q1200" s="87"/>
    </row>
    <row r="1201" spans="12:17">
      <c r="L1201" s="86"/>
      <c r="N1201" s="87"/>
      <c r="Q1201" s="87"/>
    </row>
    <row r="1202" spans="12:17">
      <c r="L1202" s="86"/>
      <c r="N1202" s="87"/>
      <c r="Q1202" s="87"/>
    </row>
    <row r="1203" spans="12:17">
      <c r="L1203" s="86"/>
      <c r="N1203" s="87"/>
      <c r="Q1203" s="87"/>
    </row>
    <row r="1204" spans="12:17">
      <c r="L1204" s="86"/>
      <c r="N1204" s="87"/>
      <c r="Q1204" s="87"/>
    </row>
    <row r="1205" spans="12:17">
      <c r="L1205" s="86"/>
      <c r="N1205" s="87"/>
      <c r="Q1205" s="87"/>
    </row>
    <row r="1206" spans="12:17">
      <c r="L1206" s="86"/>
      <c r="N1206" s="87"/>
      <c r="Q1206" s="87"/>
    </row>
    <row r="1207" spans="12:17">
      <c r="L1207" s="86"/>
      <c r="N1207" s="87"/>
      <c r="Q1207" s="87"/>
    </row>
    <row r="1208" spans="12:17">
      <c r="L1208" s="86"/>
      <c r="N1208" s="87"/>
      <c r="Q1208" s="87"/>
    </row>
    <row r="1209" spans="12:17">
      <c r="L1209" s="86"/>
      <c r="N1209" s="87"/>
      <c r="Q1209" s="87"/>
    </row>
    <row r="1210" spans="12:17">
      <c r="L1210" s="86"/>
      <c r="N1210" s="87"/>
      <c r="Q1210" s="87"/>
    </row>
    <row r="1211" spans="12:17">
      <c r="L1211" s="86"/>
      <c r="N1211" s="87"/>
      <c r="Q1211" s="87"/>
    </row>
    <row r="1212" spans="12:17">
      <c r="L1212" s="86"/>
      <c r="N1212" s="87"/>
      <c r="Q1212" s="87"/>
    </row>
    <row r="1213" spans="12:17">
      <c r="L1213" s="86"/>
      <c r="N1213" s="87"/>
      <c r="Q1213" s="87"/>
    </row>
    <row r="1214" spans="12:17">
      <c r="L1214" s="86"/>
      <c r="N1214" s="87"/>
      <c r="Q1214" s="87"/>
    </row>
    <row r="1215" spans="12:17">
      <c r="L1215" s="86"/>
      <c r="N1215" s="87"/>
      <c r="Q1215" s="87"/>
    </row>
    <row r="1216" spans="12:17">
      <c r="L1216" s="86"/>
      <c r="N1216" s="87"/>
      <c r="Q1216" s="87"/>
    </row>
    <row r="1217" spans="12:17">
      <c r="L1217" s="86"/>
      <c r="N1217" s="87"/>
      <c r="Q1217" s="87"/>
    </row>
    <row r="1218" spans="12:17">
      <c r="L1218" s="86"/>
      <c r="N1218" s="87"/>
      <c r="Q1218" s="87"/>
    </row>
    <row r="1219" spans="12:17">
      <c r="L1219" s="86"/>
      <c r="N1219" s="87"/>
      <c r="Q1219" s="87"/>
    </row>
    <row r="1220" spans="12:17">
      <c r="L1220" s="86"/>
      <c r="N1220" s="87"/>
      <c r="Q1220" s="87"/>
    </row>
    <row r="1221" spans="12:17">
      <c r="L1221" s="86"/>
      <c r="N1221" s="87"/>
      <c r="Q1221" s="87"/>
    </row>
    <row r="1222" spans="12:17">
      <c r="L1222" s="86"/>
      <c r="N1222" s="87"/>
      <c r="Q1222" s="87"/>
    </row>
    <row r="1223" spans="12:17">
      <c r="L1223" s="86"/>
      <c r="N1223" s="87"/>
      <c r="Q1223" s="87"/>
    </row>
    <row r="1224" spans="12:17">
      <c r="L1224" s="86"/>
      <c r="N1224" s="87"/>
      <c r="Q1224" s="87"/>
    </row>
    <row r="1225" spans="12:17">
      <c r="L1225" s="86"/>
      <c r="N1225" s="87"/>
      <c r="Q1225" s="87"/>
    </row>
    <row r="1226" spans="12:17">
      <c r="L1226" s="86"/>
      <c r="N1226" s="87"/>
      <c r="Q1226" s="87"/>
    </row>
    <row r="1227" spans="12:17">
      <c r="L1227" s="86"/>
      <c r="N1227" s="87"/>
      <c r="Q1227" s="87"/>
    </row>
    <row r="1228" spans="12:17">
      <c r="L1228" s="86"/>
      <c r="N1228" s="87"/>
      <c r="Q1228" s="87"/>
    </row>
    <row r="1229" spans="12:17">
      <c r="L1229" s="86"/>
      <c r="N1229" s="87"/>
      <c r="Q1229" s="87"/>
    </row>
    <row r="1230" spans="12:17">
      <c r="L1230" s="86"/>
      <c r="N1230" s="87"/>
      <c r="Q1230" s="87"/>
    </row>
    <row r="1231" spans="12:17">
      <c r="L1231" s="86"/>
      <c r="N1231" s="87"/>
      <c r="Q1231" s="87"/>
    </row>
    <row r="1232" spans="12:17">
      <c r="L1232" s="86"/>
      <c r="N1232" s="87"/>
      <c r="Q1232" s="87"/>
    </row>
    <row r="1233" spans="12:17">
      <c r="L1233" s="86"/>
      <c r="N1233" s="87"/>
      <c r="Q1233" s="87"/>
    </row>
    <row r="1234" spans="12:17">
      <c r="L1234" s="86"/>
      <c r="N1234" s="87"/>
      <c r="Q1234" s="87"/>
    </row>
    <row r="1235" spans="12:17">
      <c r="L1235" s="86"/>
      <c r="N1235" s="87"/>
      <c r="Q1235" s="87"/>
    </row>
    <row r="1236" spans="12:17">
      <c r="L1236" s="86"/>
      <c r="N1236" s="87"/>
      <c r="Q1236" s="87"/>
    </row>
    <row r="1237" spans="12:17">
      <c r="L1237" s="86"/>
      <c r="N1237" s="87"/>
      <c r="Q1237" s="87"/>
    </row>
    <row r="1238" spans="12:17">
      <c r="L1238" s="86"/>
      <c r="N1238" s="87"/>
      <c r="Q1238" s="87"/>
    </row>
    <row r="1239" spans="12:17">
      <c r="L1239" s="86"/>
      <c r="N1239" s="87"/>
      <c r="Q1239" s="87"/>
    </row>
    <row r="1240" spans="12:17">
      <c r="L1240" s="86"/>
      <c r="N1240" s="87"/>
      <c r="Q1240" s="87"/>
    </row>
    <row r="1241" spans="12:17">
      <c r="L1241" s="86"/>
      <c r="N1241" s="87"/>
      <c r="Q1241" s="87"/>
    </row>
    <row r="1242" spans="12:17">
      <c r="L1242" s="86"/>
      <c r="N1242" s="87"/>
      <c r="Q1242" s="87"/>
    </row>
    <row r="1243" spans="12:17">
      <c r="L1243" s="86"/>
      <c r="N1243" s="87"/>
      <c r="Q1243" s="87"/>
    </row>
    <row r="1244" spans="12:17">
      <c r="L1244" s="86"/>
      <c r="N1244" s="87"/>
      <c r="Q1244" s="87"/>
    </row>
    <row r="1245" spans="12:17">
      <c r="L1245" s="86"/>
      <c r="N1245" s="87"/>
      <c r="Q1245" s="87"/>
    </row>
    <row r="1246" spans="12:17">
      <c r="L1246" s="86"/>
      <c r="N1246" s="87"/>
      <c r="Q1246" s="87"/>
    </row>
    <row r="1247" spans="12:17">
      <c r="L1247" s="86"/>
      <c r="N1247" s="87"/>
      <c r="Q1247" s="87"/>
    </row>
    <row r="1248" spans="12:17">
      <c r="L1248" s="86"/>
      <c r="N1248" s="87"/>
      <c r="Q1248" s="87"/>
    </row>
    <row r="1249" spans="12:17">
      <c r="L1249" s="86"/>
      <c r="N1249" s="87"/>
      <c r="Q1249" s="87"/>
    </row>
    <row r="1250" spans="12:17">
      <c r="L1250" s="86"/>
      <c r="N1250" s="87"/>
      <c r="Q1250" s="87"/>
    </row>
    <row r="1251" spans="12:17">
      <c r="L1251" s="86"/>
      <c r="N1251" s="87"/>
      <c r="Q1251" s="87"/>
    </row>
    <row r="1252" spans="12:17">
      <c r="L1252" s="86"/>
      <c r="N1252" s="87"/>
      <c r="Q1252" s="87"/>
    </row>
    <row r="1253" spans="12:17">
      <c r="L1253" s="86"/>
      <c r="N1253" s="87"/>
      <c r="Q1253" s="87"/>
    </row>
    <row r="1254" spans="12:17">
      <c r="L1254" s="86"/>
      <c r="N1254" s="87"/>
      <c r="Q1254" s="87"/>
    </row>
    <row r="1255" spans="12:17">
      <c r="L1255" s="86"/>
      <c r="N1255" s="87"/>
      <c r="Q1255" s="87"/>
    </row>
    <row r="1256" spans="12:17">
      <c r="L1256" s="86"/>
      <c r="N1256" s="87"/>
      <c r="Q1256" s="87"/>
    </row>
    <row r="1257" spans="12:17">
      <c r="L1257" s="86"/>
      <c r="N1257" s="87"/>
      <c r="Q1257" s="87"/>
    </row>
    <row r="1258" spans="12:17">
      <c r="L1258" s="86"/>
      <c r="Q1258" s="87"/>
    </row>
    <row r="1259" spans="12:17">
      <c r="L1259" s="86"/>
      <c r="Q1259" s="87"/>
    </row>
    <row r="1260" spans="12:17">
      <c r="L1260" s="86"/>
      <c r="Q1260" s="87"/>
    </row>
    <row r="1261" spans="12:17">
      <c r="L1261" s="86"/>
    </row>
    <row r="1262" spans="12:17">
      <c r="L1262" s="86"/>
    </row>
    <row r="1263" spans="12:17">
      <c r="L1263" s="86"/>
    </row>
    <row r="1264" spans="12:17">
      <c r="L1264" s="86"/>
    </row>
    <row r="1265" spans="12:12">
      <c r="L1265" s="86"/>
    </row>
    <row r="1266" spans="12:12">
      <c r="L1266" s="86"/>
    </row>
    <row r="1267" spans="12:12">
      <c r="L1267" s="86"/>
    </row>
    <row r="1268" spans="12:12">
      <c r="L1268" s="86"/>
    </row>
    <row r="1269" spans="12:12">
      <c r="L1269" s="86"/>
    </row>
    <row r="1270" spans="12:12">
      <c r="L1270" s="86"/>
    </row>
    <row r="1271" spans="12:12">
      <c r="L1271" s="86"/>
    </row>
    <row r="1272" spans="12:12">
      <c r="L1272" s="86"/>
    </row>
    <row r="1273" spans="12:12">
      <c r="L1273" s="86"/>
    </row>
    <row r="1274" spans="12:12">
      <c r="L1274" s="86"/>
    </row>
    <row r="1275" spans="12:12">
      <c r="L1275" s="86"/>
    </row>
    <row r="1276" spans="12:12">
      <c r="L1276" s="86"/>
    </row>
    <row r="1277" spans="12:12">
      <c r="L1277" s="86"/>
    </row>
  </sheetData>
  <mergeCells count="2">
    <mergeCell ref="A23:A24"/>
    <mergeCell ref="A26:A27"/>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D10"/>
  <sheetViews>
    <sheetView zoomScale="98" workbookViewId="0">
      <selection activeCell="G20" sqref="G20"/>
    </sheetView>
  </sheetViews>
  <sheetFormatPr defaultColWidth="11" defaultRowHeight="15.9"/>
  <cols>
    <col min="1" max="1" width="39.140625" bestFit="1" customWidth="1"/>
    <col min="2" max="2" width="14.35546875" bestFit="1" customWidth="1"/>
    <col min="3" max="3" width="13.35546875" customWidth="1"/>
  </cols>
  <sheetData>
    <row r="1" spans="1:4">
      <c r="A1" s="317" t="s">
        <v>960</v>
      </c>
      <c r="B1" s="317"/>
      <c r="C1" s="49"/>
    </row>
    <row r="2" spans="1:4">
      <c r="A2" t="s">
        <v>741</v>
      </c>
      <c r="B2" s="271">
        <v>3750000</v>
      </c>
    </row>
    <row r="3" spans="1:4">
      <c r="A3" t="s">
        <v>962</v>
      </c>
      <c r="B3" s="272">
        <v>2150</v>
      </c>
    </row>
    <row r="4" spans="1:4">
      <c r="A4" t="s">
        <v>963</v>
      </c>
      <c r="B4" s="272">
        <v>3200</v>
      </c>
      <c r="D4" s="58"/>
    </row>
    <row r="5" spans="1:4">
      <c r="A5" t="s">
        <v>964</v>
      </c>
      <c r="B5" s="272">
        <v>1114</v>
      </c>
    </row>
    <row r="6" spans="1:4">
      <c r="A6" t="s">
        <v>726</v>
      </c>
      <c r="B6" s="272">
        <v>0.95</v>
      </c>
    </row>
    <row r="7" spans="1:4">
      <c r="A7" t="s">
        <v>692</v>
      </c>
      <c r="B7" s="272">
        <v>1</v>
      </c>
    </row>
    <row r="8" spans="1:4">
      <c r="B8" s="272"/>
    </row>
    <row r="9" spans="1:4">
      <c r="A9" t="s">
        <v>704</v>
      </c>
      <c r="B9" s="271">
        <f>B6*((1170*(B3-249))+(3120*(B3-2000))+(B7*800*B4)+(0.6*B3*B5))</f>
        <v>6354768.5</v>
      </c>
    </row>
    <row r="10" spans="1:4">
      <c r="A10" t="s">
        <v>819</v>
      </c>
      <c r="B10" s="272">
        <v>24</v>
      </c>
    </row>
  </sheetData>
  <mergeCells count="1">
    <mergeCell ref="A1:B1"/>
  </mergeCells>
  <conditionalFormatting sqref="A2:B10 A1">
    <cfRule type="expression" dxfId="0" priority="1">
      <formula>MOD(ROW(),2) = 0</formula>
    </cfRule>
    <cfRule type="colorScale" priority="2">
      <colorScale>
        <cfvo type="formula" val="&quot;mod(Row(),2)=0&quot;"/>
        <cfvo type="max"/>
        <color theme="2" tint="-0.249977111117893"/>
        <color theme="4" tint="0.59999389629810485"/>
      </colorScale>
    </cfRule>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W250"/>
  <sheetViews>
    <sheetView zoomScale="85" zoomScaleNormal="85" workbookViewId="0"/>
  </sheetViews>
  <sheetFormatPr defaultColWidth="11" defaultRowHeight="15.9"/>
  <cols>
    <col min="1" max="1" width="14.35546875" bestFit="1" customWidth="1"/>
    <col min="2" max="2" width="5.7109375" style="51" customWidth="1"/>
    <col min="3" max="3" width="7.85546875" style="51" customWidth="1"/>
    <col min="4" max="4" width="22.5" style="51" bestFit="1" customWidth="1"/>
    <col min="5" max="5" width="24.5" style="51" bestFit="1" customWidth="1"/>
    <col min="6" max="6" width="26.7109375" style="51" customWidth="1"/>
    <col min="8" max="8" width="13.7109375" bestFit="1" customWidth="1"/>
    <col min="9" max="9" width="23.35546875" customWidth="1"/>
    <col min="10" max="10" width="26.5" customWidth="1"/>
    <col min="11" max="11" width="25.640625" bestFit="1" customWidth="1"/>
    <col min="12" max="12" width="26.5" customWidth="1"/>
    <col min="13" max="13" width="15.7109375" bestFit="1" customWidth="1"/>
    <col min="14" max="14" width="16.7109375" bestFit="1" customWidth="1"/>
    <col min="15" max="15" width="13.640625" bestFit="1" customWidth="1"/>
    <col min="16" max="16" width="7.7109375" customWidth="1"/>
    <col min="17" max="17" width="19.85546875" bestFit="1" customWidth="1"/>
    <col min="18" max="18" width="9.5" style="1" customWidth="1"/>
    <col min="19" max="19" width="14.140625" bestFit="1" customWidth="1"/>
    <col min="20" max="20" width="22.140625" style="3" bestFit="1" customWidth="1"/>
    <col min="21" max="21" width="16.7109375" bestFit="1" customWidth="1"/>
    <col min="22" max="22" width="25" bestFit="1" customWidth="1"/>
    <col min="23" max="23" width="18.2109375" bestFit="1" customWidth="1"/>
  </cols>
  <sheetData>
    <row r="1" spans="1:23">
      <c r="A1" s="148" t="s">
        <v>728</v>
      </c>
      <c r="B1" s="79" t="s">
        <v>965</v>
      </c>
      <c r="D1" s="60" t="s">
        <v>807</v>
      </c>
      <c r="E1" s="315" t="s">
        <v>803</v>
      </c>
      <c r="F1" s="315"/>
      <c r="G1" s="315"/>
      <c r="I1" s="315" t="s">
        <v>803</v>
      </c>
      <c r="J1" s="315"/>
      <c r="K1" s="315"/>
      <c r="L1" s="315"/>
      <c r="M1" s="315"/>
    </row>
    <row r="2" spans="1:23">
      <c r="A2" s="61">
        <f>'Capital Cost Calculation'!B9</f>
        <v>6354768.5</v>
      </c>
      <c r="B2" s="152">
        <v>6.2898139999999998</v>
      </c>
      <c r="D2" s="153">
        <v>194</v>
      </c>
      <c r="E2" s="84" t="s">
        <v>800</v>
      </c>
      <c r="F2" s="84" t="s">
        <v>801</v>
      </c>
      <c r="G2" s="84" t="s">
        <v>802</v>
      </c>
      <c r="I2" s="84" t="s">
        <v>808</v>
      </c>
      <c r="J2" s="84" t="s">
        <v>809</v>
      </c>
      <c r="K2" s="84" t="s">
        <v>810</v>
      </c>
      <c r="L2" s="84" t="s">
        <v>811</v>
      </c>
      <c r="M2" s="84" t="s">
        <v>812</v>
      </c>
    </row>
    <row r="3" spans="1:23">
      <c r="E3" s="105">
        <v>251.7</v>
      </c>
      <c r="F3" s="105">
        <v>409.02</v>
      </c>
      <c r="G3" s="105">
        <v>723.64</v>
      </c>
      <c r="I3" s="240">
        <v>0.1</v>
      </c>
      <c r="J3" s="47" t="s">
        <v>813</v>
      </c>
      <c r="K3" s="47" t="s">
        <v>814</v>
      </c>
      <c r="L3" s="47" t="s">
        <v>815</v>
      </c>
      <c r="M3" s="240">
        <v>0.4</v>
      </c>
    </row>
    <row r="4" spans="1:23">
      <c r="A4" s="148" t="s">
        <v>816</v>
      </c>
    </row>
    <row r="5" spans="1:23">
      <c r="A5" s="1">
        <f>'Capital Cost Calculation'!B10</f>
        <v>24</v>
      </c>
    </row>
    <row r="9" spans="1:23">
      <c r="B9" s="60" t="e">
        <f>'[1]Oil Production'!#REF!</f>
        <v>#REF!</v>
      </c>
      <c r="C9" s="60" t="str">
        <f>'[1]Oil Production'!A5</f>
        <v>Months</v>
      </c>
      <c r="D9" s="60" t="str">
        <f>'[1]Oil Production'!B5</f>
        <v>Daily production (Bbl/d)</v>
      </c>
      <c r="E9" s="60" t="str">
        <f>'[1]Oil Production'!C5</f>
        <v>Monthly production (Bbls)</v>
      </c>
      <c r="F9" s="60" t="str">
        <f>'[1]Oil Production'!D5</f>
        <v>Cumulative Production (Bbls)</v>
      </c>
      <c r="I9" s="154" t="s">
        <v>966</v>
      </c>
      <c r="J9" s="148" t="s">
        <v>967</v>
      </c>
      <c r="K9" s="148" t="s">
        <v>817</v>
      </c>
      <c r="L9" s="315" t="s">
        <v>817</v>
      </c>
      <c r="M9" s="315"/>
      <c r="N9" s="315"/>
      <c r="O9" s="315"/>
      <c r="Q9" s="148" t="s">
        <v>807</v>
      </c>
      <c r="R9" s="148" t="s">
        <v>786</v>
      </c>
      <c r="S9" s="149" t="s">
        <v>821</v>
      </c>
      <c r="T9" s="181" t="s">
        <v>818</v>
      </c>
      <c r="U9" s="148" t="s">
        <v>777</v>
      </c>
      <c r="V9" s="158" t="s">
        <v>820</v>
      </c>
      <c r="W9" s="79" t="s">
        <v>822</v>
      </c>
    </row>
    <row r="10" spans="1:23">
      <c r="I10" s="148"/>
      <c r="L10" s="84" t="s">
        <v>808</v>
      </c>
      <c r="M10" s="84" t="s">
        <v>809</v>
      </c>
      <c r="N10" s="84" t="s">
        <v>810</v>
      </c>
      <c r="O10" s="84" t="s">
        <v>811</v>
      </c>
    </row>
    <row r="11" spans="1:23">
      <c r="A11" t="str">
        <f>'Price Deck'!A5</f>
        <v>03/2019</v>
      </c>
      <c r="B11" s="51" t="e">
        <f>'[1]Oil Production'!#REF!</f>
        <v>#REF!</v>
      </c>
      <c r="C11" s="51">
        <f>'[1]Oil Production'!A7</f>
        <v>1</v>
      </c>
      <c r="D11" s="51">
        <f>'[1]Oil Production'!B7</f>
        <v>243.78363670856345</v>
      </c>
      <c r="E11" s="51">
        <f>'[1]Oil Production'!C7</f>
        <v>7415.0856165521382</v>
      </c>
      <c r="F11" s="51">
        <f>'[1]Oil Production'!D7</f>
        <v>7415.0856165521382</v>
      </c>
      <c r="I11" s="51">
        <f t="shared" ref="I11:I74" si="0">E11/$B$2</f>
        <v>1178.9037985148907</v>
      </c>
      <c r="J11" s="133">
        <f>'Price Deck'!F5*$B$2</f>
        <v>419.99733285185346</v>
      </c>
      <c r="K11" s="155">
        <f>MIN(IF(J11&gt;$G$3,O11,IF(J11&gt;$F$3,N11,IF(J11&gt;$E$3,M11,L11))),0.4)</f>
        <v>0.21598115981222285</v>
      </c>
      <c r="L11" s="1">
        <v>0.1</v>
      </c>
      <c r="M11" s="155">
        <f>((J11-$E$3)*0.00071+0.1)</f>
        <v>0.21949110632481597</v>
      </c>
      <c r="N11" s="155">
        <f t="shared" ref="N11:N74" si="1">((J11-$F$3)*0.00039+0.2117)</f>
        <v>0.21598115981222285</v>
      </c>
      <c r="O11" s="155">
        <f t="shared" ref="O11:O74" si="2">((J11-$G$3)*0.0002+0.3344)</f>
        <v>0.27367146657037067</v>
      </c>
      <c r="Q11" s="51">
        <f>IF(I11&lt;$D$2,(I11-$D$2)*0.00135,0)</f>
        <v>0</v>
      </c>
      <c r="R11" s="155">
        <f>MAX(0.05,Q11+K11)</f>
        <v>0.21598115981222285</v>
      </c>
      <c r="S11" s="51">
        <f>IF(C11&gt;$A$5,R11,0.05)</f>
        <v>0.05</v>
      </c>
      <c r="T11" s="133">
        <f>'Price Deck'!F5</f>
        <v>66.774205541189843</v>
      </c>
      <c r="U11" s="85">
        <f>T11*E11</f>
        <v>495136.45106517291</v>
      </c>
      <c r="V11" s="85">
        <f>U11*S11</f>
        <v>24756.822553258648</v>
      </c>
      <c r="W11" s="85">
        <f>V11/E11</f>
        <v>3.3387102770594925</v>
      </c>
    </row>
    <row r="12" spans="1:23">
      <c r="A12" t="str">
        <f>'Price Deck'!A6</f>
        <v>04/2019</v>
      </c>
      <c r="B12" s="51" t="e">
        <f>'[1]Oil Production'!#REF!</f>
        <v>#REF!</v>
      </c>
      <c r="C12" s="51">
        <f>'[1]Oil Production'!A8</f>
        <v>2</v>
      </c>
      <c r="D12" s="51">
        <f>'[1]Oil Production'!B8</f>
        <v>182.67840003098269</v>
      </c>
      <c r="E12" s="51">
        <f>'[1]Oil Production'!C8</f>
        <v>5556.4680009423901</v>
      </c>
      <c r="F12" s="51">
        <f>'[1]Oil Production'!D8</f>
        <v>12971.553617494528</v>
      </c>
      <c r="I12" s="51">
        <f t="shared" si="0"/>
        <v>883.40736322924499</v>
      </c>
      <c r="J12" s="133">
        <f>'Price Deck'!F6*$B$2</f>
        <v>421.69444083772703</v>
      </c>
      <c r="K12" s="155">
        <f t="shared" ref="K12:K74" si="3">MIN(IF(J12&gt;$G$3,O12,IF(J12&gt;$F$3,N12,IF(J12&gt;$E$3,M12,L12))),0.4)</f>
        <v>0.21664303192671355</v>
      </c>
      <c r="L12" s="1">
        <v>0.1</v>
      </c>
      <c r="M12" s="155">
        <f t="shared" ref="M12:M74" si="4">((J12-$E$3)*0.00071+0.1)</f>
        <v>0.2206960529947862</v>
      </c>
      <c r="N12" s="155">
        <f t="shared" si="1"/>
        <v>0.21664303192671355</v>
      </c>
      <c r="O12" s="155">
        <f t="shared" si="2"/>
        <v>0.27401088816754537</v>
      </c>
      <c r="Q12" s="51">
        <f t="shared" ref="Q12:Q75" si="5">IF(I12&lt;$D$2,(I12-$D$2)*0.00135,0)</f>
        <v>0</v>
      </c>
      <c r="R12" s="155">
        <f t="shared" ref="R12:R75" si="6">MAX(0.05,Q12+K12)</f>
        <v>0.21664303192671355</v>
      </c>
      <c r="S12" s="51">
        <f t="shared" ref="S12:S75" si="7">IF(C12&gt;$A$5,R12,0.05)</f>
        <v>0.05</v>
      </c>
      <c r="T12" s="133">
        <f>'Price Deck'!F6</f>
        <v>67.044024010523529</v>
      </c>
      <c r="U12" s="85">
        <f t="shared" ref="U12:U75" si="8">T12*E12</f>
        <v>372527.9740688873</v>
      </c>
      <c r="V12" s="85">
        <f t="shared" ref="V12:V75" si="9">U12*S12</f>
        <v>18626.398703444367</v>
      </c>
      <c r="W12" s="85">
        <f t="shared" ref="W12:W75" si="10">V12/E12</f>
        <v>3.352201200526177</v>
      </c>
    </row>
    <row r="13" spans="1:23">
      <c r="A13" t="str">
        <f>'Price Deck'!A7</f>
        <v>05/2019</v>
      </c>
      <c r="B13" s="51" t="e">
        <f>'[1]Oil Production'!#REF!</f>
        <v>#REF!</v>
      </c>
      <c r="C13" s="51">
        <f>'[1]Oil Production'!A9</f>
        <v>3</v>
      </c>
      <c r="D13" s="51">
        <f>'[1]Oil Production'!B9</f>
        <v>154.30544362643755</v>
      </c>
      <c r="E13" s="51">
        <f>'[1]Oil Production'!C9</f>
        <v>4693.4572436374756</v>
      </c>
      <c r="F13" s="51">
        <f>'[1]Oil Production'!D9</f>
        <v>17665.010861132003</v>
      </c>
      <c r="I13" s="51">
        <f t="shared" si="0"/>
        <v>746.19968788226106</v>
      </c>
      <c r="J13" s="133">
        <f>'Price Deck'!F7*$B$2</f>
        <v>424.94108220200707</v>
      </c>
      <c r="K13" s="155">
        <f t="shared" si="3"/>
        <v>0.21790922205878277</v>
      </c>
      <c r="L13" s="1">
        <v>0.1</v>
      </c>
      <c r="M13" s="155">
        <f t="shared" si="4"/>
        <v>0.22300116836342504</v>
      </c>
      <c r="N13" s="155">
        <f t="shared" si="1"/>
        <v>0.21790922205878277</v>
      </c>
      <c r="O13" s="155">
        <f t="shared" si="2"/>
        <v>0.27466021644040139</v>
      </c>
      <c r="Q13" s="51">
        <f t="shared" si="5"/>
        <v>0</v>
      </c>
      <c r="R13" s="155">
        <f t="shared" si="6"/>
        <v>0.21790922205878277</v>
      </c>
      <c r="S13" s="51">
        <f t="shared" si="7"/>
        <v>0.05</v>
      </c>
      <c r="T13" s="133">
        <f>'Price Deck'!F7</f>
        <v>67.560198473596685</v>
      </c>
      <c r="U13" s="85">
        <f t="shared" si="8"/>
        <v>317090.90290748788</v>
      </c>
      <c r="V13" s="85">
        <f t="shared" si="9"/>
        <v>15854.545145374395</v>
      </c>
      <c r="W13" s="85">
        <f t="shared" si="10"/>
        <v>3.3780099236798344</v>
      </c>
    </row>
    <row r="14" spans="1:23">
      <c r="A14" t="str">
        <f>'Price Deck'!A8</f>
        <v>06/2019</v>
      </c>
      <c r="B14" s="51" t="e">
        <f>'[1]Oil Production'!#REF!</f>
        <v>#REF!</v>
      </c>
      <c r="C14" s="51">
        <f>'[1]Oil Production'!A10</f>
        <v>4</v>
      </c>
      <c r="D14" s="51">
        <f>'[1]Oil Production'!B10</f>
        <v>136.88940852816268</v>
      </c>
      <c r="E14" s="51">
        <f>'[1]Oil Production'!C10</f>
        <v>4163.7195093982818</v>
      </c>
      <c r="F14" s="51">
        <f>'[1]Oil Production'!D10</f>
        <v>21828.730370530284</v>
      </c>
      <c r="I14" s="51">
        <f t="shared" si="0"/>
        <v>661.9781617386908</v>
      </c>
      <c r="J14" s="133">
        <f>'Price Deck'!F8*$B$2</f>
        <v>428.40908547748791</v>
      </c>
      <c r="K14" s="155">
        <f t="shared" si="3"/>
        <v>0.21926174333622028</v>
      </c>
      <c r="L14" s="1">
        <v>0.1</v>
      </c>
      <c r="M14" s="155">
        <f t="shared" si="4"/>
        <v>0.22546345068901644</v>
      </c>
      <c r="N14" s="155">
        <f t="shared" si="1"/>
        <v>0.21926174333622028</v>
      </c>
      <c r="O14" s="155">
        <f t="shared" si="2"/>
        <v>0.27535381709549756</v>
      </c>
      <c r="Q14" s="51">
        <f t="shared" si="5"/>
        <v>0</v>
      </c>
      <c r="R14" s="155">
        <f t="shared" si="6"/>
        <v>0.21926174333622028</v>
      </c>
      <c r="S14" s="51">
        <f t="shared" si="7"/>
        <v>0.05</v>
      </c>
      <c r="T14" s="133">
        <f>'Price Deck'!F8</f>
        <v>68.111566650061178</v>
      </c>
      <c r="U14" s="85">
        <f t="shared" si="8"/>
        <v>283597.45887654112</v>
      </c>
      <c r="V14" s="85">
        <f t="shared" si="9"/>
        <v>14179.872943827057</v>
      </c>
      <c r="W14" s="85">
        <f t="shared" si="10"/>
        <v>3.4055783325030591</v>
      </c>
    </row>
    <row r="15" spans="1:23">
      <c r="A15" t="str">
        <f>'Price Deck'!A9</f>
        <v>07/2019</v>
      </c>
      <c r="B15" s="51" t="e">
        <f>'[1]Oil Production'!#REF!</f>
        <v>#REF!</v>
      </c>
      <c r="C15" s="51">
        <f>'[1]Oil Production'!A11</f>
        <v>5</v>
      </c>
      <c r="D15" s="51">
        <f>'[1]Oil Production'!B11</f>
        <v>124.74601198856659</v>
      </c>
      <c r="E15" s="51">
        <f>'[1]Oil Production'!C11</f>
        <v>3794.3578646522342</v>
      </c>
      <c r="F15" s="51">
        <f>'[1]Oil Production'!D11</f>
        <v>25623.088235182517</v>
      </c>
      <c r="I15" s="51">
        <f t="shared" si="0"/>
        <v>603.25438314268661</v>
      </c>
      <c r="J15" s="133">
        <f>'Price Deck'!F9*$B$2</f>
        <v>431.58193953803425</v>
      </c>
      <c r="K15" s="155">
        <f t="shared" si="3"/>
        <v>0.22049915641983336</v>
      </c>
      <c r="L15" s="1">
        <v>0.1</v>
      </c>
      <c r="M15" s="155">
        <f t="shared" si="4"/>
        <v>0.22771617707200434</v>
      </c>
      <c r="N15" s="155">
        <f t="shared" si="1"/>
        <v>0.22049915641983336</v>
      </c>
      <c r="O15" s="155">
        <f t="shared" si="2"/>
        <v>0.27598838790760682</v>
      </c>
      <c r="Q15" s="51">
        <f t="shared" si="5"/>
        <v>0</v>
      </c>
      <c r="R15" s="155">
        <f t="shared" si="6"/>
        <v>0.22049915641983336</v>
      </c>
      <c r="S15" s="51">
        <f t="shared" si="7"/>
        <v>0.05</v>
      </c>
      <c r="T15" s="133">
        <f>'Price Deck'!F9</f>
        <v>68.616009875337213</v>
      </c>
      <c r="U15" s="85">
        <f t="shared" si="8"/>
        <v>260353.69671154112</v>
      </c>
      <c r="V15" s="85">
        <f t="shared" si="9"/>
        <v>13017.684835577056</v>
      </c>
      <c r="W15" s="85">
        <f t="shared" si="10"/>
        <v>3.4308004937668608</v>
      </c>
    </row>
    <row r="16" spans="1:23">
      <c r="A16" t="str">
        <f>'Price Deck'!A10</f>
        <v>08/2019</v>
      </c>
      <c r="B16" s="51" t="e">
        <f>'[1]Oil Production'!#REF!</f>
        <v>#REF!</v>
      </c>
      <c r="C16" s="51">
        <f>'[1]Oil Production'!A12</f>
        <v>6</v>
      </c>
      <c r="D16" s="51">
        <f>'[1]Oil Production'!B12</f>
        <v>115.62823468519711</v>
      </c>
      <c r="E16" s="51">
        <f>'[1]Oil Production'!C12</f>
        <v>3517.0254716747459</v>
      </c>
      <c r="F16" s="51">
        <f>'[1]Oil Production'!D12</f>
        <v>29140.113706857264</v>
      </c>
      <c r="I16" s="51">
        <f t="shared" si="0"/>
        <v>559.16207882693288</v>
      </c>
      <c r="J16" s="133">
        <f>'Price Deck'!F10*$B$2</f>
        <v>433.86934595377687</v>
      </c>
      <c r="K16" s="155">
        <f t="shared" si="3"/>
        <v>0.22139124492197298</v>
      </c>
      <c r="L16" s="1">
        <v>0.1</v>
      </c>
      <c r="M16" s="155">
        <f t="shared" si="4"/>
        <v>0.22934023562718159</v>
      </c>
      <c r="N16" s="155">
        <f t="shared" si="1"/>
        <v>0.22139124492197298</v>
      </c>
      <c r="O16" s="155">
        <f t="shared" si="2"/>
        <v>0.27644586919075537</v>
      </c>
      <c r="Q16" s="51">
        <f t="shared" si="5"/>
        <v>0</v>
      </c>
      <c r="R16" s="155">
        <f t="shared" si="6"/>
        <v>0.22139124492197298</v>
      </c>
      <c r="S16" s="51">
        <f t="shared" si="7"/>
        <v>0.05</v>
      </c>
      <c r="T16" s="133">
        <f>'Price Deck'!F10</f>
        <v>68.979678247047829</v>
      </c>
      <c r="U16" s="85">
        <f t="shared" si="8"/>
        <v>242603.2854227956</v>
      </c>
      <c r="V16" s="85">
        <f t="shared" si="9"/>
        <v>12130.16427113978</v>
      </c>
      <c r="W16" s="85">
        <f t="shared" si="10"/>
        <v>3.4489839123523915</v>
      </c>
    </row>
    <row r="17" spans="1:23">
      <c r="A17" t="str">
        <f>'Price Deck'!A11</f>
        <v>09/2019</v>
      </c>
      <c r="B17" s="51" t="e">
        <f>'[1]Oil Production'!#REF!</f>
        <v>#REF!</v>
      </c>
      <c r="C17" s="51">
        <f>'[1]Oil Production'!A13</f>
        <v>7</v>
      </c>
      <c r="D17" s="51">
        <f>'[1]Oil Production'!B13</f>
        <v>108.44118777864109</v>
      </c>
      <c r="E17" s="51">
        <f>'[1]Oil Production'!C13</f>
        <v>3298.4194616003333</v>
      </c>
      <c r="F17" s="51">
        <f>'[1]Oil Production'!D13</f>
        <v>32438.533168457598</v>
      </c>
      <c r="I17" s="51">
        <f t="shared" si="0"/>
        <v>524.40651847579807</v>
      </c>
      <c r="J17" s="133">
        <f>'Price Deck'!F11*$B$2</f>
        <v>435.271304724716</v>
      </c>
      <c r="K17" s="155">
        <f t="shared" si="3"/>
        <v>0.22193800884263926</v>
      </c>
      <c r="L17" s="1">
        <v>0.1</v>
      </c>
      <c r="M17" s="155">
        <f t="shared" si="4"/>
        <v>0.23033562635454838</v>
      </c>
      <c r="N17" s="155">
        <f t="shared" si="1"/>
        <v>0.22193800884263926</v>
      </c>
      <c r="O17" s="155">
        <f t="shared" si="2"/>
        <v>0.27672626094494318</v>
      </c>
      <c r="Q17" s="51">
        <f t="shared" si="5"/>
        <v>0</v>
      </c>
      <c r="R17" s="155">
        <f t="shared" si="6"/>
        <v>0.22193800884263926</v>
      </c>
      <c r="S17" s="51">
        <f t="shared" si="7"/>
        <v>0.05</v>
      </c>
      <c r="T17" s="133">
        <f>'Price Deck'!F11</f>
        <v>69.202571765193056</v>
      </c>
      <c r="U17" s="85">
        <f t="shared" si="8"/>
        <v>228259.10950310651</v>
      </c>
      <c r="V17" s="85">
        <f t="shared" si="9"/>
        <v>11412.955475155326</v>
      </c>
      <c r="W17" s="85">
        <f t="shared" si="10"/>
        <v>3.4601285882596531</v>
      </c>
    </row>
    <row r="18" spans="1:23">
      <c r="A18" t="str">
        <f>'Price Deck'!A12</f>
        <v>10/2019</v>
      </c>
      <c r="B18" s="51" t="e">
        <f>'[1]Oil Production'!#REF!</f>
        <v>#REF!</v>
      </c>
      <c r="C18" s="51">
        <f>'[1]Oil Production'!A14</f>
        <v>8</v>
      </c>
      <c r="D18" s="51">
        <f>'[1]Oil Production'!B14</f>
        <v>102.57759080445241</v>
      </c>
      <c r="E18" s="51">
        <f>'[1]Oil Production'!C14</f>
        <v>3120.0683869687609</v>
      </c>
      <c r="F18" s="51">
        <f>'[1]Oil Production'!D14</f>
        <v>35558.601555426358</v>
      </c>
      <c r="I18" s="51">
        <f t="shared" si="0"/>
        <v>496.05097813206578</v>
      </c>
      <c r="J18" s="133">
        <f>'Price Deck'!F12*$B$2</f>
        <v>435.86160315458505</v>
      </c>
      <c r="K18" s="155">
        <f t="shared" si="3"/>
        <v>0.22216822523028817</v>
      </c>
      <c r="L18" s="1">
        <v>0.1</v>
      </c>
      <c r="M18" s="155">
        <f t="shared" si="4"/>
        <v>0.2307547382397554</v>
      </c>
      <c r="N18" s="155">
        <f t="shared" si="1"/>
        <v>0.22216822523028817</v>
      </c>
      <c r="O18" s="155">
        <f t="shared" si="2"/>
        <v>0.27684432063091696</v>
      </c>
      <c r="Q18" s="51">
        <f t="shared" si="5"/>
        <v>0</v>
      </c>
      <c r="R18" s="155">
        <f t="shared" si="6"/>
        <v>0.22216822523028817</v>
      </c>
      <c r="S18" s="51">
        <f t="shared" si="7"/>
        <v>0.05</v>
      </c>
      <c r="T18" s="133">
        <f>'Price Deck'!F12</f>
        <v>69.296421667569987</v>
      </c>
      <c r="U18" s="85">
        <f t="shared" si="8"/>
        <v>216209.57457504218</v>
      </c>
      <c r="V18" s="85">
        <f t="shared" si="9"/>
        <v>10810.47872875211</v>
      </c>
      <c r="W18" s="85">
        <f t="shared" si="10"/>
        <v>3.4648210833784998</v>
      </c>
    </row>
    <row r="19" spans="1:23">
      <c r="A19" t="str">
        <f>'Price Deck'!A13</f>
        <v>11/2019</v>
      </c>
      <c r="B19" s="51" t="e">
        <f>'[1]Oil Production'!#REF!</f>
        <v>#REF!</v>
      </c>
      <c r="C19" s="51">
        <f>'[1]Oil Production'!A15</f>
        <v>9</v>
      </c>
      <c r="D19" s="51">
        <f>'[1]Oil Production'!B15</f>
        <v>97.669270399867315</v>
      </c>
      <c r="E19" s="51">
        <f>'[1]Oil Production'!C15</f>
        <v>2970.7736413292978</v>
      </c>
      <c r="F19" s="51">
        <f>'[1]Oil Production'!D15</f>
        <v>38529.375196755653</v>
      </c>
      <c r="I19" s="51">
        <f t="shared" si="0"/>
        <v>472.31502256335369</v>
      </c>
      <c r="J19" s="133">
        <f>'Price Deck'!F13*$B$2</f>
        <v>435.86160315458505</v>
      </c>
      <c r="K19" s="155">
        <f t="shared" si="3"/>
        <v>0.22216822523028817</v>
      </c>
      <c r="L19" s="1">
        <v>0.1</v>
      </c>
      <c r="M19" s="155">
        <f t="shared" si="4"/>
        <v>0.2307547382397554</v>
      </c>
      <c r="N19" s="155">
        <f t="shared" si="1"/>
        <v>0.22216822523028817</v>
      </c>
      <c r="O19" s="155">
        <f t="shared" si="2"/>
        <v>0.27684432063091696</v>
      </c>
      <c r="Q19" s="51">
        <f t="shared" si="5"/>
        <v>0</v>
      </c>
      <c r="R19" s="155">
        <f t="shared" si="6"/>
        <v>0.22216822523028817</v>
      </c>
      <c r="S19" s="51">
        <f t="shared" si="7"/>
        <v>0.05</v>
      </c>
      <c r="T19" s="133">
        <f>'Price Deck'!F13</f>
        <v>69.296421667569987</v>
      </c>
      <c r="U19" s="85">
        <f t="shared" si="8"/>
        <v>205863.98292845735</v>
      </c>
      <c r="V19" s="85">
        <f t="shared" si="9"/>
        <v>10293.199146422869</v>
      </c>
      <c r="W19" s="85">
        <f t="shared" si="10"/>
        <v>3.4648210833784998</v>
      </c>
    </row>
    <row r="20" spans="1:23">
      <c r="A20" t="str">
        <f>'Price Deck'!A14</f>
        <v>12/2019</v>
      </c>
      <c r="B20" s="51" t="e">
        <f>'[1]Oil Production'!#REF!</f>
        <v>#REF!</v>
      </c>
      <c r="C20" s="51">
        <f>'[1]Oil Production'!A16</f>
        <v>10</v>
      </c>
      <c r="D20" s="51">
        <f>'[1]Oil Production'!B16</f>
        <v>93.477979851289291</v>
      </c>
      <c r="E20" s="51">
        <f>'[1]Oil Production'!C16</f>
        <v>2843.2885538100495</v>
      </c>
      <c r="F20" s="51">
        <f>'[1]Oil Production'!D16</f>
        <v>41372.663750565705</v>
      </c>
      <c r="I20" s="51">
        <f t="shared" si="0"/>
        <v>452.04652376207781</v>
      </c>
      <c r="J20" s="133">
        <f>'Price Deck'!F14*$B$2</f>
        <v>435.41887933218322</v>
      </c>
      <c r="K20" s="155">
        <f t="shared" si="3"/>
        <v>0.22199556293955147</v>
      </c>
      <c r="L20" s="1">
        <v>0.1</v>
      </c>
      <c r="M20" s="155">
        <f t="shared" si="4"/>
        <v>0.23044040432585011</v>
      </c>
      <c r="N20" s="155">
        <f t="shared" si="1"/>
        <v>0.22199556293955147</v>
      </c>
      <c r="O20" s="155">
        <f t="shared" si="2"/>
        <v>0.27675577586643663</v>
      </c>
      <c r="Q20" s="51">
        <f t="shared" si="5"/>
        <v>0</v>
      </c>
      <c r="R20" s="155">
        <f t="shared" si="6"/>
        <v>0.22199556293955147</v>
      </c>
      <c r="S20" s="51">
        <f t="shared" si="7"/>
        <v>0.05</v>
      </c>
      <c r="T20" s="133">
        <f>'Price Deck'!F14</f>
        <v>69.226034240787286</v>
      </c>
      <c r="U20" s="85">
        <f t="shared" si="8"/>
        <v>196829.59078249306</v>
      </c>
      <c r="V20" s="85">
        <f t="shared" si="9"/>
        <v>9841.4795391246535</v>
      </c>
      <c r="W20" s="85">
        <f t="shared" si="10"/>
        <v>3.4613017120393645</v>
      </c>
    </row>
    <row r="21" spans="1:23">
      <c r="A21" t="str">
        <f>'Price Deck'!A15</f>
        <v>01/2020</v>
      </c>
      <c r="B21" s="51" t="e">
        <f>'[1]Oil Production'!#REF!</f>
        <v>#REF!</v>
      </c>
      <c r="C21" s="51">
        <f>'[1]Oil Production'!A17</f>
        <v>11</v>
      </c>
      <c r="D21" s="51">
        <f>'[1]Oil Production'!B17</f>
        <v>89.841654418063442</v>
      </c>
      <c r="E21" s="51">
        <f>'[1]Oil Production'!C17</f>
        <v>2732.6836552160967</v>
      </c>
      <c r="F21" s="51">
        <f>'[1]Oil Production'!D17</f>
        <v>44105.347405781802</v>
      </c>
      <c r="I21" s="51">
        <f t="shared" si="0"/>
        <v>434.46175915791736</v>
      </c>
      <c r="J21" s="133">
        <f>'Price Deck'!F15*$B$2</f>
        <v>424.07903053155792</v>
      </c>
      <c r="K21" s="155">
        <f t="shared" si="3"/>
        <v>0.2175730219073076</v>
      </c>
      <c r="L21" s="1">
        <v>0.1</v>
      </c>
      <c r="M21" s="155">
        <f t="shared" si="4"/>
        <v>0.22238911167740616</v>
      </c>
      <c r="N21" s="155">
        <f t="shared" si="1"/>
        <v>0.2175730219073076</v>
      </c>
      <c r="O21" s="155">
        <f t="shared" si="2"/>
        <v>0.27448780610631157</v>
      </c>
      <c r="Q21" s="51">
        <f t="shared" si="5"/>
        <v>0</v>
      </c>
      <c r="R21" s="155">
        <f t="shared" si="6"/>
        <v>0.2175730219073076</v>
      </c>
      <c r="S21" s="51">
        <f t="shared" si="7"/>
        <v>0.05</v>
      </c>
      <c r="T21" s="133">
        <f>'Price Deck'!F15</f>
        <v>67.423143280796211</v>
      </c>
      <c r="U21" s="85">
        <f>T21*E21</f>
        <v>184246.12162672481</v>
      </c>
      <c r="V21" s="85">
        <f t="shared" si="9"/>
        <v>9212.3060813362408</v>
      </c>
      <c r="W21" s="85">
        <f t="shared" si="10"/>
        <v>3.3711571640398108</v>
      </c>
    </row>
    <row r="22" spans="1:23">
      <c r="A22" t="str">
        <f>'Price Deck'!A16</f>
        <v>02/2020</v>
      </c>
      <c r="B22" s="51" t="e">
        <f>'[1]Oil Production'!#REF!</f>
        <v>#REF!</v>
      </c>
      <c r="C22" s="51">
        <f>'[1]Oil Production'!A18</f>
        <v>12</v>
      </c>
      <c r="D22" s="51">
        <f>'[1]Oil Production'!B18</f>
        <v>86.645605898276415</v>
      </c>
      <c r="E22" s="51">
        <f>'[1]Oil Production'!C18</f>
        <v>2635.4705127392413</v>
      </c>
      <c r="F22" s="51">
        <f>'[1]Oil Production'!D18</f>
        <v>46740.817918521047</v>
      </c>
      <c r="I22" s="51">
        <f t="shared" si="0"/>
        <v>419.00611253993225</v>
      </c>
      <c r="J22" s="133">
        <f>'Price Deck'!F16*$B$2</f>
        <v>423.21517917077398</v>
      </c>
      <c r="K22" s="155">
        <f t="shared" si="3"/>
        <v>0.21723611987660185</v>
      </c>
      <c r="L22" s="1">
        <v>0.1</v>
      </c>
      <c r="M22" s="155">
        <f t="shared" si="4"/>
        <v>0.22177577721124953</v>
      </c>
      <c r="N22" s="155">
        <f t="shared" si="1"/>
        <v>0.21723611987660185</v>
      </c>
      <c r="O22" s="155">
        <f t="shared" si="2"/>
        <v>0.27431503583415479</v>
      </c>
      <c r="Q22" s="51">
        <f t="shared" si="5"/>
        <v>0</v>
      </c>
      <c r="R22" s="155">
        <f t="shared" si="6"/>
        <v>0.21723611987660185</v>
      </c>
      <c r="S22" s="51">
        <f t="shared" si="7"/>
        <v>0.05</v>
      </c>
      <c r="T22" s="133">
        <f>'Price Deck'!F16</f>
        <v>67.285801960244612</v>
      </c>
      <c r="U22" s="85">
        <f t="shared" si="8"/>
        <v>177329.74699223691</v>
      </c>
      <c r="V22" s="85">
        <f t="shared" si="9"/>
        <v>8866.4873496118453</v>
      </c>
      <c r="W22" s="85">
        <f t="shared" si="10"/>
        <v>3.3642900980122303</v>
      </c>
    </row>
    <row r="23" spans="1:23">
      <c r="A23" t="str">
        <f>'Price Deck'!A17</f>
        <v>03/2020</v>
      </c>
      <c r="B23" s="51" t="e">
        <f>'[1]Oil Production'!#REF!</f>
        <v>#REF!</v>
      </c>
      <c r="C23" s="51">
        <f>'[1]Oil Production'!A19</f>
        <v>13</v>
      </c>
      <c r="D23" s="51">
        <f>'[1]Oil Production'!B19</f>
        <v>83.806025336714384</v>
      </c>
      <c r="E23" s="51">
        <f>'[1]Oil Production'!C19</f>
        <v>2549.0999373250625</v>
      </c>
      <c r="F23" s="51">
        <f>'[1]Oil Production'!D19</f>
        <v>49289.917855846106</v>
      </c>
      <c r="I23" s="51">
        <f t="shared" si="0"/>
        <v>405.27429544419954</v>
      </c>
      <c r="J23" s="133">
        <f>'Price Deck'!F17*$B$2</f>
        <v>422.20735258319263</v>
      </c>
      <c r="K23" s="155">
        <f t="shared" si="3"/>
        <v>0.21684306750744514</v>
      </c>
      <c r="L23" s="1">
        <v>0.1</v>
      </c>
      <c r="M23" s="155">
        <f t="shared" si="4"/>
        <v>0.2210602203340668</v>
      </c>
      <c r="N23" s="155">
        <f t="shared" si="1"/>
        <v>0.21684306750744514</v>
      </c>
      <c r="O23" s="155">
        <f t="shared" si="2"/>
        <v>0.27411347051663848</v>
      </c>
      <c r="Q23" s="51">
        <f t="shared" si="5"/>
        <v>0</v>
      </c>
      <c r="R23" s="155">
        <f t="shared" si="6"/>
        <v>0.21684306750744514</v>
      </c>
      <c r="S23" s="51">
        <f t="shared" si="7"/>
        <v>0.05</v>
      </c>
      <c r="T23" s="133">
        <f>'Price Deck'!F17</f>
        <v>67.125570419601061</v>
      </c>
      <c r="U23" s="85">
        <f t="shared" si="8"/>
        <v>171109.78734951414</v>
      </c>
      <c r="V23" s="85">
        <f t="shared" si="9"/>
        <v>8555.4893674757077</v>
      </c>
      <c r="W23" s="85">
        <f t="shared" si="10"/>
        <v>3.3562785209800534</v>
      </c>
    </row>
    <row r="24" spans="1:23">
      <c r="A24" t="str">
        <f>'Price Deck'!A18</f>
        <v>04/2020</v>
      </c>
      <c r="B24" s="51" t="e">
        <f>'[1]Oil Production'!#REF!</f>
        <v>#REF!</v>
      </c>
      <c r="C24" s="51">
        <f>'[1]Oil Production'!A20</f>
        <v>14</v>
      </c>
      <c r="D24" s="51">
        <f>'[1]Oil Production'!B20</f>
        <v>81.260017892602249</v>
      </c>
      <c r="E24" s="51">
        <f>'[1]Oil Production'!C20</f>
        <v>2471.6588775666519</v>
      </c>
      <c r="F24" s="51">
        <f>'[1]Oil Production'!D20</f>
        <v>51761.576733412759</v>
      </c>
      <c r="I24" s="51">
        <f t="shared" si="0"/>
        <v>392.96215715864599</v>
      </c>
      <c r="J24" s="133">
        <f>'Price Deck'!F18*$B$2</f>
        <v>421.05555076881399</v>
      </c>
      <c r="K24" s="155">
        <f t="shared" si="3"/>
        <v>0.21639386479983747</v>
      </c>
      <c r="L24" s="1">
        <v>0.1</v>
      </c>
      <c r="M24" s="155">
        <f t="shared" si="4"/>
        <v>0.22024244104585794</v>
      </c>
      <c r="N24" s="155">
        <f t="shared" si="1"/>
        <v>0.21639386479983747</v>
      </c>
      <c r="O24" s="155">
        <f t="shared" si="2"/>
        <v>0.27388311015376277</v>
      </c>
      <c r="Q24" s="51">
        <f t="shared" si="5"/>
        <v>0</v>
      </c>
      <c r="R24" s="155">
        <f t="shared" si="6"/>
        <v>0.21639386479983747</v>
      </c>
      <c r="S24" s="51">
        <f t="shared" si="7"/>
        <v>0.05</v>
      </c>
      <c r="T24" s="133">
        <f>'Price Deck'!F18</f>
        <v>66.942448658865587</v>
      </c>
      <c r="U24" s="85">
        <f t="shared" si="8"/>
        <v>165458.89751373493</v>
      </c>
      <c r="V24" s="85">
        <f t="shared" si="9"/>
        <v>8272.9448756867478</v>
      </c>
      <c r="W24" s="85">
        <f t="shared" si="10"/>
        <v>3.3471224329432796</v>
      </c>
    </row>
    <row r="25" spans="1:23">
      <c r="A25" t="str">
        <f>'Price Deck'!A19</f>
        <v>05/2020</v>
      </c>
      <c r="B25" s="51" t="e">
        <f>'[1]Oil Production'!#REF!</f>
        <v>#REF!</v>
      </c>
      <c r="C25" s="51">
        <f>'[1]Oil Production'!A21</f>
        <v>15</v>
      </c>
      <c r="D25" s="51">
        <f>'[1]Oil Production'!B21</f>
        <v>78.959314006527435</v>
      </c>
      <c r="E25" s="51">
        <f>'[1]Oil Production'!C21</f>
        <v>2401.6791343652094</v>
      </c>
      <c r="F25" s="51">
        <f>'[1]Oil Production'!D21</f>
        <v>54163.255867777967</v>
      </c>
      <c r="I25" s="51">
        <f t="shared" si="0"/>
        <v>381.83627279999212</v>
      </c>
      <c r="J25" s="133">
        <f>'Price Deck'!F19*$B$2</f>
        <v>419.90374895443517</v>
      </c>
      <c r="K25" s="155">
        <f t="shared" si="3"/>
        <v>0.21594466209222973</v>
      </c>
      <c r="L25" s="1">
        <v>0.1</v>
      </c>
      <c r="M25" s="155">
        <f t="shared" si="4"/>
        <v>0.21942466175764899</v>
      </c>
      <c r="N25" s="155">
        <f t="shared" si="1"/>
        <v>0.21594466209222973</v>
      </c>
      <c r="O25" s="155">
        <f t="shared" si="2"/>
        <v>0.273652749790887</v>
      </c>
      <c r="Q25" s="51">
        <f t="shared" si="5"/>
        <v>0</v>
      </c>
      <c r="R25" s="155">
        <f t="shared" si="6"/>
        <v>0.21594466209222973</v>
      </c>
      <c r="S25" s="51">
        <f t="shared" si="7"/>
        <v>0.05</v>
      </c>
      <c r="T25" s="133">
        <f>'Price Deck'!F19</f>
        <v>66.759326898130084</v>
      </c>
      <c r="U25" s="85">
        <f t="shared" si="8"/>
        <v>160334.48243550511</v>
      </c>
      <c r="V25" s="85">
        <f t="shared" si="9"/>
        <v>8016.7241217752562</v>
      </c>
      <c r="W25" s="85">
        <f t="shared" si="10"/>
        <v>3.3379663449065049</v>
      </c>
    </row>
    <row r="26" spans="1:23">
      <c r="A26" t="str">
        <f>'Price Deck'!A20</f>
        <v>06/2020</v>
      </c>
      <c r="B26" s="51" t="e">
        <f>'[1]Oil Production'!#REF!</f>
        <v>#REF!</v>
      </c>
      <c r="C26" s="51">
        <f>'[1]Oil Production'!A22</f>
        <v>16</v>
      </c>
      <c r="D26" s="51">
        <f>'[1]Oil Production'!B22</f>
        <v>76.866152380817155</v>
      </c>
      <c r="E26" s="51">
        <f>'[1]Oil Production'!C22</f>
        <v>2338.012134916522</v>
      </c>
      <c r="F26" s="51">
        <f>'[1]Oil Production'!D22</f>
        <v>56501.268002694487</v>
      </c>
      <c r="I26" s="51">
        <f t="shared" si="0"/>
        <v>371.71403397883023</v>
      </c>
      <c r="J26" s="133">
        <f>'Price Deck'!F20*$B$2</f>
        <v>418.82393475345521</v>
      </c>
      <c r="K26" s="155">
        <f t="shared" si="3"/>
        <v>0.21552353455384754</v>
      </c>
      <c r="L26" s="1">
        <v>0.1</v>
      </c>
      <c r="M26" s="155">
        <f t="shared" si="4"/>
        <v>0.2186579936749532</v>
      </c>
      <c r="N26" s="155">
        <f t="shared" si="1"/>
        <v>0.21552353455384754</v>
      </c>
      <c r="O26" s="155">
        <f t="shared" si="2"/>
        <v>0.27343678695069101</v>
      </c>
      <c r="Q26" s="51">
        <f t="shared" si="5"/>
        <v>0</v>
      </c>
      <c r="R26" s="155">
        <f t="shared" si="6"/>
        <v>0.21552353455384754</v>
      </c>
      <c r="S26" s="51">
        <f t="shared" si="7"/>
        <v>0.05</v>
      </c>
      <c r="T26" s="133">
        <f>'Price Deck'!F20</f>
        <v>66.587650247440578</v>
      </c>
      <c r="U26" s="85">
        <f t="shared" si="8"/>
        <v>155682.73431409322</v>
      </c>
      <c r="V26" s="85">
        <f t="shared" si="9"/>
        <v>7784.1367157046616</v>
      </c>
      <c r="W26" s="85">
        <f t="shared" si="10"/>
        <v>3.3293825123720291</v>
      </c>
    </row>
    <row r="27" spans="1:23">
      <c r="A27" t="str">
        <f>'Price Deck'!A21</f>
        <v>07/2020</v>
      </c>
      <c r="B27" s="51" t="e">
        <f>'[1]Oil Production'!#REF!</f>
        <v>#REF!</v>
      </c>
      <c r="C27" s="51">
        <f>'[1]Oil Production'!A23</f>
        <v>17</v>
      </c>
      <c r="D27" s="51">
        <f>'[1]Oil Production'!B23</f>
        <v>74.95049938593634</v>
      </c>
      <c r="E27" s="51">
        <f>'[1]Oil Production'!C23</f>
        <v>2279.7443563222305</v>
      </c>
      <c r="F27" s="51">
        <f>'[1]Oil Production'!D23</f>
        <v>58781.01235901672</v>
      </c>
      <c r="I27" s="51">
        <f t="shared" si="0"/>
        <v>362.45020223526967</v>
      </c>
      <c r="J27" s="133">
        <f>'Price Deck'!F21*$B$2</f>
        <v>417.45617009888042</v>
      </c>
      <c r="K27" s="155">
        <f t="shared" si="3"/>
        <v>0.21499010633856336</v>
      </c>
      <c r="L27" s="1">
        <v>0.1</v>
      </c>
      <c r="M27" s="155">
        <f t="shared" si="4"/>
        <v>0.21768688077020512</v>
      </c>
      <c r="N27" s="155">
        <f t="shared" si="1"/>
        <v>0.21499010633856336</v>
      </c>
      <c r="O27" s="155">
        <f t="shared" si="2"/>
        <v>0.27316323401977605</v>
      </c>
      <c r="Q27" s="51">
        <f t="shared" si="5"/>
        <v>0</v>
      </c>
      <c r="R27" s="155">
        <f t="shared" si="6"/>
        <v>0.21499010633856336</v>
      </c>
      <c r="S27" s="51">
        <f t="shared" si="7"/>
        <v>0.05</v>
      </c>
      <c r="T27" s="133">
        <f>'Price Deck'!F21</f>
        <v>66.370193156567183</v>
      </c>
      <c r="U27" s="85">
        <f t="shared" si="8"/>
        <v>151307.07327670036</v>
      </c>
      <c r="V27" s="85">
        <f t="shared" si="9"/>
        <v>7565.3536638350188</v>
      </c>
      <c r="W27" s="85">
        <f t="shared" si="10"/>
        <v>3.3185096578283595</v>
      </c>
    </row>
    <row r="28" spans="1:23">
      <c r="A28" t="str">
        <f>'Price Deck'!A22</f>
        <v>08/2020</v>
      </c>
      <c r="B28" s="51" t="e">
        <f>'[1]Oil Production'!#REF!</f>
        <v>#REF!</v>
      </c>
      <c r="C28" s="51">
        <f>'[1]Oil Production'!A24</f>
        <v>18</v>
      </c>
      <c r="D28" s="51">
        <f>'[1]Oil Production'!B24</f>
        <v>73.188119964634339</v>
      </c>
      <c r="E28" s="51">
        <f>'[1]Oil Production'!C24</f>
        <v>2226.1386489242946</v>
      </c>
      <c r="F28" s="51">
        <f>'[1]Oil Production'!D24</f>
        <v>61007.151007941015</v>
      </c>
      <c r="I28" s="51">
        <f t="shared" si="0"/>
        <v>353.92758019939771</v>
      </c>
      <c r="J28" s="133">
        <f>'Price Deck'!F22*$B$2</f>
        <v>416.23238067110316</v>
      </c>
      <c r="K28" s="155">
        <f t="shared" si="3"/>
        <v>0.21451282846173023</v>
      </c>
      <c r="L28" s="1">
        <v>0.1</v>
      </c>
      <c r="M28" s="155">
        <f t="shared" si="4"/>
        <v>0.21681799027648324</v>
      </c>
      <c r="N28" s="155">
        <f t="shared" si="1"/>
        <v>0.21451282846173023</v>
      </c>
      <c r="O28" s="155">
        <f t="shared" si="2"/>
        <v>0.2729184761342206</v>
      </c>
      <c r="Q28" s="51">
        <f t="shared" si="5"/>
        <v>0</v>
      </c>
      <c r="R28" s="155">
        <f t="shared" si="6"/>
        <v>0.21451282846173023</v>
      </c>
      <c r="S28" s="51">
        <f t="shared" si="7"/>
        <v>0.05</v>
      </c>
      <c r="T28" s="133">
        <f>'Price Deck'!F22</f>
        <v>66.175626285785739</v>
      </c>
      <c r="U28" s="85">
        <f t="shared" si="8"/>
        <v>147316.11929155811</v>
      </c>
      <c r="V28" s="85">
        <f t="shared" si="9"/>
        <v>7365.8059645779058</v>
      </c>
      <c r="W28" s="85">
        <f t="shared" si="10"/>
        <v>3.3087813142892872</v>
      </c>
    </row>
    <row r="29" spans="1:23">
      <c r="A29" t="str">
        <f>'Price Deck'!A23</f>
        <v>09/2020</v>
      </c>
      <c r="B29" s="51" t="e">
        <f>'[1]Oil Production'!#REF!</f>
        <v>#REF!</v>
      </c>
      <c r="C29" s="51">
        <f>'[1]Oil Production'!A25</f>
        <v>19</v>
      </c>
      <c r="D29" s="51">
        <f>'[1]Oil Production'!B25</f>
        <v>71.559207628030549</v>
      </c>
      <c r="E29" s="51">
        <f>'[1]Oil Production'!C25</f>
        <v>2176.592565352596</v>
      </c>
      <c r="F29" s="51">
        <f>'[1]Oil Production'!D25</f>
        <v>63183.743573293614</v>
      </c>
      <c r="I29" s="51">
        <f t="shared" si="0"/>
        <v>346.05038644268274</v>
      </c>
      <c r="J29" s="133">
        <f>'Price Deck'!F23*$B$2</f>
        <v>415.29654169692043</v>
      </c>
      <c r="K29" s="155">
        <f t="shared" si="3"/>
        <v>0.21414785126179897</v>
      </c>
      <c r="L29" s="1">
        <v>0.1</v>
      </c>
      <c r="M29" s="155">
        <f t="shared" si="4"/>
        <v>0.21615354460481351</v>
      </c>
      <c r="N29" s="155">
        <f t="shared" si="1"/>
        <v>0.21414785126179897</v>
      </c>
      <c r="O29" s="155">
        <f t="shared" si="2"/>
        <v>0.27273130833938408</v>
      </c>
      <c r="Q29" s="51">
        <f t="shared" si="5"/>
        <v>0</v>
      </c>
      <c r="R29" s="155">
        <f t="shared" si="6"/>
        <v>0.21414785126179897</v>
      </c>
      <c r="S29" s="51">
        <f t="shared" si="7"/>
        <v>0.05</v>
      </c>
      <c r="T29" s="133">
        <f>'Price Deck'!F23</f>
        <v>66.026839855188157</v>
      </c>
      <c r="U29" s="85">
        <f t="shared" si="8"/>
        <v>143713.52874252902</v>
      </c>
      <c r="V29" s="85">
        <f t="shared" si="9"/>
        <v>7185.6764371264508</v>
      </c>
      <c r="W29" s="85">
        <f t="shared" si="10"/>
        <v>3.3013419927594079</v>
      </c>
    </row>
    <row r="30" spans="1:23">
      <c r="A30" t="str">
        <f>'Price Deck'!A24</f>
        <v>10/2020</v>
      </c>
      <c r="B30" s="51" t="e">
        <f>'[1]Oil Production'!#REF!</f>
        <v>#REF!</v>
      </c>
      <c r="C30" s="51">
        <f>'[1]Oil Production'!A26</f>
        <v>20</v>
      </c>
      <c r="D30" s="51">
        <f>'[1]Oil Production'!B26</f>
        <v>70.047391317639324</v>
      </c>
      <c r="E30" s="51">
        <f>'[1]Oil Production'!C26</f>
        <v>2130.608152578196</v>
      </c>
      <c r="F30" s="51">
        <f>'[1]Oil Production'!D26</f>
        <v>65314.351725871813</v>
      </c>
      <c r="I30" s="51">
        <f t="shared" si="0"/>
        <v>338.73945280070222</v>
      </c>
      <c r="J30" s="133">
        <f>'Price Deck'!F24*$B$2</f>
        <v>414.43269033613643</v>
      </c>
      <c r="K30" s="155">
        <f t="shared" si="3"/>
        <v>0.21381094923109323</v>
      </c>
      <c r="L30" s="1">
        <v>0.1</v>
      </c>
      <c r="M30" s="155">
        <f t="shared" si="4"/>
        <v>0.21554021013865687</v>
      </c>
      <c r="N30" s="155">
        <f t="shared" si="1"/>
        <v>0.21381094923109323</v>
      </c>
      <c r="O30" s="155">
        <f t="shared" si="2"/>
        <v>0.27255853806722724</v>
      </c>
      <c r="Q30" s="51">
        <f t="shared" si="5"/>
        <v>0</v>
      </c>
      <c r="R30" s="155">
        <f t="shared" si="6"/>
        <v>0.21381094923109323</v>
      </c>
      <c r="S30" s="51">
        <f t="shared" si="7"/>
        <v>0.05</v>
      </c>
      <c r="T30" s="133">
        <f>'Price Deck'!F24</f>
        <v>65.889498534636544</v>
      </c>
      <c r="U30" s="85">
        <f t="shared" si="8"/>
        <v>140384.70274718571</v>
      </c>
      <c r="V30" s="85">
        <f t="shared" si="9"/>
        <v>7019.2351373592865</v>
      </c>
      <c r="W30" s="85">
        <f t="shared" si="10"/>
        <v>3.2944749267318274</v>
      </c>
    </row>
    <row r="31" spans="1:23">
      <c r="A31" t="str">
        <f>'Price Deck'!A25</f>
        <v>11/2020</v>
      </c>
      <c r="B31" s="51" t="e">
        <f>'[1]Oil Production'!#REF!</f>
        <v>#REF!</v>
      </c>
      <c r="C31" s="51">
        <f>'[1]Oil Production'!A27</f>
        <v>21</v>
      </c>
      <c r="D31" s="51">
        <f>'[1]Oil Production'!B27</f>
        <v>68.639002245933966</v>
      </c>
      <c r="E31" s="51">
        <f>'[1]Oil Production'!C27</f>
        <v>2087.7696516471583</v>
      </c>
      <c r="F31" s="51">
        <f>'[1]Oil Production'!D27</f>
        <v>67402.121377518968</v>
      </c>
      <c r="I31" s="51">
        <f t="shared" si="0"/>
        <v>331.92867891596768</v>
      </c>
      <c r="J31" s="133">
        <f>'Price Deck'!F25*$B$2</f>
        <v>413.64082658875105</v>
      </c>
      <c r="K31" s="155">
        <f t="shared" si="3"/>
        <v>0.21350212236961291</v>
      </c>
      <c r="L31" s="1">
        <v>0.1</v>
      </c>
      <c r="M31" s="155">
        <f t="shared" si="4"/>
        <v>0.21497798687801328</v>
      </c>
      <c r="N31" s="155">
        <f t="shared" si="1"/>
        <v>0.21350212236961291</v>
      </c>
      <c r="O31" s="155">
        <f t="shared" si="2"/>
        <v>0.27240016531775019</v>
      </c>
      <c r="Q31" s="51">
        <f t="shared" si="5"/>
        <v>0</v>
      </c>
      <c r="R31" s="155">
        <f t="shared" si="6"/>
        <v>0.21350212236961291</v>
      </c>
      <c r="S31" s="51">
        <f t="shared" si="7"/>
        <v>0.05</v>
      </c>
      <c r="T31" s="133">
        <f>'Price Deck'!F25</f>
        <v>65.7636023241309</v>
      </c>
      <c r="U31" s="85">
        <f t="shared" si="8"/>
        <v>137299.25311531301</v>
      </c>
      <c r="V31" s="85">
        <f t="shared" si="9"/>
        <v>6864.9626557656511</v>
      </c>
      <c r="W31" s="85">
        <f t="shared" si="10"/>
        <v>3.2881801162065449</v>
      </c>
    </row>
    <row r="32" spans="1:23">
      <c r="A32" t="str">
        <f>'Price Deck'!A26</f>
        <v>12/2020</v>
      </c>
      <c r="B32" s="51" t="e">
        <f>'[1]Oil Production'!#REF!</f>
        <v>#REF!</v>
      </c>
      <c r="C32" s="51">
        <f>'[1]Oil Production'!A28</f>
        <v>22</v>
      </c>
      <c r="D32" s="51">
        <f>'[1]Oil Production'!B28</f>
        <v>67.322523803550183</v>
      </c>
      <c r="E32" s="51">
        <f>'[1]Oil Production'!C28</f>
        <v>2047.7267656913182</v>
      </c>
      <c r="F32" s="51">
        <f>'[1]Oil Production'!D28</f>
        <v>69449.848143210285</v>
      </c>
      <c r="I32" s="51">
        <f t="shared" si="0"/>
        <v>325.56237206558387</v>
      </c>
      <c r="J32" s="133">
        <f>'Price Deck'!F26*$B$2</f>
        <v>412.99293806816297</v>
      </c>
      <c r="K32" s="155">
        <f t="shared" si="3"/>
        <v>0.21324944584658356</v>
      </c>
      <c r="L32" s="1">
        <v>0.1</v>
      </c>
      <c r="M32" s="155">
        <f t="shared" si="4"/>
        <v>0.21451798602839572</v>
      </c>
      <c r="N32" s="155">
        <f t="shared" si="1"/>
        <v>0.21324944584658356</v>
      </c>
      <c r="O32" s="155">
        <f t="shared" si="2"/>
        <v>0.27227058761363254</v>
      </c>
      <c r="Q32" s="51">
        <f t="shared" si="5"/>
        <v>0</v>
      </c>
      <c r="R32" s="155">
        <f t="shared" si="6"/>
        <v>0.21324944584658356</v>
      </c>
      <c r="S32" s="51">
        <f t="shared" si="7"/>
        <v>0.05</v>
      </c>
      <c r="T32" s="133">
        <f>'Price Deck'!F26</f>
        <v>65.66059633371718</v>
      </c>
      <c r="U32" s="85">
        <f t="shared" si="8"/>
        <v>134454.96056380591</v>
      </c>
      <c r="V32" s="85">
        <f t="shared" si="9"/>
        <v>6722.7480281902963</v>
      </c>
      <c r="W32" s="85">
        <f t="shared" si="10"/>
        <v>3.2830298166858594</v>
      </c>
    </row>
    <row r="33" spans="1:23">
      <c r="A33" t="str">
        <f>'Price Deck'!A27</f>
        <v>01/2021</v>
      </c>
      <c r="B33" s="51" t="e">
        <f>'[1]Oil Production'!#REF!</f>
        <v>#REF!</v>
      </c>
      <c r="C33" s="51">
        <f>'[1]Oil Production'!A29</f>
        <v>23</v>
      </c>
      <c r="D33" s="51">
        <f>'[1]Oil Production'!B29</f>
        <v>66.088172764198234</v>
      </c>
      <c r="E33" s="51">
        <f>'[1]Oil Production'!C29</f>
        <v>2010.1819215776964</v>
      </c>
      <c r="F33" s="51">
        <f>'[1]Oil Production'!D29</f>
        <v>71460.030064787978</v>
      </c>
      <c r="I33" s="51">
        <f t="shared" si="0"/>
        <v>319.59322192638706</v>
      </c>
      <c r="J33" s="133">
        <f>'Price Deck'!F27*$B$2</f>
        <v>411.69716102698692</v>
      </c>
      <c r="K33" s="155">
        <f t="shared" si="3"/>
        <v>0.21274409280052489</v>
      </c>
      <c r="L33" s="1">
        <v>0.1</v>
      </c>
      <c r="M33" s="155">
        <f t="shared" si="4"/>
        <v>0.21359798432916072</v>
      </c>
      <c r="N33" s="155">
        <f t="shared" si="1"/>
        <v>0.21274409280052489</v>
      </c>
      <c r="O33" s="155">
        <f t="shared" si="2"/>
        <v>0.27201143220539736</v>
      </c>
      <c r="Q33" s="51">
        <f t="shared" si="5"/>
        <v>0</v>
      </c>
      <c r="R33" s="155">
        <f t="shared" si="6"/>
        <v>0.21274409280052489</v>
      </c>
      <c r="S33" s="51">
        <f t="shared" si="7"/>
        <v>0.05</v>
      </c>
      <c r="T33" s="133">
        <f>'Price Deck'!F27</f>
        <v>65.454584352889754</v>
      </c>
      <c r="U33" s="85">
        <f t="shared" si="8"/>
        <v>131575.62215056134</v>
      </c>
      <c r="V33" s="85">
        <f t="shared" si="9"/>
        <v>6578.781107528067</v>
      </c>
      <c r="W33" s="85">
        <f t="shared" si="10"/>
        <v>3.2727292176444878</v>
      </c>
    </row>
    <row r="34" spans="1:23">
      <c r="A34" t="str">
        <f>'Price Deck'!A28</f>
        <v>02/2021</v>
      </c>
      <c r="B34" s="51" t="e">
        <f>'[1]Oil Production'!#REF!</f>
        <v>#REF!</v>
      </c>
      <c r="C34" s="51">
        <f>'[1]Oil Production'!A30</f>
        <v>24</v>
      </c>
      <c r="D34" s="51">
        <f>'[1]Oil Production'!B30</f>
        <v>64.927576226678752</v>
      </c>
      <c r="E34" s="51">
        <f>'[1]Oil Production'!C30</f>
        <v>1974.8804435614788</v>
      </c>
      <c r="F34" s="51">
        <f>'[1]Oil Production'!D30</f>
        <v>73434.910508349451</v>
      </c>
      <c r="I34" s="51">
        <f t="shared" si="0"/>
        <v>313.98073831141573</v>
      </c>
      <c r="J34" s="133">
        <f>'Price Deck'!F28*$B$2</f>
        <v>410.3293963724123</v>
      </c>
      <c r="K34" s="155">
        <f t="shared" si="3"/>
        <v>0.21221066458524079</v>
      </c>
      <c r="L34" s="1">
        <v>0.1</v>
      </c>
      <c r="M34" s="155">
        <f t="shared" si="4"/>
        <v>0.21262687142441275</v>
      </c>
      <c r="N34" s="155">
        <f t="shared" si="1"/>
        <v>0.21221066458524079</v>
      </c>
      <c r="O34" s="155">
        <f t="shared" si="2"/>
        <v>0.27173787927448245</v>
      </c>
      <c r="Q34" s="51">
        <f t="shared" si="5"/>
        <v>0</v>
      </c>
      <c r="R34" s="155">
        <f t="shared" si="6"/>
        <v>0.21221066458524079</v>
      </c>
      <c r="S34" s="51">
        <f t="shared" si="7"/>
        <v>0.05</v>
      </c>
      <c r="T34" s="133">
        <f>'Price Deck'!F28</f>
        <v>65.237127262016386</v>
      </c>
      <c r="U34" s="85">
        <f t="shared" si="8"/>
        <v>128835.52682388756</v>
      </c>
      <c r="V34" s="85">
        <f t="shared" si="9"/>
        <v>6441.7763411943779</v>
      </c>
      <c r="W34" s="85">
        <f t="shared" si="10"/>
        <v>3.2618563631008191</v>
      </c>
    </row>
    <row r="35" spans="1:23">
      <c r="A35" t="str">
        <f>'Price Deck'!A29</f>
        <v>03/2021</v>
      </c>
      <c r="B35" s="51" t="e">
        <f>'[1]Oil Production'!#REF!</f>
        <v>#REF!</v>
      </c>
      <c r="C35" s="51">
        <f>'[1]Oil Production'!A31</f>
        <v>25</v>
      </c>
      <c r="D35" s="51">
        <f>'[1]Oil Production'!B31</f>
        <v>63.833519415640758</v>
      </c>
      <c r="E35" s="51">
        <f>'[1]Oil Production'!C31</f>
        <v>1941.6028822257399</v>
      </c>
      <c r="F35" s="51">
        <f>'[1]Oil Production'!D31</f>
        <v>75376.513390575186</v>
      </c>
      <c r="I35" s="51">
        <f t="shared" si="0"/>
        <v>308.69003156941363</v>
      </c>
      <c r="J35" s="133">
        <f>'Price Deck'!F29*$B$2</f>
        <v>409.1775945580336</v>
      </c>
      <c r="K35" s="155">
        <f t="shared" si="3"/>
        <v>0.21176146187763312</v>
      </c>
      <c r="L35" s="1">
        <v>0.1</v>
      </c>
      <c r="M35" s="155">
        <f t="shared" si="4"/>
        <v>0.21180909213620386</v>
      </c>
      <c r="N35" s="155">
        <f t="shared" si="1"/>
        <v>0.21176146187763312</v>
      </c>
      <c r="O35" s="155">
        <f t="shared" si="2"/>
        <v>0.27150751891160668</v>
      </c>
      <c r="Q35" s="51">
        <f t="shared" si="5"/>
        <v>0</v>
      </c>
      <c r="R35" s="155">
        <f t="shared" si="6"/>
        <v>0.21176146187763312</v>
      </c>
      <c r="S35" s="51">
        <f t="shared" si="7"/>
        <v>0.21176146187763312</v>
      </c>
      <c r="T35" s="133">
        <f>'Price Deck'!F29</f>
        <v>65.054005501280898</v>
      </c>
      <c r="U35" s="85">
        <f t="shared" si="8"/>
        <v>126309.04458161614</v>
      </c>
      <c r="V35" s="85">
        <f t="shared" si="9"/>
        <v>26747.387928970169</v>
      </c>
      <c r="W35" s="85">
        <f t="shared" si="10"/>
        <v>13.775931305946832</v>
      </c>
    </row>
    <row r="36" spans="1:23">
      <c r="A36" t="str">
        <f>'Price Deck'!A30</f>
        <v>04/2021</v>
      </c>
      <c r="B36" s="51" t="e">
        <f>'[1]Oil Production'!#REF!</f>
        <v>#REF!</v>
      </c>
      <c r="C36" s="51">
        <f>'[1]Oil Production'!A32</f>
        <v>26</v>
      </c>
      <c r="D36" s="51">
        <f>'[1]Oil Production'!B32</f>
        <v>62.799746644887094</v>
      </c>
      <c r="E36" s="51">
        <f>'[1]Oil Production'!C32</f>
        <v>1910.1589604486492</v>
      </c>
      <c r="F36" s="51">
        <f>'[1]Oil Production'!D32</f>
        <v>77286.672351023837</v>
      </c>
      <c r="I36" s="51">
        <f t="shared" si="0"/>
        <v>303.6908500710274</v>
      </c>
      <c r="J36" s="133">
        <f>'Price Deck'!F30*$B$2</f>
        <v>408.09778035705352</v>
      </c>
      <c r="K36" s="155">
        <f t="shared" si="3"/>
        <v>0.21104242405350804</v>
      </c>
      <c r="L36" s="1">
        <v>0.1</v>
      </c>
      <c r="M36" s="155">
        <f t="shared" si="4"/>
        <v>0.21104242405350804</v>
      </c>
      <c r="N36" s="155">
        <f t="shared" si="1"/>
        <v>0.21134033433925087</v>
      </c>
      <c r="O36" s="155">
        <f t="shared" si="2"/>
        <v>0.2712915560714107</v>
      </c>
      <c r="Q36" s="51">
        <f t="shared" si="5"/>
        <v>0</v>
      </c>
      <c r="R36" s="155">
        <f t="shared" si="6"/>
        <v>0.21104242405350804</v>
      </c>
      <c r="S36" s="51">
        <f t="shared" si="7"/>
        <v>0.21104242405350804</v>
      </c>
      <c r="T36" s="133">
        <f>'Price Deck'!F30</f>
        <v>64.882328850591378</v>
      </c>
      <c r="U36" s="85">
        <f t="shared" si="8"/>
        <v>123935.56182873303</v>
      </c>
      <c r="V36" s="85">
        <f t="shared" si="9"/>
        <v>26155.661394769239</v>
      </c>
      <c r="W36" s="85">
        <f t="shared" si="10"/>
        <v>13.692923958865665</v>
      </c>
    </row>
    <row r="37" spans="1:23">
      <c r="A37" t="str">
        <f>'Price Deck'!A31</f>
        <v>05/2021</v>
      </c>
      <c r="B37" s="51" t="e">
        <f>'[1]Oil Production'!#REF!</f>
        <v>#REF!</v>
      </c>
      <c r="C37" s="51">
        <f>'[1]Oil Production'!A33</f>
        <v>27</v>
      </c>
      <c r="D37" s="51">
        <f>'[1]Oil Production'!B33</f>
        <v>61.820802664203661</v>
      </c>
      <c r="E37" s="51">
        <f>'[1]Oil Production'!C33</f>
        <v>1880.3827477028615</v>
      </c>
      <c r="F37" s="51">
        <f>'[1]Oil Production'!D33</f>
        <v>79167.055098726705</v>
      </c>
      <c r="I37" s="51">
        <f t="shared" si="0"/>
        <v>298.95681298411392</v>
      </c>
      <c r="J37" s="133">
        <f>'Price Deck'!F31*$B$2</f>
        <v>407.16194138287085</v>
      </c>
      <c r="K37" s="155">
        <f t="shared" si="3"/>
        <v>0.2103779783818383</v>
      </c>
      <c r="L37" s="1">
        <v>0.1</v>
      </c>
      <c r="M37" s="155">
        <f t="shared" si="4"/>
        <v>0.2103779783818383</v>
      </c>
      <c r="N37" s="155">
        <f t="shared" si="1"/>
        <v>0.21097535713931964</v>
      </c>
      <c r="O37" s="155">
        <f t="shared" si="2"/>
        <v>0.27110438827657413</v>
      </c>
      <c r="Q37" s="51">
        <f t="shared" si="5"/>
        <v>0</v>
      </c>
      <c r="R37" s="155">
        <f t="shared" si="6"/>
        <v>0.2103779783818383</v>
      </c>
      <c r="S37" s="51">
        <f t="shared" si="7"/>
        <v>0.2103779783818383</v>
      </c>
      <c r="T37" s="133">
        <f>'Price Deck'!F31</f>
        <v>64.733542419993796</v>
      </c>
      <c r="U37" s="85">
        <f t="shared" si="8"/>
        <v>121723.83636424768</v>
      </c>
      <c r="V37" s="85">
        <f t="shared" si="9"/>
        <v>25608.014615192122</v>
      </c>
      <c r="W37" s="85">
        <f t="shared" si="10"/>
        <v>13.618511787813269</v>
      </c>
    </row>
    <row r="38" spans="1:23">
      <c r="A38" t="str">
        <f>'Price Deck'!A32</f>
        <v>06/2021</v>
      </c>
      <c r="B38" s="51" t="e">
        <f>'[1]Oil Production'!#REF!</f>
        <v>#REF!</v>
      </c>
      <c r="C38" s="51">
        <f>'[1]Oil Production'!A34</f>
        <v>28</v>
      </c>
      <c r="D38" s="51">
        <f>'[1]Oil Production'!B34</f>
        <v>60.891905033214876</v>
      </c>
      <c r="E38" s="51">
        <f>'[1]Oil Production'!C34</f>
        <v>1852.1287780936193</v>
      </c>
      <c r="F38" s="51">
        <f>'[1]Oil Production'!D34</f>
        <v>81019.183876820331</v>
      </c>
      <c r="I38" s="51">
        <f t="shared" si="0"/>
        <v>294.46479309143632</v>
      </c>
      <c r="J38" s="133">
        <f>'Price Deck'!F32*$B$2</f>
        <v>406.44206524888415</v>
      </c>
      <c r="K38" s="155">
        <f t="shared" si="3"/>
        <v>0.20986686632670776</v>
      </c>
      <c r="L38" s="1">
        <v>0.1</v>
      </c>
      <c r="M38" s="155">
        <f t="shared" si="4"/>
        <v>0.20986686632670776</v>
      </c>
      <c r="N38" s="155">
        <f t="shared" si="1"/>
        <v>0.21069460544706484</v>
      </c>
      <c r="O38" s="155">
        <f t="shared" si="2"/>
        <v>0.2709604130497768</v>
      </c>
      <c r="Q38" s="51">
        <f t="shared" si="5"/>
        <v>0</v>
      </c>
      <c r="R38" s="155">
        <f t="shared" si="6"/>
        <v>0.20986686632670776</v>
      </c>
      <c r="S38" s="51">
        <f t="shared" si="7"/>
        <v>0.20986686632670776</v>
      </c>
      <c r="T38" s="133">
        <f>'Price Deck'!F32</f>
        <v>64.619091319534121</v>
      </c>
      <c r="U38" s="85">
        <f t="shared" si="8"/>
        <v>119682.87864716873</v>
      </c>
      <c r="V38" s="85">
        <f t="shared" si="9"/>
        <v>25117.470694640946</v>
      </c>
      <c r="W38" s="85">
        <f t="shared" si="10"/>
        <v>13.561406200109989</v>
      </c>
    </row>
    <row r="39" spans="1:23">
      <c r="A39" t="str">
        <f>'Price Deck'!A33</f>
        <v>07/2021</v>
      </c>
      <c r="B39" s="51" t="e">
        <f>'[1]Oil Production'!#REF!</f>
        <v>#REF!</v>
      </c>
      <c r="C39" s="51">
        <f>'[1]Oil Production'!A35</f>
        <v>29</v>
      </c>
      <c r="D39" s="51">
        <f>'[1]Oil Production'!B35</f>
        <v>60.008840584260781</v>
      </c>
      <c r="E39" s="51">
        <f>'[1]Oil Production'!C35</f>
        <v>1825.2689011045989</v>
      </c>
      <c r="F39" s="51">
        <f>'[1]Oil Production'!D35</f>
        <v>82844.452777924933</v>
      </c>
      <c r="I39" s="51">
        <f t="shared" si="0"/>
        <v>290.19441609952202</v>
      </c>
      <c r="J39" s="133">
        <f>'Price Deck'!F33*$B$2</f>
        <v>405.4342386613028</v>
      </c>
      <c r="K39" s="155">
        <f t="shared" si="3"/>
        <v>0.20915130944952501</v>
      </c>
      <c r="L39" s="1">
        <v>0.1</v>
      </c>
      <c r="M39" s="155">
        <f t="shared" si="4"/>
        <v>0.20915130944952501</v>
      </c>
      <c r="N39" s="155">
        <f t="shared" si="1"/>
        <v>0.2103015530779081</v>
      </c>
      <c r="O39" s="155">
        <f t="shared" si="2"/>
        <v>0.27075884773226055</v>
      </c>
      <c r="Q39" s="51">
        <f t="shared" si="5"/>
        <v>0</v>
      </c>
      <c r="R39" s="155">
        <f t="shared" si="6"/>
        <v>0.20915130944952501</v>
      </c>
      <c r="S39" s="51">
        <f t="shared" si="7"/>
        <v>0.20915130944952501</v>
      </c>
      <c r="T39" s="133">
        <f>'Price Deck'!F33</f>
        <v>64.45885977889057</v>
      </c>
      <c r="U39" s="85">
        <f t="shared" si="8"/>
        <v>117654.75215507102</v>
      </c>
      <c r="V39" s="85">
        <f t="shared" si="9"/>
        <v>24607.645476192429</v>
      </c>
      <c r="W39" s="85">
        <f t="shared" si="10"/>
        <v>13.481654928378283</v>
      </c>
    </row>
    <row r="40" spans="1:23">
      <c r="A40" t="str">
        <f>'Price Deck'!A34</f>
        <v>08/2021</v>
      </c>
      <c r="B40" s="51" t="e">
        <f>'[1]Oil Production'!#REF!</f>
        <v>#REF!</v>
      </c>
      <c r="C40" s="51">
        <f>'[1]Oil Production'!A36</f>
        <v>30</v>
      </c>
      <c r="D40" s="51">
        <f>'[1]Oil Production'!B36</f>
        <v>59.167880769208764</v>
      </c>
      <c r="E40" s="51">
        <f>'[1]Oil Production'!C36</f>
        <v>1799.6897067300999</v>
      </c>
      <c r="F40" s="51">
        <f>'[1]Oil Production'!D36</f>
        <v>84644.142484655036</v>
      </c>
      <c r="I40" s="51">
        <f t="shared" si="0"/>
        <v>286.12765126760507</v>
      </c>
      <c r="J40" s="133">
        <f>'Price Deck'!F34*$B$2</f>
        <v>404.49839968712013</v>
      </c>
      <c r="K40" s="155">
        <f t="shared" si="3"/>
        <v>0.2084868637778553</v>
      </c>
      <c r="L40" s="1">
        <v>0.1</v>
      </c>
      <c r="M40" s="155">
        <f t="shared" si="4"/>
        <v>0.2084868637778553</v>
      </c>
      <c r="N40" s="155">
        <f t="shared" si="1"/>
        <v>0.20993657587797684</v>
      </c>
      <c r="O40" s="155">
        <f t="shared" si="2"/>
        <v>0.27057167993742398</v>
      </c>
      <c r="Q40" s="51">
        <f t="shared" si="5"/>
        <v>0</v>
      </c>
      <c r="R40" s="155">
        <f t="shared" si="6"/>
        <v>0.2084868637778553</v>
      </c>
      <c r="S40" s="51">
        <f t="shared" si="7"/>
        <v>0.2084868637778553</v>
      </c>
      <c r="T40" s="133">
        <f>'Price Deck'!F34</f>
        <v>64.310073348292988</v>
      </c>
      <c r="U40" s="85">
        <f t="shared" si="8"/>
        <v>115738.17704398063</v>
      </c>
      <c r="V40" s="85">
        <f t="shared" si="9"/>
        <v>24129.889551265689</v>
      </c>
      <c r="W40" s="85">
        <f t="shared" si="10"/>
        <v>13.407805501709444</v>
      </c>
    </row>
    <row r="41" spans="1:23">
      <c r="A41" t="str">
        <f>'Price Deck'!A35</f>
        <v>09/2021</v>
      </c>
      <c r="B41" s="51" t="e">
        <f>'[1]Oil Production'!#REF!</f>
        <v>#REF!</v>
      </c>
      <c r="C41" s="51">
        <f>'[1]Oil Production'!A37</f>
        <v>31</v>
      </c>
      <c r="D41" s="51">
        <f>'[1]Oil Production'!B37</f>
        <v>58.365711942813306</v>
      </c>
      <c r="E41" s="51">
        <f>'[1]Oil Production'!C37</f>
        <v>1775.2904049272381</v>
      </c>
      <c r="F41" s="51">
        <f>'[1]Oil Production'!D37</f>
        <v>86419.432889582269</v>
      </c>
      <c r="I41" s="51">
        <f t="shared" si="0"/>
        <v>282.24847426763944</v>
      </c>
      <c r="J41" s="133">
        <f>'Price Deck'!F35*$B$2</f>
        <v>403.70653593973475</v>
      </c>
      <c r="K41" s="155">
        <f t="shared" si="3"/>
        <v>0.20792464051721168</v>
      </c>
      <c r="L41" s="1">
        <v>0.1</v>
      </c>
      <c r="M41" s="155">
        <f t="shared" si="4"/>
        <v>0.20792464051721168</v>
      </c>
      <c r="N41" s="155">
        <f t="shared" si="1"/>
        <v>0.20962774901649656</v>
      </c>
      <c r="O41" s="155">
        <f t="shared" si="2"/>
        <v>0.27041330718794693</v>
      </c>
      <c r="Q41" s="51">
        <f t="shared" si="5"/>
        <v>0</v>
      </c>
      <c r="R41" s="155">
        <f t="shared" si="6"/>
        <v>0.20792464051721168</v>
      </c>
      <c r="S41" s="51">
        <f t="shared" si="7"/>
        <v>0.20792464051721168</v>
      </c>
      <c r="T41" s="133">
        <f>'Price Deck'!F35</f>
        <v>64.184177137787344</v>
      </c>
      <c r="U41" s="85">
        <f t="shared" si="8"/>
        <v>113945.55382086408</v>
      </c>
      <c r="V41" s="85">
        <f t="shared" si="9"/>
        <v>23692.088316737761</v>
      </c>
      <c r="W41" s="85">
        <f t="shared" si="10"/>
        <v>13.345471958267472</v>
      </c>
    </row>
    <row r="42" spans="1:23">
      <c r="A42" t="str">
        <f>'Price Deck'!A36</f>
        <v>10/2021</v>
      </c>
      <c r="B42" s="51" t="e">
        <f>'[1]Oil Production'!#REF!</f>
        <v>#REF!</v>
      </c>
      <c r="C42" s="51">
        <f>'[1]Oil Production'!A38</f>
        <v>32</v>
      </c>
      <c r="D42" s="51">
        <f>'[1]Oil Production'!B38</f>
        <v>57.599377558929241</v>
      </c>
      <c r="E42" s="51">
        <f>'[1]Oil Production'!C38</f>
        <v>1751.9810674174312</v>
      </c>
      <c r="F42" s="51">
        <f>'[1]Oil Production'!D38</f>
        <v>88171.413956999706</v>
      </c>
      <c r="I42" s="51">
        <f t="shared" si="0"/>
        <v>278.54258765321697</v>
      </c>
      <c r="J42" s="133">
        <f>'Price Deck'!F36*$B$2</f>
        <v>403.05864741914678</v>
      </c>
      <c r="K42" s="155">
        <f t="shared" si="3"/>
        <v>0.20746463966759424</v>
      </c>
      <c r="L42" s="1">
        <v>0.1</v>
      </c>
      <c r="M42" s="155">
        <f t="shared" si="4"/>
        <v>0.20746463966759424</v>
      </c>
      <c r="N42" s="155">
        <f t="shared" si="1"/>
        <v>0.20937507249346726</v>
      </c>
      <c r="O42" s="155">
        <f t="shared" si="2"/>
        <v>0.27028372948382934</v>
      </c>
      <c r="Q42" s="51">
        <f t="shared" si="5"/>
        <v>0</v>
      </c>
      <c r="R42" s="155">
        <f t="shared" si="6"/>
        <v>0.20746463966759424</v>
      </c>
      <c r="S42" s="51">
        <f t="shared" si="7"/>
        <v>0.20746463966759424</v>
      </c>
      <c r="T42" s="133">
        <f>'Price Deck'!F36</f>
        <v>64.081171147373638</v>
      </c>
      <c r="U42" s="85">
        <f t="shared" si="8"/>
        <v>112268.99862813477</v>
      </c>
      <c r="V42" s="85">
        <f t="shared" si="9"/>
        <v>23291.847346227612</v>
      </c>
      <c r="W42" s="85">
        <f t="shared" si="10"/>
        <v>13.29457708156731</v>
      </c>
    </row>
    <row r="43" spans="1:23">
      <c r="A43" t="str">
        <f>'Price Deck'!A37</f>
        <v>11/2021</v>
      </c>
      <c r="B43" s="51" t="e">
        <f>'[1]Oil Production'!#REF!</f>
        <v>#REF!</v>
      </c>
      <c r="C43" s="51">
        <f>'[1]Oil Production'!A39</f>
        <v>33</v>
      </c>
      <c r="D43" s="51">
        <f>'[1]Oil Production'!B39</f>
        <v>56.866229941779373</v>
      </c>
      <c r="E43" s="51">
        <f>'[1]Oil Production'!C39</f>
        <v>1729.6811607291227</v>
      </c>
      <c r="F43" s="51">
        <f>'[1]Oil Production'!D39</f>
        <v>89901.095117728823</v>
      </c>
      <c r="I43" s="51">
        <f t="shared" si="0"/>
        <v>274.99718763211803</v>
      </c>
      <c r="J43" s="133">
        <f>'Price Deck'!F37*$B$2</f>
        <v>402.48274651195737</v>
      </c>
      <c r="K43" s="155">
        <f t="shared" si="3"/>
        <v>0.20705575002348975</v>
      </c>
      <c r="L43" s="1">
        <v>0.1</v>
      </c>
      <c r="M43" s="155">
        <f t="shared" si="4"/>
        <v>0.20705575002348975</v>
      </c>
      <c r="N43" s="155">
        <f t="shared" si="1"/>
        <v>0.20915047113966337</v>
      </c>
      <c r="O43" s="155">
        <f t="shared" si="2"/>
        <v>0.27016854930239143</v>
      </c>
      <c r="Q43" s="51">
        <f t="shared" si="5"/>
        <v>0</v>
      </c>
      <c r="R43" s="155">
        <f t="shared" si="6"/>
        <v>0.20705575002348975</v>
      </c>
      <c r="S43" s="51">
        <f t="shared" si="7"/>
        <v>0.20705575002348975</v>
      </c>
      <c r="T43" s="133">
        <f>'Price Deck'!F37</f>
        <v>63.989610267005887</v>
      </c>
      <c r="U43" s="85">
        <f t="shared" si="8"/>
        <v>110681.62336123893</v>
      </c>
      <c r="V43" s="85">
        <f t="shared" si="9"/>
        <v>22917.266538878732</v>
      </c>
      <c r="W43" s="85">
        <f t="shared" si="10"/>
        <v>13.249416747545705</v>
      </c>
    </row>
    <row r="44" spans="1:23">
      <c r="A44" t="str">
        <f>'Price Deck'!A38</f>
        <v>12/2021</v>
      </c>
      <c r="B44" s="51" t="e">
        <f>'[1]Oil Production'!#REF!</f>
        <v>#REF!</v>
      </c>
      <c r="C44" s="51">
        <f>'[1]Oil Production'!A40</f>
        <v>34</v>
      </c>
      <c r="D44" s="51">
        <f>'[1]Oil Production'!B40</f>
        <v>56.163889809036739</v>
      </c>
      <c r="E44" s="51">
        <f>'[1]Oil Production'!C40</f>
        <v>1708.3183150248676</v>
      </c>
      <c r="F44" s="51">
        <f>'[1]Oil Production'!D40</f>
        <v>91609.413432753689</v>
      </c>
      <c r="I44" s="51">
        <f t="shared" si="0"/>
        <v>271.60076832556064</v>
      </c>
      <c r="J44" s="133">
        <f>'Price Deck'!F38*$B$2</f>
        <v>402.05082083156532</v>
      </c>
      <c r="K44" s="155">
        <f t="shared" si="3"/>
        <v>0.20674908279041138</v>
      </c>
      <c r="L44" s="1">
        <v>0.1</v>
      </c>
      <c r="M44" s="155">
        <f t="shared" si="4"/>
        <v>0.20674908279041138</v>
      </c>
      <c r="N44" s="155">
        <f t="shared" si="1"/>
        <v>0.20898202012431047</v>
      </c>
      <c r="O44" s="155">
        <f t="shared" si="2"/>
        <v>0.27008216416631303</v>
      </c>
      <c r="Q44" s="51">
        <f t="shared" si="5"/>
        <v>0</v>
      </c>
      <c r="R44" s="155">
        <f t="shared" si="6"/>
        <v>0.20674908279041138</v>
      </c>
      <c r="S44" s="51">
        <f t="shared" si="7"/>
        <v>0.20674908279041138</v>
      </c>
      <c r="T44" s="133">
        <f>'Price Deck'!F38</f>
        <v>63.92093960673008</v>
      </c>
      <c r="U44" s="85">
        <f t="shared" si="8"/>
        <v>109197.31184377546</v>
      </c>
      <c r="V44" s="85">
        <f t="shared" si="9"/>
        <v>22576.444066879103</v>
      </c>
      <c r="W44" s="85">
        <f t="shared" si="10"/>
        <v>13.215595634792725</v>
      </c>
    </row>
    <row r="45" spans="1:23">
      <c r="A45" t="str">
        <f>'Price Deck'!A39</f>
        <v>01/2022</v>
      </c>
      <c r="B45" s="51" t="e">
        <f>'[1]Oil Production'!#REF!</f>
        <v>#REF!</v>
      </c>
      <c r="C45" s="51">
        <f>'[1]Oil Production'!A41</f>
        <v>35</v>
      </c>
      <c r="D45" s="51">
        <f>'[1]Oil Production'!B41</f>
        <v>55.490212113213488</v>
      </c>
      <c r="E45" s="51">
        <f>'[1]Oil Production'!C41</f>
        <v>1687.8272851102436</v>
      </c>
      <c r="F45" s="51">
        <f>'[1]Oil Production'!D41</f>
        <v>93297.240717863926</v>
      </c>
      <c r="I45" s="51">
        <f t="shared" si="0"/>
        <v>268.34295658190268</v>
      </c>
      <c r="J45" s="133">
        <f>'Price Deck'!F39*$B$2</f>
        <v>401.04299424398397</v>
      </c>
      <c r="K45" s="155">
        <f t="shared" si="3"/>
        <v>0.20603352591322865</v>
      </c>
      <c r="L45" s="1">
        <v>0.1</v>
      </c>
      <c r="M45" s="155">
        <f t="shared" si="4"/>
        <v>0.20603352591322865</v>
      </c>
      <c r="N45" s="155">
        <f t="shared" si="1"/>
        <v>0.20858896775515376</v>
      </c>
      <c r="O45" s="155">
        <f t="shared" si="2"/>
        <v>0.26988059884879678</v>
      </c>
      <c r="Q45" s="51">
        <f t="shared" si="5"/>
        <v>0</v>
      </c>
      <c r="R45" s="155">
        <f t="shared" si="6"/>
        <v>0.20603352591322865</v>
      </c>
      <c r="S45" s="51">
        <f t="shared" si="7"/>
        <v>0.20603352591322865</v>
      </c>
      <c r="T45" s="133">
        <f>'Price Deck'!F39</f>
        <v>63.760708066086529</v>
      </c>
      <c r="U45" s="85">
        <f t="shared" si="8"/>
        <v>107617.06279188964</v>
      </c>
      <c r="V45" s="85">
        <f t="shared" si="9"/>
        <v>22172.72289543835</v>
      </c>
      <c r="W45" s="85">
        <f t="shared" si="10"/>
        <v>13.136843497579846</v>
      </c>
    </row>
    <row r="46" spans="1:23">
      <c r="A46" t="str">
        <f>'Price Deck'!A40</f>
        <v>02/2022</v>
      </c>
      <c r="B46" s="51" t="e">
        <f>'[1]Oil Production'!#REF!</f>
        <v>#REF!</v>
      </c>
      <c r="C46" s="51">
        <f>'[1]Oil Production'!A42</f>
        <v>36</v>
      </c>
      <c r="D46" s="51">
        <f>'[1]Oil Production'!B42</f>
        <v>54.843257065683815</v>
      </c>
      <c r="E46" s="51">
        <f>'[1]Oil Production'!C42</f>
        <v>1668.1490690812161</v>
      </c>
      <c r="F46" s="51">
        <f>'[1]Oil Production'!D42</f>
        <v>94965.389786945147</v>
      </c>
      <c r="I46" s="51">
        <f t="shared" si="0"/>
        <v>265.21437185284276</v>
      </c>
      <c r="J46" s="133">
        <f>'Price Deck'!F40*$B$2</f>
        <v>400.17914288319992</v>
      </c>
      <c r="K46" s="155">
        <f t="shared" si="3"/>
        <v>0.20542019144707196</v>
      </c>
      <c r="L46" s="1">
        <v>0.1</v>
      </c>
      <c r="M46" s="155">
        <f t="shared" si="4"/>
        <v>0.20542019144707196</v>
      </c>
      <c r="N46" s="155">
        <f t="shared" si="1"/>
        <v>0.20825206572444796</v>
      </c>
      <c r="O46" s="155">
        <f t="shared" si="2"/>
        <v>0.26970782857663994</v>
      </c>
      <c r="Q46" s="51">
        <f t="shared" si="5"/>
        <v>0</v>
      </c>
      <c r="R46" s="155">
        <f t="shared" si="6"/>
        <v>0.20542019144707196</v>
      </c>
      <c r="S46" s="51">
        <f t="shared" si="7"/>
        <v>0.20542019144707196</v>
      </c>
      <c r="T46" s="133">
        <f>'Price Deck'!F40</f>
        <v>63.623366745534916</v>
      </c>
      <c r="U46" s="85">
        <f t="shared" si="8"/>
        <v>106133.26000837688</v>
      </c>
      <c r="V46" s="85">
        <f t="shared" si="9"/>
        <v>21801.914589822645</v>
      </c>
      <c r="W46" s="85">
        <f t="shared" si="10"/>
        <v>13.069524177375055</v>
      </c>
    </row>
    <row r="47" spans="1:23">
      <c r="A47" t="str">
        <f>'Price Deck'!A41</f>
        <v>03/2022</v>
      </c>
      <c r="B47" s="51" t="e">
        <f>'[1]Oil Production'!#REF!</f>
        <v>#REF!</v>
      </c>
      <c r="C47" s="51">
        <f>'[1]Oil Production'!A43</f>
        <v>37</v>
      </c>
      <c r="D47" s="51">
        <f>'[1]Oil Production'!B43</f>
        <v>54.221265437190631</v>
      </c>
      <c r="E47" s="51">
        <f>'[1]Oil Production'!C43</f>
        <v>1649.2301570478817</v>
      </c>
      <c r="F47" s="51">
        <f>'[1]Oil Production'!D43</f>
        <v>96614.619943993035</v>
      </c>
      <c r="I47" s="51">
        <f t="shared" si="0"/>
        <v>262.20650675010131</v>
      </c>
      <c r="J47" s="133">
        <f>'Price Deck'!F41*$B$2</f>
        <v>399.31529152241598</v>
      </c>
      <c r="K47" s="155">
        <f t="shared" si="3"/>
        <v>0.20480685698091536</v>
      </c>
      <c r="L47" s="1">
        <v>0.1</v>
      </c>
      <c r="M47" s="155">
        <f t="shared" si="4"/>
        <v>0.20480685698091536</v>
      </c>
      <c r="N47" s="155">
        <f t="shared" si="1"/>
        <v>0.20791516369374224</v>
      </c>
      <c r="O47" s="155">
        <f t="shared" si="2"/>
        <v>0.26953505830448315</v>
      </c>
      <c r="Q47" s="51">
        <f t="shared" si="5"/>
        <v>0</v>
      </c>
      <c r="R47" s="155">
        <f t="shared" si="6"/>
        <v>0.20480685698091536</v>
      </c>
      <c r="S47" s="51">
        <f t="shared" si="7"/>
        <v>0.20480685698091536</v>
      </c>
      <c r="T47" s="133">
        <f>'Price Deck'!F41</f>
        <v>63.48602542498331</v>
      </c>
      <c r="U47" s="85">
        <f t="shared" si="8"/>
        <v>104703.06768199103</v>
      </c>
      <c r="V47" s="85">
        <f t="shared" si="9"/>
        <v>21443.906208208638</v>
      </c>
      <c r="W47" s="85">
        <f t="shared" si="10"/>
        <v>13.002373329501314</v>
      </c>
    </row>
    <row r="48" spans="1:23">
      <c r="A48" t="str">
        <f>'Price Deck'!A42</f>
        <v>04/2022</v>
      </c>
      <c r="B48" s="51" t="e">
        <f>'[1]Oil Production'!#REF!</f>
        <v>#REF!</v>
      </c>
      <c r="C48" s="51">
        <f>'[1]Oil Production'!A44</f>
        <v>38</v>
      </c>
      <c r="D48" s="51">
        <f>'[1]Oil Production'!B44</f>
        <v>53.622637406960614</v>
      </c>
      <c r="E48" s="51">
        <f>'[1]Oil Production'!C44</f>
        <v>1631.021887795052</v>
      </c>
      <c r="F48" s="51">
        <f>'[1]Oil Production'!D44</f>
        <v>98245.641831788089</v>
      </c>
      <c r="I48" s="51">
        <f t="shared" si="0"/>
        <v>259.31162476268008</v>
      </c>
      <c r="J48" s="133">
        <f>'Price Deck'!F42*$B$2</f>
        <v>398.59541538842927</v>
      </c>
      <c r="K48" s="155">
        <f t="shared" si="3"/>
        <v>0.20429574492578478</v>
      </c>
      <c r="L48" s="1">
        <v>0.1</v>
      </c>
      <c r="M48" s="155">
        <f t="shared" si="4"/>
        <v>0.20429574492578478</v>
      </c>
      <c r="N48" s="155">
        <f t="shared" si="1"/>
        <v>0.20763441200148741</v>
      </c>
      <c r="O48" s="155">
        <f t="shared" si="2"/>
        <v>0.26939108307768583</v>
      </c>
      <c r="Q48" s="51">
        <f t="shared" si="5"/>
        <v>0</v>
      </c>
      <c r="R48" s="155">
        <f t="shared" si="6"/>
        <v>0.20429574492578478</v>
      </c>
      <c r="S48" s="51">
        <f t="shared" si="7"/>
        <v>0.20429574492578478</v>
      </c>
      <c r="T48" s="133">
        <f>'Price Deck'!F42</f>
        <v>63.371574324523628</v>
      </c>
      <c r="U48" s="85">
        <f t="shared" si="8"/>
        <v>103360.42478732897</v>
      </c>
      <c r="V48" s="85">
        <f t="shared" si="9"/>
        <v>21116.094977772922</v>
      </c>
      <c r="W48" s="85">
        <f t="shared" si="10"/>
        <v>12.946542983748291</v>
      </c>
    </row>
    <row r="49" spans="1:23">
      <c r="A49" t="str">
        <f>'Price Deck'!A43</f>
        <v>05/2022</v>
      </c>
      <c r="B49" s="51" t="e">
        <f>'[1]Oil Production'!#REF!</f>
        <v>#REF!</v>
      </c>
      <c r="C49" s="51">
        <f>'[1]Oil Production'!A45</f>
        <v>39</v>
      </c>
      <c r="D49" s="51">
        <f>'[1]Oil Production'!B45</f>
        <v>53.04591437205319</v>
      </c>
      <c r="E49" s="51">
        <f>'[1]Oil Production'!C45</f>
        <v>1613.4798954832845</v>
      </c>
      <c r="F49" s="51">
        <f>'[1]Oil Production'!D45</f>
        <v>99859.121727271369</v>
      </c>
      <c r="I49" s="51">
        <f t="shared" si="0"/>
        <v>256.5226722894007</v>
      </c>
      <c r="J49" s="133">
        <f>'Price Deck'!F43*$B$2</f>
        <v>397.87553925444257</v>
      </c>
      <c r="K49" s="155">
        <f t="shared" si="3"/>
        <v>0.20378463287065424</v>
      </c>
      <c r="L49" s="1">
        <v>0.1</v>
      </c>
      <c r="M49" s="155">
        <f t="shared" si="4"/>
        <v>0.20378463287065424</v>
      </c>
      <c r="N49" s="155">
        <f t="shared" si="1"/>
        <v>0.20735366030923261</v>
      </c>
      <c r="O49" s="155">
        <f t="shared" si="2"/>
        <v>0.26924710785088846</v>
      </c>
      <c r="Q49" s="51">
        <f t="shared" si="5"/>
        <v>0</v>
      </c>
      <c r="R49" s="155">
        <f t="shared" si="6"/>
        <v>0.20378463287065424</v>
      </c>
      <c r="S49" s="51">
        <f t="shared" si="7"/>
        <v>0.20378463287065424</v>
      </c>
      <c r="T49" s="133">
        <f>'Price Deck'!F43</f>
        <v>63.257123224063953</v>
      </c>
      <c r="U49" s="85">
        <f t="shared" si="8"/>
        <v>102064.09656813595</v>
      </c>
      <c r="V49" s="85">
        <f t="shared" si="9"/>
        <v>20799.094448412587</v>
      </c>
      <c r="W49" s="85">
        <f t="shared" si="10"/>
        <v>12.890829632669609</v>
      </c>
    </row>
    <row r="50" spans="1:23">
      <c r="A50" t="str">
        <f>'Price Deck'!A44</f>
        <v>06/2022</v>
      </c>
      <c r="B50" s="51" t="e">
        <f>'[1]Oil Production'!#REF!</f>
        <v>#REF!</v>
      </c>
      <c r="C50" s="51">
        <f>'[1]Oil Production'!A46</f>
        <v>40</v>
      </c>
      <c r="D50" s="51">
        <f>'[1]Oil Production'!B46</f>
        <v>52.489763238489772</v>
      </c>
      <c r="E50" s="51">
        <f>'[1]Oil Production'!C46</f>
        <v>1596.5636318373972</v>
      </c>
      <c r="F50" s="51">
        <f>'[1]Oil Production'!D46</f>
        <v>101455.68535910877</v>
      </c>
      <c r="I50" s="51">
        <f t="shared" si="0"/>
        <v>253.83320267298799</v>
      </c>
      <c r="J50" s="133">
        <f>'Price Deck'!F44*$B$2</f>
        <v>397.44361357405057</v>
      </c>
      <c r="K50" s="155">
        <f t="shared" si="3"/>
        <v>0.20347796563757592</v>
      </c>
      <c r="L50" s="1">
        <v>0.1</v>
      </c>
      <c r="M50" s="155">
        <f t="shared" si="4"/>
        <v>0.20347796563757592</v>
      </c>
      <c r="N50" s="155">
        <f t="shared" si="1"/>
        <v>0.20718520929387974</v>
      </c>
      <c r="O50" s="155">
        <f t="shared" si="2"/>
        <v>0.26916072271481006</v>
      </c>
      <c r="Q50" s="51">
        <f t="shared" si="5"/>
        <v>0</v>
      </c>
      <c r="R50" s="155">
        <f t="shared" si="6"/>
        <v>0.20347796563757592</v>
      </c>
      <c r="S50" s="51">
        <f t="shared" si="7"/>
        <v>0.20347796563757592</v>
      </c>
      <c r="T50" s="133">
        <f>'Price Deck'!F44</f>
        <v>63.188452563788147</v>
      </c>
      <c r="U50" s="85">
        <f t="shared" si="8"/>
        <v>100884.3853154267</v>
      </c>
      <c r="V50" s="85">
        <f t="shared" si="9"/>
        <v>20527.749488580361</v>
      </c>
      <c r="W50" s="85">
        <f t="shared" si="10"/>
        <v>12.857457779466079</v>
      </c>
    </row>
    <row r="51" spans="1:23">
      <c r="A51" t="str">
        <f>'Price Deck'!A45</f>
        <v>07/2022</v>
      </c>
      <c r="B51" s="51" t="e">
        <f>'[1]Oil Production'!#REF!</f>
        <v>#REF!</v>
      </c>
      <c r="C51" s="51">
        <f>'[1]Oil Production'!A47</f>
        <v>41</v>
      </c>
      <c r="D51" s="51">
        <f>'[1]Oil Production'!B47</f>
        <v>51.952962802900331</v>
      </c>
      <c r="E51" s="51">
        <f>'[1]Oil Production'!C47</f>
        <v>1580.2359519215518</v>
      </c>
      <c r="F51" s="51">
        <f>'[1]Oil Production'!D47</f>
        <v>103035.92131103032</v>
      </c>
      <c r="I51" s="51">
        <f t="shared" si="0"/>
        <v>251.23731034360503</v>
      </c>
      <c r="J51" s="133">
        <f>'Price Deck'!F45*$B$2</f>
        <v>396.79572505346255</v>
      </c>
      <c r="K51" s="155">
        <f t="shared" si="3"/>
        <v>0.20301796478795842</v>
      </c>
      <c r="L51" s="1">
        <v>0.1</v>
      </c>
      <c r="M51" s="155">
        <f t="shared" si="4"/>
        <v>0.20301796478795842</v>
      </c>
      <c r="N51" s="155">
        <f t="shared" si="1"/>
        <v>0.20693253277085039</v>
      </c>
      <c r="O51" s="155">
        <f t="shared" si="2"/>
        <v>0.26903114501069247</v>
      </c>
      <c r="Q51" s="51">
        <f t="shared" si="5"/>
        <v>0</v>
      </c>
      <c r="R51" s="155">
        <f t="shared" si="6"/>
        <v>0.20301796478795842</v>
      </c>
      <c r="S51" s="51">
        <f t="shared" si="7"/>
        <v>0.20301796478795842</v>
      </c>
      <c r="T51" s="133">
        <f>'Price Deck'!F45</f>
        <v>63.085446573374433</v>
      </c>
      <c r="U51" s="85">
        <f t="shared" si="8"/>
        <v>99689.890718272538</v>
      </c>
      <c r="V51" s="85">
        <f t="shared" si="9"/>
        <v>20238.838723557677</v>
      </c>
      <c r="W51" s="85">
        <f t="shared" si="10"/>
        <v>12.807478971065963</v>
      </c>
    </row>
    <row r="52" spans="1:23">
      <c r="A52" t="str">
        <f>'Price Deck'!A46</f>
        <v>08/2022</v>
      </c>
      <c r="B52" s="51" t="e">
        <f>'[1]Oil Production'!#REF!</f>
        <v>#REF!</v>
      </c>
      <c r="C52" s="51">
        <f>'[1]Oil Production'!A48</f>
        <v>42</v>
      </c>
      <c r="D52" s="51">
        <f>'[1]Oil Production'!B48</f>
        <v>51.434391903013996</v>
      </c>
      <c r="E52" s="51">
        <f>'[1]Oil Production'!C48</f>
        <v>1564.4627537166757</v>
      </c>
      <c r="F52" s="51">
        <f>'[1]Oil Production'!D48</f>
        <v>104600.38406474701</v>
      </c>
      <c r="I52" s="51">
        <f t="shared" si="0"/>
        <v>248.72957351627181</v>
      </c>
      <c r="J52" s="133">
        <f>'Price Deck'!F46*$B$2</f>
        <v>396.36379937307049</v>
      </c>
      <c r="K52" s="155">
        <f t="shared" si="3"/>
        <v>0.20271129755488007</v>
      </c>
      <c r="L52" s="1">
        <v>0.1</v>
      </c>
      <c r="M52" s="155">
        <f t="shared" si="4"/>
        <v>0.20271129755488007</v>
      </c>
      <c r="N52" s="155">
        <f t="shared" si="1"/>
        <v>0.20676408175549749</v>
      </c>
      <c r="O52" s="155">
        <f t="shared" si="2"/>
        <v>0.26894475987461408</v>
      </c>
      <c r="Q52" s="51">
        <f t="shared" si="5"/>
        <v>0</v>
      </c>
      <c r="R52" s="155">
        <f t="shared" si="6"/>
        <v>0.20271129755488007</v>
      </c>
      <c r="S52" s="51">
        <f t="shared" si="7"/>
        <v>0.20271129755488007</v>
      </c>
      <c r="T52" s="133">
        <f>'Price Deck'!F46</f>
        <v>63.016775913098627</v>
      </c>
      <c r="U52" s="85">
        <f t="shared" si="8"/>
        <v>98587.398775352965</v>
      </c>
      <c r="V52" s="85">
        <f t="shared" si="9"/>
        <v>19984.779528312196</v>
      </c>
      <c r="W52" s="85">
        <f t="shared" si="10"/>
        <v>12.774212413069337</v>
      </c>
    </row>
    <row r="53" spans="1:23">
      <c r="A53" t="str">
        <f>'Price Deck'!A47</f>
        <v>09/2022</v>
      </c>
      <c r="B53" s="51" t="e">
        <f>'[1]Oil Production'!#REF!</f>
        <v>#REF!</v>
      </c>
      <c r="C53" s="51">
        <f>'[1]Oil Production'!A49</f>
        <v>43</v>
      </c>
      <c r="D53" s="51">
        <f>'[1]Oil Production'!B49</f>
        <v>50.933019071192632</v>
      </c>
      <c r="E53" s="51">
        <f>'[1]Oil Production'!C49</f>
        <v>1549.2126634154426</v>
      </c>
      <c r="F53" s="51">
        <f>'[1]Oil Production'!D49</f>
        <v>106149.59672816245</v>
      </c>
      <c r="I53" s="51">
        <f t="shared" si="0"/>
        <v>246.30500415679109</v>
      </c>
      <c r="J53" s="133">
        <f>'Price Deck'!F47*$B$2</f>
        <v>395.93187369267849</v>
      </c>
      <c r="K53" s="155">
        <f t="shared" si="3"/>
        <v>0.20240463032180173</v>
      </c>
      <c r="L53" s="1">
        <v>0.1</v>
      </c>
      <c r="M53" s="155">
        <f t="shared" si="4"/>
        <v>0.20240463032180173</v>
      </c>
      <c r="N53" s="155">
        <f t="shared" si="1"/>
        <v>0.20659563074014461</v>
      </c>
      <c r="O53" s="155">
        <f t="shared" si="2"/>
        <v>0.26885837473853569</v>
      </c>
      <c r="Q53" s="51">
        <f t="shared" si="5"/>
        <v>0</v>
      </c>
      <c r="R53" s="155">
        <f t="shared" si="6"/>
        <v>0.20240463032180173</v>
      </c>
      <c r="S53" s="51">
        <f t="shared" si="7"/>
        <v>0.20240463032180173</v>
      </c>
      <c r="T53" s="133">
        <f>'Price Deck'!F47</f>
        <v>62.94810525282282</v>
      </c>
      <c r="U53" s="85">
        <f t="shared" si="8"/>
        <v>97520.001795681252</v>
      </c>
      <c r="V53" s="85">
        <f t="shared" si="9"/>
        <v>19738.499912436306</v>
      </c>
      <c r="W53" s="85">
        <f t="shared" si="10"/>
        <v>12.740987973155468</v>
      </c>
    </row>
    <row r="54" spans="1:23">
      <c r="A54" t="str">
        <f>'Price Deck'!A48</f>
        <v>10/2022</v>
      </c>
      <c r="B54" s="51" t="e">
        <f>'[1]Oil Production'!#REF!</f>
        <v>#REF!</v>
      </c>
      <c r="C54" s="51">
        <f>'[1]Oil Production'!A50</f>
        <v>44</v>
      </c>
      <c r="D54" s="51">
        <f>'[1]Oil Production'!B50</f>
        <v>50.447893470317936</v>
      </c>
      <c r="E54" s="51">
        <f>'[1]Oil Production'!C50</f>
        <v>1534.4567597221705</v>
      </c>
      <c r="F54" s="51">
        <f>'[1]Oil Production'!D50</f>
        <v>107684.05348788462</v>
      </c>
      <c r="I54" s="51">
        <f t="shared" si="0"/>
        <v>243.95900414895743</v>
      </c>
      <c r="J54" s="133">
        <f>'Price Deck'!F48*$B$2</f>
        <v>395.57193562568517</v>
      </c>
      <c r="K54" s="155">
        <f t="shared" si="3"/>
        <v>0.20214907429423651</v>
      </c>
      <c r="L54" s="1">
        <v>0.1</v>
      </c>
      <c r="M54" s="155">
        <f t="shared" si="4"/>
        <v>0.20214907429423651</v>
      </c>
      <c r="N54" s="155">
        <f t="shared" si="1"/>
        <v>0.20645525489401723</v>
      </c>
      <c r="O54" s="155">
        <f t="shared" si="2"/>
        <v>0.26878638712513703</v>
      </c>
      <c r="Q54" s="51">
        <f t="shared" si="5"/>
        <v>0</v>
      </c>
      <c r="R54" s="155">
        <f t="shared" si="6"/>
        <v>0.20214907429423651</v>
      </c>
      <c r="S54" s="51">
        <f t="shared" si="7"/>
        <v>0.20214907429423651</v>
      </c>
      <c r="T54" s="133">
        <f>'Price Deck'!F48</f>
        <v>62.890879702592983</v>
      </c>
      <c r="U54" s="85">
        <f t="shared" si="8"/>
        <v>96503.335484517651</v>
      </c>
      <c r="V54" s="85">
        <f t="shared" si="9"/>
        <v>19508.059934501391</v>
      </c>
      <c r="W54" s="85">
        <f t="shared" si="10"/>
        <v>12.713333113429361</v>
      </c>
    </row>
    <row r="55" spans="1:23">
      <c r="A55" t="str">
        <f>'Price Deck'!A49</f>
        <v>11/2022</v>
      </c>
      <c r="B55" s="51" t="e">
        <f>'[1]Oil Production'!#REF!</f>
        <v>#REF!</v>
      </c>
      <c r="C55" s="51">
        <f>'[1]Oil Production'!A51</f>
        <v>45</v>
      </c>
      <c r="D55" s="51">
        <f>'[1]Oil Production'!B51</f>
        <v>49.978136927959021</v>
      </c>
      <c r="E55" s="51">
        <f>'[1]Oil Production'!C51</f>
        <v>1520.1683315587536</v>
      </c>
      <c r="F55" s="51">
        <f>'[1]Oil Production'!D51</f>
        <v>109204.22181944338</v>
      </c>
      <c r="I55" s="51">
        <f t="shared" si="0"/>
        <v>241.68732677289879</v>
      </c>
      <c r="J55" s="133">
        <f>'Price Deck'!F49*$B$2</f>
        <v>395.21199755869179</v>
      </c>
      <c r="K55" s="155">
        <f t="shared" si="3"/>
        <v>0.20189351826667118</v>
      </c>
      <c r="L55" s="1">
        <v>0.1</v>
      </c>
      <c r="M55" s="155">
        <f t="shared" si="4"/>
        <v>0.20189351826667118</v>
      </c>
      <c r="N55" s="155">
        <f t="shared" si="1"/>
        <v>0.20631487904788981</v>
      </c>
      <c r="O55" s="155">
        <f t="shared" si="2"/>
        <v>0.26871439951173837</v>
      </c>
      <c r="Q55" s="51">
        <f t="shared" si="5"/>
        <v>0</v>
      </c>
      <c r="R55" s="155">
        <f t="shared" si="6"/>
        <v>0.20189351826667118</v>
      </c>
      <c r="S55" s="51">
        <f t="shared" si="7"/>
        <v>0.20189351826667118</v>
      </c>
      <c r="T55" s="133">
        <f>'Price Deck'!F49</f>
        <v>62.833654152363138</v>
      </c>
      <c r="U55" s="85">
        <f t="shared" si="8"/>
        <v>95517.731198537629</v>
      </c>
      <c r="V55" s="85">
        <f t="shared" si="9"/>
        <v>19284.410808522945</v>
      </c>
      <c r="W55" s="85">
        <f t="shared" si="10"/>
        <v>12.685707502371828</v>
      </c>
    </row>
    <row r="56" spans="1:23">
      <c r="A56" t="str">
        <f>'Price Deck'!A50</f>
        <v>12/2022</v>
      </c>
      <c r="B56" s="51" t="e">
        <f>'[1]Oil Production'!#REF!</f>
        <v>#REF!</v>
      </c>
      <c r="C56" s="51">
        <f>'[1]Oil Production'!A52</f>
        <v>46</v>
      </c>
      <c r="D56" s="51">
        <f>'[1]Oil Production'!B52</f>
        <v>49.522936914620296</v>
      </c>
      <c r="E56" s="51">
        <f>'[1]Oil Production'!C52</f>
        <v>1506.3226644863673</v>
      </c>
      <c r="F56" s="51">
        <f>'[1]Oil Production'!D52</f>
        <v>110710.54448392974</v>
      </c>
      <c r="I56" s="51">
        <f t="shared" si="0"/>
        <v>239.4860427488583</v>
      </c>
      <c r="J56" s="133">
        <f>'Price Deck'!F50*$B$2</f>
        <v>394.70808426490112</v>
      </c>
      <c r="K56" s="155">
        <f t="shared" si="3"/>
        <v>0.20153573982807982</v>
      </c>
      <c r="L56" s="1">
        <v>0.1</v>
      </c>
      <c r="M56" s="155">
        <f t="shared" si="4"/>
        <v>0.20153573982807982</v>
      </c>
      <c r="N56" s="155">
        <f t="shared" si="1"/>
        <v>0.20611835286331145</v>
      </c>
      <c r="O56" s="155">
        <f t="shared" si="2"/>
        <v>0.26861361685298019</v>
      </c>
      <c r="Q56" s="51">
        <f t="shared" si="5"/>
        <v>0</v>
      </c>
      <c r="R56" s="155">
        <f t="shared" si="6"/>
        <v>0.20153573982807982</v>
      </c>
      <c r="S56" s="51">
        <f t="shared" si="7"/>
        <v>0.20153573982807982</v>
      </c>
      <c r="T56" s="133">
        <f>'Price Deck'!F50</f>
        <v>62.753538382041363</v>
      </c>
      <c r="U56" s="85">
        <f t="shared" si="8"/>
        <v>94527.077141584072</v>
      </c>
      <c r="V56" s="85">
        <f t="shared" si="9"/>
        <v>19050.584425515117</v>
      </c>
      <c r="W56" s="85">
        <f t="shared" si="10"/>
        <v>12.647080784654509</v>
      </c>
    </row>
    <row r="57" spans="1:23">
      <c r="A57" t="str">
        <f>'Price Deck'!A51</f>
        <v>01/2023</v>
      </c>
      <c r="B57" s="51" t="e">
        <f>'[1]Oil Production'!#REF!</f>
        <v>#REF!</v>
      </c>
      <c r="C57" s="51">
        <f>'[1]Oil Production'!A53</f>
        <v>47</v>
      </c>
      <c r="D57" s="51">
        <f>'[1]Oil Production'!B53</f>
        <v>49.081540336358316</v>
      </c>
      <c r="E57" s="51">
        <f>'[1]Oil Production'!C53</f>
        <v>1492.8968518975655</v>
      </c>
      <c r="F57" s="51">
        <f>'[1]Oil Production'!D53</f>
        <v>112203.4413358273</v>
      </c>
      <c r="I57" s="51">
        <f t="shared" si="0"/>
        <v>237.35151021915203</v>
      </c>
      <c r="J57" s="133">
        <f>'Price Deck'!F51*$B$2</f>
        <v>394.20417097111039</v>
      </c>
      <c r="K57" s="155">
        <f t="shared" si="3"/>
        <v>0.2011779613894884</v>
      </c>
      <c r="L57" s="1">
        <v>0.1</v>
      </c>
      <c r="M57" s="155">
        <f t="shared" si="4"/>
        <v>0.2011779613894884</v>
      </c>
      <c r="N57" s="155">
        <f t="shared" si="1"/>
        <v>0.20592182667873304</v>
      </c>
      <c r="O57" s="155">
        <f t="shared" si="2"/>
        <v>0.26851283419422206</v>
      </c>
      <c r="Q57" s="51">
        <f t="shared" si="5"/>
        <v>0</v>
      </c>
      <c r="R57" s="155">
        <f t="shared" si="6"/>
        <v>0.2011779613894884</v>
      </c>
      <c r="S57" s="51">
        <f t="shared" si="7"/>
        <v>0.2011779613894884</v>
      </c>
      <c r="T57" s="133">
        <f>'Price Deck'!F51</f>
        <v>62.673422611719587</v>
      </c>
      <c r="U57" s="85">
        <f t="shared" si="8"/>
        <v>93564.955314681865</v>
      </c>
      <c r="V57" s="85">
        <f t="shared" si="9"/>
        <v>18823.206967706275</v>
      </c>
      <c r="W57" s="85">
        <f t="shared" si="10"/>
        <v>12.608511394327612</v>
      </c>
    </row>
    <row r="58" spans="1:23">
      <c r="A58" t="str">
        <f>'Price Deck'!A52</f>
        <v>02/2023</v>
      </c>
      <c r="B58" s="51" t="e">
        <f>'[1]Oil Production'!#REF!</f>
        <v>#REF!</v>
      </c>
      <c r="C58" s="51">
        <f>'[1]Oil Production'!A54</f>
        <v>48</v>
      </c>
      <c r="D58" s="51">
        <f>'[1]Oil Production'!B54</f>
        <v>48.653248032224063</v>
      </c>
      <c r="E58" s="51">
        <f>'[1]Oil Production'!C54</f>
        <v>1479.8696276468154</v>
      </c>
      <c r="F58" s="51">
        <f>'[1]Oil Production'!D54</f>
        <v>113683.31096347411</v>
      </c>
      <c r="I58" s="51">
        <f t="shared" si="0"/>
        <v>235.28034813856425</v>
      </c>
      <c r="J58" s="133">
        <f>'Price Deck'!F52*$B$2</f>
        <v>393.77224529071844</v>
      </c>
      <c r="K58" s="155">
        <f t="shared" si="3"/>
        <v>0.20087129415641011</v>
      </c>
      <c r="L58" s="1">
        <v>0.1</v>
      </c>
      <c r="M58" s="155">
        <f t="shared" si="4"/>
        <v>0.20087129415641011</v>
      </c>
      <c r="N58" s="155">
        <f t="shared" si="1"/>
        <v>0.2057533756633802</v>
      </c>
      <c r="O58" s="155">
        <f t="shared" si="2"/>
        <v>0.26842644905814367</v>
      </c>
      <c r="Q58" s="51">
        <f t="shared" si="5"/>
        <v>0</v>
      </c>
      <c r="R58" s="155">
        <f t="shared" si="6"/>
        <v>0.20087129415641011</v>
      </c>
      <c r="S58" s="51">
        <f t="shared" si="7"/>
        <v>0.20087129415641011</v>
      </c>
      <c r="T58" s="133">
        <f>'Price Deck'!F52</f>
        <v>62.604751951443788</v>
      </c>
      <c r="U58" s="85">
        <f t="shared" si="8"/>
        <v>92646.87095930436</v>
      </c>
      <c r="V58" s="85">
        <f t="shared" si="9"/>
        <v>18610.096869137396</v>
      </c>
      <c r="W58" s="85">
        <f t="shared" si="10"/>
        <v>12.575497544827556</v>
      </c>
    </row>
    <row r="59" spans="1:23">
      <c r="A59" t="str">
        <f>'Price Deck'!A53</f>
        <v>03/2023</v>
      </c>
      <c r="B59" s="51" t="e">
        <f>'[1]Oil Production'!#REF!</f>
        <v>#REF!</v>
      </c>
      <c r="C59" s="51">
        <f>'[1]Oil Production'!A55</f>
        <v>49</v>
      </c>
      <c r="D59" s="51">
        <f>'[1]Oil Production'!B55</f>
        <v>48.23740988366928</v>
      </c>
      <c r="E59" s="51">
        <f>'[1]Oil Production'!C55</f>
        <v>1467.2212172949407</v>
      </c>
      <c r="F59" s="51">
        <f>'[1]Oil Production'!D55</f>
        <v>115150.53218076905</v>
      </c>
      <c r="I59" s="51">
        <f t="shared" si="0"/>
        <v>233.26941262411589</v>
      </c>
      <c r="J59" s="133">
        <f>'Price Deck'!F53*$B$2</f>
        <v>393.41230722372512</v>
      </c>
      <c r="K59" s="155">
        <f t="shared" si="3"/>
        <v>0.20061573812884487</v>
      </c>
      <c r="L59" s="1">
        <v>0.1</v>
      </c>
      <c r="M59" s="155">
        <f t="shared" si="4"/>
        <v>0.20061573812884487</v>
      </c>
      <c r="N59" s="155">
        <f t="shared" si="1"/>
        <v>0.20561299981725281</v>
      </c>
      <c r="O59" s="155">
        <f t="shared" si="2"/>
        <v>0.26835446144474501</v>
      </c>
      <c r="Q59" s="51">
        <f t="shared" si="5"/>
        <v>0</v>
      </c>
      <c r="R59" s="155">
        <f t="shared" si="6"/>
        <v>0.20061573812884487</v>
      </c>
      <c r="S59" s="51">
        <f t="shared" si="7"/>
        <v>0.20061573812884487</v>
      </c>
      <c r="T59" s="133">
        <f>'Price Deck'!F53</f>
        <v>62.54752640121395</v>
      </c>
      <c r="U59" s="85">
        <f t="shared" si="8"/>
        <v>91771.057825176584</v>
      </c>
      <c r="V59" s="85">
        <f t="shared" si="9"/>
        <v>18410.718504462704</v>
      </c>
      <c r="W59" s="85">
        <f t="shared" si="10"/>
        <v>12.548018177112949</v>
      </c>
    </row>
    <row r="60" spans="1:23">
      <c r="A60" t="str">
        <f>'Price Deck'!A54</f>
        <v>04/2023</v>
      </c>
      <c r="B60" s="51" t="e">
        <f>'[1]Oil Production'!#REF!</f>
        <v>#REF!</v>
      </c>
      <c r="C60" s="51">
        <f>'[1]Oil Production'!A56</f>
        <v>50</v>
      </c>
      <c r="D60" s="51">
        <f>'[1]Oil Production'!B56</f>
        <v>47.833420456912485</v>
      </c>
      <c r="E60" s="51">
        <f>'[1]Oil Production'!C56</f>
        <v>1454.9332055644215</v>
      </c>
      <c r="F60" s="51">
        <f>'[1]Oil Production'!D56</f>
        <v>116605.46538633347</v>
      </c>
      <c r="I60" s="51">
        <f t="shared" si="0"/>
        <v>231.31577588215194</v>
      </c>
      <c r="J60" s="133">
        <f>'Price Deck'!F54*$B$2</f>
        <v>393.12435677013048</v>
      </c>
      <c r="K60" s="155">
        <f t="shared" si="3"/>
        <v>0.20041129330679264</v>
      </c>
      <c r="L60" s="1">
        <v>0.1</v>
      </c>
      <c r="M60" s="155">
        <f t="shared" si="4"/>
        <v>0.20041129330679264</v>
      </c>
      <c r="N60" s="155">
        <f t="shared" si="1"/>
        <v>0.20550069914035088</v>
      </c>
      <c r="O60" s="155">
        <f t="shared" si="2"/>
        <v>0.26829687135402608</v>
      </c>
      <c r="Q60" s="51">
        <f t="shared" si="5"/>
        <v>0</v>
      </c>
      <c r="R60" s="155">
        <f t="shared" si="6"/>
        <v>0.20041129330679264</v>
      </c>
      <c r="S60" s="51">
        <f t="shared" si="7"/>
        <v>0.20041129330679264</v>
      </c>
      <c r="T60" s="133">
        <f>'Price Deck'!F54</f>
        <v>62.501745961030082</v>
      </c>
      <c r="U60" s="85">
        <f t="shared" si="8"/>
        <v>90935.865604454637</v>
      </c>
      <c r="V60" s="85">
        <f t="shared" si="9"/>
        <v>18224.574433761434</v>
      </c>
      <c r="W60" s="85">
        <f t="shared" si="10"/>
        <v>12.526055741982642</v>
      </c>
    </row>
    <row r="61" spans="1:23">
      <c r="A61" t="str">
        <f>'Price Deck'!A55</f>
        <v>05/2023</v>
      </c>
      <c r="B61" s="51" t="e">
        <f>'[1]Oil Production'!#REF!</f>
        <v>#REF!</v>
      </c>
      <c r="C61" s="51">
        <f>'[1]Oil Production'!A57</f>
        <v>51</v>
      </c>
      <c r="D61" s="51">
        <f>'[1]Oil Production'!B57</f>
        <v>47.440715110817322</v>
      </c>
      <c r="E61" s="51">
        <f>'[1]Oil Production'!C57</f>
        <v>1442.988417954027</v>
      </c>
      <c r="F61" s="51">
        <f>'[1]Oil Production'!D57</f>
        <v>118048.45380428749</v>
      </c>
      <c r="I61" s="51">
        <f t="shared" si="0"/>
        <v>229.41670738658203</v>
      </c>
      <c r="J61" s="133">
        <f>'Price Deck'!F55*$B$2</f>
        <v>392.90839392993445</v>
      </c>
      <c r="K61" s="155">
        <f t="shared" si="3"/>
        <v>0.20025795969025348</v>
      </c>
      <c r="L61" s="1">
        <v>0.1</v>
      </c>
      <c r="M61" s="155">
        <f t="shared" si="4"/>
        <v>0.20025795969025348</v>
      </c>
      <c r="N61" s="155">
        <f t="shared" si="1"/>
        <v>0.20541647363267443</v>
      </c>
      <c r="O61" s="155">
        <f t="shared" si="2"/>
        <v>0.26825367878598688</v>
      </c>
      <c r="Q61" s="51">
        <f t="shared" si="5"/>
        <v>0</v>
      </c>
      <c r="R61" s="155">
        <f t="shared" si="6"/>
        <v>0.20025795969025348</v>
      </c>
      <c r="S61" s="51">
        <f t="shared" si="7"/>
        <v>0.20025795969025348</v>
      </c>
      <c r="T61" s="133">
        <f>'Price Deck'!F55</f>
        <v>62.467410630892175</v>
      </c>
      <c r="U61" s="85">
        <f t="shared" si="8"/>
        <v>90139.750039955674</v>
      </c>
      <c r="V61" s="85">
        <f t="shared" si="9"/>
        <v>18051.202429990968</v>
      </c>
      <c r="W61" s="85">
        <f t="shared" si="10"/>
        <v>12.509596200075718</v>
      </c>
    </row>
    <row r="62" spans="1:23">
      <c r="A62" t="str">
        <f>'Price Deck'!A56</f>
        <v>06/2023</v>
      </c>
      <c r="B62" s="51" t="e">
        <f>'[1]Oil Production'!#REF!</f>
        <v>#REF!</v>
      </c>
      <c r="C62" s="51">
        <f>'[1]Oil Production'!A58</f>
        <v>52</v>
      </c>
      <c r="D62" s="51">
        <f>'[1]Oil Production'!B58</f>
        <v>47.058766512510793</v>
      </c>
      <c r="E62" s="51">
        <f>'[1]Oil Production'!C58</f>
        <v>1431.3708147555367</v>
      </c>
      <c r="F62" s="51">
        <f>'[1]Oil Production'!D58</f>
        <v>119479.82461904302</v>
      </c>
      <c r="I62" s="51">
        <f t="shared" si="0"/>
        <v>227.56965702889414</v>
      </c>
      <c r="J62" s="133">
        <f>'Price Deck'!F56*$B$2</f>
        <v>392.69243108973842</v>
      </c>
      <c r="K62" s="155">
        <f t="shared" si="3"/>
        <v>0.20010462607371429</v>
      </c>
      <c r="L62" s="1">
        <v>0.1</v>
      </c>
      <c r="M62" s="155">
        <f t="shared" si="4"/>
        <v>0.20010462607371429</v>
      </c>
      <c r="N62" s="155">
        <f t="shared" si="1"/>
        <v>0.20533224812499798</v>
      </c>
      <c r="O62" s="155">
        <f t="shared" si="2"/>
        <v>0.26821048621794763</v>
      </c>
      <c r="Q62" s="51">
        <f t="shared" si="5"/>
        <v>0</v>
      </c>
      <c r="R62" s="155">
        <f t="shared" si="6"/>
        <v>0.20010462607371429</v>
      </c>
      <c r="S62" s="51">
        <f t="shared" si="7"/>
        <v>0.20010462607371429</v>
      </c>
      <c r="T62" s="133">
        <f>'Price Deck'!F56</f>
        <v>62.433075300754268</v>
      </c>
      <c r="U62" s="85">
        <f t="shared" si="8"/>
        <v>89364.881860934416</v>
      </c>
      <c r="V62" s="85">
        <f t="shared" si="9"/>
        <v>17882.326268903933</v>
      </c>
      <c r="W62" s="85">
        <f t="shared" si="10"/>
        <v>12.49314718768948</v>
      </c>
    </row>
    <row r="63" spans="1:23">
      <c r="A63" t="str">
        <f>'Price Deck'!A57</f>
        <v>07/2023</v>
      </c>
      <c r="B63" s="51" t="e">
        <f>'[1]Oil Production'!#REF!</f>
        <v>#REF!</v>
      </c>
      <c r="C63" s="51">
        <f>'[1]Oil Production'!A59</f>
        <v>53</v>
      </c>
      <c r="D63" s="51">
        <f>'[1]Oil Production'!B59</f>
        <v>46.687081511099564</v>
      </c>
      <c r="E63" s="51">
        <f>'[1]Oil Production'!C59</f>
        <v>1420.0653959626118</v>
      </c>
      <c r="F63" s="51">
        <f>'[1]Oil Production'!D59</f>
        <v>120899.89001500563</v>
      </c>
      <c r="I63" s="51">
        <f t="shared" si="0"/>
        <v>225.77223999988104</v>
      </c>
      <c r="J63" s="133">
        <f>'Price Deck'!F57*$B$2</f>
        <v>392.47646824954239</v>
      </c>
      <c r="K63" s="155">
        <f t="shared" si="3"/>
        <v>0.19995129245717513</v>
      </c>
      <c r="L63" s="1">
        <v>0.1</v>
      </c>
      <c r="M63" s="155">
        <f t="shared" si="4"/>
        <v>0.19995129245717513</v>
      </c>
      <c r="N63" s="155">
        <f t="shared" si="1"/>
        <v>0.20524802261732153</v>
      </c>
      <c r="O63" s="155">
        <f t="shared" si="2"/>
        <v>0.26816729364990843</v>
      </c>
      <c r="Q63" s="51">
        <f t="shared" si="5"/>
        <v>0</v>
      </c>
      <c r="R63" s="155">
        <f t="shared" si="6"/>
        <v>0.19995129245717513</v>
      </c>
      <c r="S63" s="51">
        <f t="shared" si="7"/>
        <v>0.19995129245717513</v>
      </c>
      <c r="T63" s="133">
        <f>'Price Deck'!F57</f>
        <v>62.398739970616369</v>
      </c>
      <c r="U63" s="85">
        <f t="shared" si="8"/>
        <v>88610.291383941381</v>
      </c>
      <c r="V63" s="85">
        <f t="shared" si="9"/>
        <v>17717.74228722597</v>
      </c>
      <c r="W63" s="85">
        <f t="shared" si="10"/>
        <v>12.476708704823938</v>
      </c>
    </row>
    <row r="64" spans="1:23">
      <c r="A64" t="str">
        <f>'Price Deck'!A58</f>
        <v>08/2023</v>
      </c>
      <c r="B64" s="51" t="e">
        <f>'[1]Oil Production'!#REF!</f>
        <v>#REF!</v>
      </c>
      <c r="C64" s="51">
        <f>'[1]Oil Production'!A60</f>
        <v>54</v>
      </c>
      <c r="D64" s="51">
        <f>'[1]Oil Production'!B60</f>
        <v>46.325198326697745</v>
      </c>
      <c r="E64" s="51">
        <f>'[1]Oil Production'!C60</f>
        <v>1409.0581157703898</v>
      </c>
      <c r="F64" s="51">
        <f>'[1]Oil Production'!D60</f>
        <v>122308.94813077601</v>
      </c>
      <c r="I64" s="51">
        <f t="shared" si="0"/>
        <v>224.02222319616922</v>
      </c>
      <c r="J64" s="133">
        <f>'Price Deck'!F58*$B$2</f>
        <v>392.26050540934642</v>
      </c>
      <c r="K64" s="155">
        <f t="shared" si="3"/>
        <v>0.19979795884063598</v>
      </c>
      <c r="L64" s="1">
        <v>0.1</v>
      </c>
      <c r="M64" s="155">
        <f t="shared" si="4"/>
        <v>0.19979795884063598</v>
      </c>
      <c r="N64" s="155">
        <f t="shared" si="1"/>
        <v>0.20516379710964511</v>
      </c>
      <c r="O64" s="155">
        <f t="shared" si="2"/>
        <v>0.26812410108186924</v>
      </c>
      <c r="Q64" s="51">
        <f t="shared" si="5"/>
        <v>0</v>
      </c>
      <c r="R64" s="155">
        <f t="shared" si="6"/>
        <v>0.19979795884063598</v>
      </c>
      <c r="S64" s="51">
        <f t="shared" si="7"/>
        <v>0.19979795884063598</v>
      </c>
      <c r="T64" s="133">
        <f>'Price Deck'!F58</f>
        <v>62.364404640478469</v>
      </c>
      <c r="U64" s="85">
        <f t="shared" si="8"/>
        <v>87875.070493854742</v>
      </c>
      <c r="V64" s="85">
        <f t="shared" si="9"/>
        <v>17557.259717649176</v>
      </c>
      <c r="W64" s="85">
        <f t="shared" si="10"/>
        <v>12.460280751479084</v>
      </c>
    </row>
    <row r="65" spans="1:23">
      <c r="A65" t="str">
        <f>'Price Deck'!A59</f>
        <v>09/2023</v>
      </c>
      <c r="B65" s="51" t="e">
        <f>'[1]Oil Production'!#REF!</f>
        <v>#REF!</v>
      </c>
      <c r="C65" s="51">
        <f>'[1]Oil Production'!A61</f>
        <v>55</v>
      </c>
      <c r="D65" s="51">
        <f>'[1]Oil Production'!B61</f>
        <v>45.972684017781383</v>
      </c>
      <c r="E65" s="51">
        <f>'[1]Oil Production'!C61</f>
        <v>1398.3358055408505</v>
      </c>
      <c r="F65" s="51">
        <f>'[1]Oil Production'!D61</f>
        <v>123707.28393631686</v>
      </c>
      <c r="I65" s="51">
        <f t="shared" si="0"/>
        <v>222.3175129726969</v>
      </c>
      <c r="J65" s="133">
        <f>'Price Deck'!F59*$B$2</f>
        <v>392.26050540934642</v>
      </c>
      <c r="K65" s="155">
        <f t="shared" si="3"/>
        <v>0.19979795884063598</v>
      </c>
      <c r="L65" s="1">
        <v>0.1</v>
      </c>
      <c r="M65" s="155">
        <f t="shared" si="4"/>
        <v>0.19979795884063598</v>
      </c>
      <c r="N65" s="155">
        <f t="shared" si="1"/>
        <v>0.20516379710964511</v>
      </c>
      <c r="O65" s="155">
        <f t="shared" si="2"/>
        <v>0.26812410108186924</v>
      </c>
      <c r="Q65" s="51">
        <f t="shared" si="5"/>
        <v>0</v>
      </c>
      <c r="R65" s="155">
        <f t="shared" si="6"/>
        <v>0.19979795884063598</v>
      </c>
      <c r="S65" s="51">
        <f t="shared" si="7"/>
        <v>0.19979795884063598</v>
      </c>
      <c r="T65" s="133">
        <f>'Price Deck'!F59</f>
        <v>62.364404640478469</v>
      </c>
      <c r="U65" s="85">
        <f t="shared" si="8"/>
        <v>87206.380000019009</v>
      </c>
      <c r="V65" s="85">
        <f t="shared" si="9"/>
        <v>17423.656721884658</v>
      </c>
      <c r="W65" s="85">
        <f t="shared" si="10"/>
        <v>12.460280751479083</v>
      </c>
    </row>
    <row r="66" spans="1:23">
      <c r="A66" t="str">
        <f>'Price Deck'!A60</f>
        <v>10/2023</v>
      </c>
      <c r="B66" s="51" t="e">
        <f>'[1]Oil Production'!#REF!</f>
        <v>#REF!</v>
      </c>
      <c r="C66" s="51">
        <f>'[1]Oil Production'!A62</f>
        <v>56</v>
      </c>
      <c r="D66" s="51">
        <f>'[1]Oil Production'!B62</f>
        <v>45.629132194808591</v>
      </c>
      <c r="E66" s="51">
        <f>'[1]Oil Production'!C62</f>
        <v>1387.8861042587614</v>
      </c>
      <c r="F66" s="51">
        <f>'[1]Oil Production'!D62</f>
        <v>125095.17004057563</v>
      </c>
      <c r="I66" s="51">
        <f t="shared" si="0"/>
        <v>220.65614408609881</v>
      </c>
      <c r="J66" s="133">
        <f>'Price Deck'!F60*$B$2</f>
        <v>392.26050540934642</v>
      </c>
      <c r="K66" s="155">
        <f t="shared" si="3"/>
        <v>0.19979795884063598</v>
      </c>
      <c r="L66" s="1">
        <v>0.1</v>
      </c>
      <c r="M66" s="155">
        <f t="shared" si="4"/>
        <v>0.19979795884063598</v>
      </c>
      <c r="N66" s="155">
        <f t="shared" si="1"/>
        <v>0.20516379710964511</v>
      </c>
      <c r="O66" s="155">
        <f t="shared" si="2"/>
        <v>0.26812410108186924</v>
      </c>
      <c r="Q66" s="51">
        <f t="shared" si="5"/>
        <v>0</v>
      </c>
      <c r="R66" s="155">
        <f t="shared" si="6"/>
        <v>0.19979795884063598</v>
      </c>
      <c r="S66" s="51">
        <f t="shared" si="7"/>
        <v>0.19979795884063598</v>
      </c>
      <c r="T66" s="133">
        <f>'Price Deck'!F60</f>
        <v>62.364404640478469</v>
      </c>
      <c r="U66" s="85">
        <f t="shared" si="8"/>
        <v>86554.690600890681</v>
      </c>
      <c r="V66" s="85">
        <f t="shared" si="9"/>
        <v>17293.450510140738</v>
      </c>
      <c r="W66" s="85">
        <f t="shared" si="10"/>
        <v>12.460280751479084</v>
      </c>
    </row>
    <row r="67" spans="1:23">
      <c r="A67" t="str">
        <f>'Price Deck'!A61</f>
        <v>11/2023</v>
      </c>
      <c r="B67" s="51" t="e">
        <f>'[1]Oil Production'!#REF!</f>
        <v>#REF!</v>
      </c>
      <c r="C67" s="51">
        <f>'[1]Oil Production'!A63</f>
        <v>57</v>
      </c>
      <c r="D67" s="51">
        <f>'[1]Oil Production'!B63</f>
        <v>45.29416095223808</v>
      </c>
      <c r="E67" s="51">
        <f>'[1]Oil Production'!C63</f>
        <v>1377.6973956305751</v>
      </c>
      <c r="F67" s="51">
        <f>'[1]Oil Production'!D63</f>
        <v>126472.8674362062</v>
      </c>
      <c r="I67" s="51">
        <f t="shared" si="0"/>
        <v>219.03626969423502</v>
      </c>
      <c r="J67" s="133">
        <f>'Price Deck'!F61*$B$2</f>
        <v>392.33249302274504</v>
      </c>
      <c r="K67" s="155">
        <f t="shared" si="3"/>
        <v>0.19984907004614899</v>
      </c>
      <c r="L67" s="1">
        <v>0.1</v>
      </c>
      <c r="M67" s="155">
        <f t="shared" si="4"/>
        <v>0.19984907004614899</v>
      </c>
      <c r="N67" s="155">
        <f t="shared" si="1"/>
        <v>0.20519187227887056</v>
      </c>
      <c r="O67" s="155">
        <f t="shared" si="2"/>
        <v>0.26813849860454897</v>
      </c>
      <c r="Q67" s="51">
        <f t="shared" si="5"/>
        <v>0</v>
      </c>
      <c r="R67" s="155">
        <f t="shared" si="6"/>
        <v>0.19984907004614899</v>
      </c>
      <c r="S67" s="51">
        <f t="shared" si="7"/>
        <v>0.19984907004614899</v>
      </c>
      <c r="T67" s="133">
        <f>'Price Deck'!F61</f>
        <v>62.375849750524431</v>
      </c>
      <c r="U67" s="85">
        <f t="shared" si="8"/>
        <v>85935.045751541562</v>
      </c>
      <c r="V67" s="85">
        <f t="shared" si="9"/>
        <v>17174.038977818847</v>
      </c>
      <c r="W67" s="85">
        <f t="shared" si="10"/>
        <v>12.46575556598062</v>
      </c>
    </row>
    <row r="68" spans="1:23">
      <c r="A68" t="str">
        <f>'Price Deck'!A62</f>
        <v>12/2023</v>
      </c>
      <c r="B68" s="51" t="e">
        <f>'[1]Oil Production'!#REF!</f>
        <v>#REF!</v>
      </c>
      <c r="C68" s="51">
        <f>'[1]Oil Production'!A64</f>
        <v>58</v>
      </c>
      <c r="D68" s="51">
        <f>'[1]Oil Production'!B64</f>
        <v>44.967410994660838</v>
      </c>
      <c r="E68" s="51">
        <f>'[1]Oil Production'!C64</f>
        <v>1367.7587510876006</v>
      </c>
      <c r="F68" s="51">
        <f>'[1]Oil Production'!D64</f>
        <v>127840.6261872938</v>
      </c>
      <c r="I68" s="51">
        <f t="shared" si="0"/>
        <v>217.45615229442407</v>
      </c>
      <c r="J68" s="133">
        <f>'Price Deck'!F62*$B$2</f>
        <v>392.26050540934642</v>
      </c>
      <c r="K68" s="155">
        <f t="shared" si="3"/>
        <v>0.19979795884063598</v>
      </c>
      <c r="L68" s="1">
        <v>0.1</v>
      </c>
      <c r="M68" s="155">
        <f t="shared" si="4"/>
        <v>0.19979795884063598</v>
      </c>
      <c r="N68" s="155">
        <f t="shared" si="1"/>
        <v>0.20516379710964511</v>
      </c>
      <c r="O68" s="155">
        <f t="shared" si="2"/>
        <v>0.26812410108186924</v>
      </c>
      <c r="Q68" s="51">
        <f t="shared" si="5"/>
        <v>0</v>
      </c>
      <c r="R68" s="155">
        <f t="shared" si="6"/>
        <v>0.19979795884063598</v>
      </c>
      <c r="S68" s="51">
        <f t="shared" si="7"/>
        <v>0.19979795884063598</v>
      </c>
      <c r="T68" s="133">
        <f>'Price Deck'!F62</f>
        <v>62.364404640478469</v>
      </c>
      <c r="U68" s="85">
        <f t="shared" si="8"/>
        <v>85299.460203382594</v>
      </c>
      <c r="V68" s="85">
        <f t="shared" si="9"/>
        <v>17042.658038843903</v>
      </c>
      <c r="W68" s="85">
        <f t="shared" si="10"/>
        <v>12.460280751479086</v>
      </c>
    </row>
    <row r="69" spans="1:23">
      <c r="A69" t="str">
        <f>'Price Deck'!A63</f>
        <v>01/2024</v>
      </c>
      <c r="B69" s="51" t="e">
        <f>'[1]Oil Production'!#REF!</f>
        <v>#REF!</v>
      </c>
      <c r="C69" s="51">
        <f>'[1]Oil Production'!A65</f>
        <v>59</v>
      </c>
      <c r="D69" s="51">
        <f>'[1]Oil Production'!B65</f>
        <v>44.648543935827298</v>
      </c>
      <c r="E69" s="51">
        <f>'[1]Oil Production'!C65</f>
        <v>1358.0598780480805</v>
      </c>
      <c r="F69" s="51">
        <f>'[1]Oil Production'!D65</f>
        <v>129198.68606534188</v>
      </c>
      <c r="I69" s="51">
        <f t="shared" si="0"/>
        <v>215.91415549777474</v>
      </c>
      <c r="J69" s="133">
        <f>'Price Deck'!F63*$B$2</f>
        <v>392.11653018254901</v>
      </c>
      <c r="K69" s="155">
        <f t="shared" si="3"/>
        <v>0.1996957364296098</v>
      </c>
      <c r="L69" s="1">
        <v>0.1</v>
      </c>
      <c r="M69" s="155">
        <f t="shared" si="4"/>
        <v>0.1996957364296098</v>
      </c>
      <c r="N69" s="155">
        <f t="shared" si="1"/>
        <v>0.20510764677119411</v>
      </c>
      <c r="O69" s="155">
        <f t="shared" si="2"/>
        <v>0.26809530603650977</v>
      </c>
      <c r="Q69" s="51">
        <f t="shared" si="5"/>
        <v>0</v>
      </c>
      <c r="R69" s="155">
        <f t="shared" si="6"/>
        <v>0.1996957364296098</v>
      </c>
      <c r="S69" s="51">
        <f t="shared" si="7"/>
        <v>0.1996957364296098</v>
      </c>
      <c r="T69" s="133">
        <f>'Price Deck'!F63</f>
        <v>62.341514420386524</v>
      </c>
      <c r="U69" s="85">
        <f t="shared" si="8"/>
        <v>84663.509471082769</v>
      </c>
      <c r="V69" s="85">
        <f t="shared" si="9"/>
        <v>16906.941872543117</v>
      </c>
      <c r="W69" s="85">
        <f t="shared" si="10"/>
        <v>12.449334632316225</v>
      </c>
    </row>
    <row r="70" spans="1:23">
      <c r="A70" t="str">
        <f>'Price Deck'!A64</f>
        <v>02/2024</v>
      </c>
      <c r="B70" s="51" t="e">
        <f>'[1]Oil Production'!#REF!</f>
        <v>#REF!</v>
      </c>
      <c r="C70" s="51">
        <f>'[1]Oil Production'!A66</f>
        <v>60</v>
      </c>
      <c r="D70" s="51">
        <f>'[1]Oil Production'!B66</f>
        <v>44.337240751989029</v>
      </c>
      <c r="E70" s="51">
        <f>'[1]Oil Production'!C66</f>
        <v>1348.5910728729996</v>
      </c>
      <c r="F70" s="51">
        <f>'[1]Oil Production'!D66</f>
        <v>130547.27713821488</v>
      </c>
      <c r="I70" s="51">
        <f t="shared" si="0"/>
        <v>214.40873654976119</v>
      </c>
      <c r="J70" s="133">
        <f>'Price Deck'!F64*$B$2</f>
        <v>391.82857972895437</v>
      </c>
      <c r="K70" s="155">
        <f t="shared" si="3"/>
        <v>0.19949129160755763</v>
      </c>
      <c r="L70" s="1">
        <v>0.1</v>
      </c>
      <c r="M70" s="155">
        <f t="shared" si="4"/>
        <v>0.19949129160755763</v>
      </c>
      <c r="N70" s="155">
        <f t="shared" si="1"/>
        <v>0.20499534609429221</v>
      </c>
      <c r="O70" s="155">
        <f t="shared" si="2"/>
        <v>0.26803771594579084</v>
      </c>
      <c r="Q70" s="51">
        <f t="shared" si="5"/>
        <v>0</v>
      </c>
      <c r="R70" s="155">
        <f t="shared" si="6"/>
        <v>0.19949129160755763</v>
      </c>
      <c r="S70" s="51">
        <f t="shared" si="7"/>
        <v>0.19949129160755763</v>
      </c>
      <c r="T70" s="133">
        <f>'Price Deck'!F64</f>
        <v>62.295733980202655</v>
      </c>
      <c r="U70" s="85">
        <f t="shared" si="8"/>
        <v>84011.47072377248</v>
      </c>
      <c r="V70" s="85">
        <f t="shared" si="9"/>
        <v>16759.556804535885</v>
      </c>
      <c r="W70" s="85">
        <f t="shared" si="10"/>
        <v>12.427456433351445</v>
      </c>
    </row>
    <row r="71" spans="1:23">
      <c r="A71" t="str">
        <f>'Price Deck'!A65</f>
        <v>03/2024</v>
      </c>
      <c r="B71" s="51" t="e">
        <f>'[1]Oil Production'!#REF!</f>
        <v>#REF!</v>
      </c>
      <c r="C71" s="51">
        <f>'[1]Oil Production'!A67</f>
        <v>61</v>
      </c>
      <c r="D71" s="51">
        <f>'[1]Oil Production'!B67</f>
        <v>44.033200373243048</v>
      </c>
      <c r="E71" s="51">
        <f>'[1]Oil Production'!C67</f>
        <v>1339.343178019476</v>
      </c>
      <c r="F71" s="51">
        <f>'[1]Oil Production'!D67</f>
        <v>131886.62031623436</v>
      </c>
      <c r="I71" s="51">
        <f t="shared" si="0"/>
        <v>212.93843951816001</v>
      </c>
      <c r="J71" s="133">
        <f>'Price Deck'!F65*$B$2</f>
        <v>391.1806912083664</v>
      </c>
      <c r="K71" s="155">
        <f t="shared" si="3"/>
        <v>0.19903129075794015</v>
      </c>
      <c r="L71" s="1">
        <v>0.1</v>
      </c>
      <c r="M71" s="155">
        <f t="shared" si="4"/>
        <v>0.19903129075794015</v>
      </c>
      <c r="N71" s="155">
        <f t="shared" si="1"/>
        <v>0.20474266957126291</v>
      </c>
      <c r="O71" s="155">
        <f t="shared" si="2"/>
        <v>0.26790813824167325</v>
      </c>
      <c r="Q71" s="51">
        <f t="shared" si="5"/>
        <v>0</v>
      </c>
      <c r="R71" s="155">
        <f t="shared" si="6"/>
        <v>0.19903129075794015</v>
      </c>
      <c r="S71" s="51">
        <f t="shared" si="7"/>
        <v>0.19903129075794015</v>
      </c>
      <c r="T71" s="133">
        <f>'Price Deck'!F65</f>
        <v>62.192727989788949</v>
      </c>
      <c r="U71" s="85">
        <f t="shared" si="8"/>
        <v>83297.405955544746</v>
      </c>
      <c r="V71" s="85">
        <f t="shared" si="9"/>
        <v>16578.790224120203</v>
      </c>
      <c r="W71" s="85">
        <f t="shared" si="10"/>
        <v>12.378298927565167</v>
      </c>
    </row>
    <row r="72" spans="1:23">
      <c r="A72" t="str">
        <f>'Price Deck'!A66</f>
        <v>04/2024</v>
      </c>
      <c r="B72" s="51" t="e">
        <f>'[1]Oil Production'!#REF!</f>
        <v>#REF!</v>
      </c>
      <c r="C72" s="51">
        <f>'[1]Oil Production'!A68</f>
        <v>62</v>
      </c>
      <c r="D72" s="51">
        <f>'[1]Oil Production'!B68</f>
        <v>43.73613839852861</v>
      </c>
      <c r="E72" s="51">
        <f>'[1]Oil Production'!C68</f>
        <v>1330.3075429552453</v>
      </c>
      <c r="F72" s="51">
        <f>'[1]Oil Production'!D68</f>
        <v>133216.9278591896</v>
      </c>
      <c r="I72" s="51">
        <f t="shared" si="0"/>
        <v>211.50188907895293</v>
      </c>
      <c r="J72" s="133">
        <f>'Price Deck'!F66*$B$2</f>
        <v>391.10870359496766</v>
      </c>
      <c r="K72" s="155">
        <f t="shared" si="3"/>
        <v>0.19898017955242706</v>
      </c>
      <c r="L72" s="1">
        <v>0.1</v>
      </c>
      <c r="M72" s="155">
        <f t="shared" si="4"/>
        <v>0.19898017955242706</v>
      </c>
      <c r="N72" s="155">
        <f t="shared" si="1"/>
        <v>0.2047145944020374</v>
      </c>
      <c r="O72" s="155">
        <f t="shared" si="2"/>
        <v>0.26789374071899352</v>
      </c>
      <c r="Q72" s="51">
        <f t="shared" si="5"/>
        <v>0</v>
      </c>
      <c r="R72" s="155">
        <f t="shared" si="6"/>
        <v>0.19898017955242706</v>
      </c>
      <c r="S72" s="51">
        <f t="shared" si="7"/>
        <v>0.19898017955242706</v>
      </c>
      <c r="T72" s="133">
        <f>'Price Deck'!F66</f>
        <v>62.181282879742973</v>
      </c>
      <c r="U72" s="85">
        <f t="shared" si="8"/>
        <v>82720.229645555926</v>
      </c>
      <c r="V72" s="85">
        <f t="shared" si="9"/>
        <v>16459.686147490716</v>
      </c>
      <c r="W72" s="85">
        <f t="shared" si="10"/>
        <v>12.372842832211514</v>
      </c>
    </row>
    <row r="73" spans="1:23">
      <c r="A73" t="str">
        <f>'Price Deck'!A67</f>
        <v>05/2024</v>
      </c>
      <c r="B73" s="51" t="e">
        <f>'[1]Oil Production'!#REF!</f>
        <v>#REF!</v>
      </c>
      <c r="C73" s="51">
        <f>'[1]Oil Production'!A69</f>
        <v>63</v>
      </c>
      <c r="D73" s="51">
        <f>'[1]Oil Production'!B69</f>
        <v>43.445785921622686</v>
      </c>
      <c r="E73" s="51">
        <f>'[1]Oil Production'!C69</f>
        <v>1321.4759884493567</v>
      </c>
      <c r="F73" s="51">
        <f>'[1]Oil Production'!D69</f>
        <v>134538.40384763895</v>
      </c>
      <c r="I73" s="51">
        <f t="shared" si="0"/>
        <v>210.09778483900425</v>
      </c>
      <c r="J73" s="133">
        <f>'Price Deck'!F67*$B$2</f>
        <v>390.89274075477169</v>
      </c>
      <c r="K73" s="155">
        <f t="shared" si="3"/>
        <v>0.19882684593588792</v>
      </c>
      <c r="L73" s="1">
        <v>0.1</v>
      </c>
      <c r="M73" s="155">
        <f t="shared" si="4"/>
        <v>0.19882684593588792</v>
      </c>
      <c r="N73" s="155">
        <f t="shared" si="1"/>
        <v>0.20463036889436098</v>
      </c>
      <c r="O73" s="155">
        <f t="shared" si="2"/>
        <v>0.26785054815095433</v>
      </c>
      <c r="Q73" s="51">
        <f t="shared" si="5"/>
        <v>0</v>
      </c>
      <c r="R73" s="155">
        <f t="shared" si="6"/>
        <v>0.19882684593588792</v>
      </c>
      <c r="S73" s="51">
        <f t="shared" si="7"/>
        <v>0.19882684593588792</v>
      </c>
      <c r="T73" s="133">
        <f>'Price Deck'!F67</f>
        <v>62.146947549605073</v>
      </c>
      <c r="U73" s="85">
        <f t="shared" si="8"/>
        <v>82125.698942224684</v>
      </c>
      <c r="V73" s="85">
        <f t="shared" si="9"/>
        <v>16328.793690962821</v>
      </c>
      <c r="W73" s="85">
        <f t="shared" si="10"/>
        <v>12.356481565831034</v>
      </c>
    </row>
    <row r="74" spans="1:23">
      <c r="A74" t="str">
        <f>'Price Deck'!A68</f>
        <v>06/2024</v>
      </c>
      <c r="B74" s="51" t="e">
        <f>'[1]Oil Production'!#REF!</f>
        <v>#REF!</v>
      </c>
      <c r="C74" s="51">
        <f>'[1]Oil Production'!A70</f>
        <v>64</v>
      </c>
      <c r="D74" s="51">
        <f>'[1]Oil Production'!B70</f>
        <v>43.161888456954287</v>
      </c>
      <c r="E74" s="51">
        <f>'[1]Oil Production'!C70</f>
        <v>1312.8407738990263</v>
      </c>
      <c r="F74" s="51">
        <f>'[1]Oil Production'!D70</f>
        <v>135851.24462153798</v>
      </c>
      <c r="I74" s="51">
        <f t="shared" si="0"/>
        <v>208.72489614144811</v>
      </c>
      <c r="J74" s="133">
        <f>'Price Deck'!F68*$B$2</f>
        <v>391.03671598156905</v>
      </c>
      <c r="K74" s="155">
        <f t="shared" si="3"/>
        <v>0.19892906834691404</v>
      </c>
      <c r="L74" s="1">
        <v>0.1</v>
      </c>
      <c r="M74" s="155">
        <f t="shared" si="4"/>
        <v>0.19892906834691404</v>
      </c>
      <c r="N74" s="155">
        <f t="shared" si="1"/>
        <v>0.20468651923281195</v>
      </c>
      <c r="O74" s="155">
        <f t="shared" si="2"/>
        <v>0.26787934319631379</v>
      </c>
      <c r="Q74" s="51">
        <f t="shared" si="5"/>
        <v>0</v>
      </c>
      <c r="R74" s="155">
        <f t="shared" si="6"/>
        <v>0.19892906834691404</v>
      </c>
      <c r="S74" s="51">
        <f t="shared" si="7"/>
        <v>0.19892906834691404</v>
      </c>
      <c r="T74" s="133">
        <f>'Price Deck'!F68</f>
        <v>62.169837769697011</v>
      </c>
      <c r="U74" s="85">
        <f t="shared" si="8"/>
        <v>81619.097930745935</v>
      </c>
      <c r="V74" s="85">
        <f t="shared" si="9"/>
        <v>16236.411110678828</v>
      </c>
      <c r="W74" s="85">
        <f t="shared" si="10"/>
        <v>12.367387906804613</v>
      </c>
    </row>
    <row r="75" spans="1:23">
      <c r="A75" t="str">
        <f>'Price Deck'!A69</f>
        <v>07/2024</v>
      </c>
      <c r="B75" s="51" t="e">
        <f>'[1]Oil Production'!#REF!</f>
        <v>#REF!</v>
      </c>
      <c r="C75" s="51">
        <f>'[1]Oil Production'!A71</f>
        <v>65</v>
      </c>
      <c r="D75" s="51">
        <f>'[1]Oil Production'!B71</f>
        <v>42.884204955338795</v>
      </c>
      <c r="E75" s="51">
        <f>'[1]Oil Production'!C71</f>
        <v>1304.394567391555</v>
      </c>
      <c r="F75" s="51">
        <f>'[1]Oil Production'!D71</f>
        <v>137155.63918892952</v>
      </c>
      <c r="I75" s="51">
        <f t="shared" ref="I75:I138" si="11">E75/$B$2</f>
        <v>207.38205730591636</v>
      </c>
      <c r="J75" s="133">
        <f>'Price Deck'!F69*$B$2</f>
        <v>391.03671598156905</v>
      </c>
      <c r="K75" s="155">
        <f t="shared" ref="K75:K138" si="12">MIN(IF(J75&gt;$G$3,O75,IF(J75&gt;$F$3,N75,IF(J75&gt;$E$3,M75,L75))),0.4)</f>
        <v>0.19892906834691404</v>
      </c>
      <c r="L75" s="1">
        <v>0.1</v>
      </c>
      <c r="M75" s="155">
        <f t="shared" ref="M75:M138" si="13">((J75-$E$3)*0.00071+0.1)</f>
        <v>0.19892906834691404</v>
      </c>
      <c r="N75" s="155">
        <f t="shared" ref="N75:N138" si="14">((J75-$F$3)*0.00039+0.2117)</f>
        <v>0.20468651923281195</v>
      </c>
      <c r="O75" s="155">
        <f t="shared" ref="O75:O138" si="15">((J75-$G$3)*0.0002+0.3344)</f>
        <v>0.26787934319631379</v>
      </c>
      <c r="Q75" s="51">
        <f t="shared" si="5"/>
        <v>0</v>
      </c>
      <c r="R75" s="155">
        <f t="shared" si="6"/>
        <v>0.19892906834691404</v>
      </c>
      <c r="S75" s="51">
        <f t="shared" si="7"/>
        <v>0.19892906834691404</v>
      </c>
      <c r="T75" s="133">
        <f>'Price Deck'!F69</f>
        <v>62.169837769697011</v>
      </c>
      <c r="U75" s="85">
        <f t="shared" si="8"/>
        <v>81093.998642407096</v>
      </c>
      <c r="V75" s="85">
        <f t="shared" si="9"/>
        <v>16131.953598459955</v>
      </c>
      <c r="W75" s="85">
        <f t="shared" si="10"/>
        <v>12.367387906804614</v>
      </c>
    </row>
    <row r="76" spans="1:23">
      <c r="A76" t="str">
        <f>'Price Deck'!A70</f>
        <v>08/2024</v>
      </c>
      <c r="B76" s="51" t="e">
        <f>'[1]Oil Production'!#REF!</f>
        <v>#REF!</v>
      </c>
      <c r="C76" s="51">
        <f>'[1]Oil Production'!A72</f>
        <v>66</v>
      </c>
      <c r="D76" s="51">
        <f>'[1]Oil Production'!B72</f>
        <v>42.612506900851024</v>
      </c>
      <c r="E76" s="51">
        <f>'[1]Oil Production'!C72</f>
        <v>1296.1304182342187</v>
      </c>
      <c r="F76" s="51">
        <f>'[1]Oil Production'!D72</f>
        <v>138451.76960716373</v>
      </c>
      <c r="I76" s="51">
        <f t="shared" si="11"/>
        <v>206.06816326114233</v>
      </c>
      <c r="J76" s="133">
        <f>'Price Deck'!F70*$B$2</f>
        <v>390.89274075477169</v>
      </c>
      <c r="K76" s="155">
        <f t="shared" si="12"/>
        <v>0.19882684593588792</v>
      </c>
      <c r="L76" s="1">
        <v>0.1</v>
      </c>
      <c r="M76" s="155">
        <f t="shared" si="13"/>
        <v>0.19882684593588792</v>
      </c>
      <c r="N76" s="155">
        <f t="shared" si="14"/>
        <v>0.20463036889436098</v>
      </c>
      <c r="O76" s="155">
        <f t="shared" si="15"/>
        <v>0.26785054815095433</v>
      </c>
      <c r="Q76" s="51">
        <f t="shared" ref="Q76:Q139" si="16">IF(I76&lt;$D$2,(I76-$D$2)*0.00135,0)</f>
        <v>0</v>
      </c>
      <c r="R76" s="155">
        <f t="shared" ref="R76:R139" si="17">MAX(0.05,Q76+K76)</f>
        <v>0.19882684593588792</v>
      </c>
      <c r="S76" s="51">
        <f t="shared" ref="S76:S139" si="18">IF(C76&gt;$A$5,R76,0.05)</f>
        <v>0.19882684593588792</v>
      </c>
      <c r="T76" s="133">
        <f>'Price Deck'!F70</f>
        <v>62.146947549605073</v>
      </c>
      <c r="U76" s="85">
        <f t="shared" ref="U76:U139" si="19">T76*E76</f>
        <v>80550.549119449672</v>
      </c>
      <c r="V76" s="85">
        <f t="shared" ref="V76:V139" si="20">U76*S76</f>
        <v>16015.611619823992</v>
      </c>
      <c r="W76" s="85">
        <f t="shared" ref="W76:W139" si="21">V76/E76</f>
        <v>12.356481565831034</v>
      </c>
    </row>
    <row r="77" spans="1:23">
      <c r="A77" t="str">
        <f>'Price Deck'!A71</f>
        <v>09/2024</v>
      </c>
      <c r="B77" s="51" t="e">
        <f>'[1]Oil Production'!#REF!</f>
        <v>#REF!</v>
      </c>
      <c r="C77" s="51">
        <f>'[1]Oil Production'!A73</f>
        <v>67</v>
      </c>
      <c r="D77" s="51">
        <f>'[1]Oil Production'!B73</f>
        <v>42.346577481032071</v>
      </c>
      <c r="E77" s="51">
        <f>'[1]Oil Production'!C73</f>
        <v>1288.0417317147255</v>
      </c>
      <c r="F77" s="51">
        <f>'[1]Oil Production'!D73</f>
        <v>139739.81133887847</v>
      </c>
      <c r="I77" s="51">
        <f t="shared" si="11"/>
        <v>204.78216553219627</v>
      </c>
      <c r="J77" s="133">
        <f>'Price Deck'!F71*$B$2</f>
        <v>390.82075314137302</v>
      </c>
      <c r="K77" s="155">
        <f t="shared" si="12"/>
        <v>0.19877573473037485</v>
      </c>
      <c r="L77" s="1">
        <v>0.1</v>
      </c>
      <c r="M77" s="155">
        <f t="shared" si="13"/>
        <v>0.19877573473037485</v>
      </c>
      <c r="N77" s="155">
        <f t="shared" si="14"/>
        <v>0.2046022937251355</v>
      </c>
      <c r="O77" s="155">
        <f t="shared" si="15"/>
        <v>0.26783615062827459</v>
      </c>
      <c r="Q77" s="51">
        <f t="shared" si="16"/>
        <v>0</v>
      </c>
      <c r="R77" s="155">
        <f t="shared" si="17"/>
        <v>0.19877573473037485</v>
      </c>
      <c r="S77" s="51">
        <f t="shared" si="18"/>
        <v>0.19877573473037485</v>
      </c>
      <c r="T77" s="133">
        <f>'Price Deck'!F71</f>
        <v>62.135502439559104</v>
      </c>
      <c r="U77" s="85">
        <f t="shared" si="19"/>
        <v>80033.120163214262</v>
      </c>
      <c r="V77" s="85">
        <f t="shared" si="20"/>
        <v>15908.642263207294</v>
      </c>
      <c r="W77" s="85">
        <f t="shared" si="21"/>
        <v>12.351030150264361</v>
      </c>
    </row>
    <row r="78" spans="1:23">
      <c r="A78" t="str">
        <f>'Price Deck'!A72</f>
        <v>10/2024</v>
      </c>
      <c r="B78" s="51" t="e">
        <f>'[1]Oil Production'!#REF!</f>
        <v>#REF!</v>
      </c>
      <c r="C78" s="51">
        <f>'[1]Oil Production'!A74</f>
        <v>68</v>
      </c>
      <c r="D78" s="51">
        <f>'[1]Oil Production'!B74</f>
        <v>42.086210823479924</v>
      </c>
      <c r="E78" s="51">
        <f>'[1]Oil Production'!C74</f>
        <v>1280.1222458808477</v>
      </c>
      <c r="F78" s="51">
        <f>'[1]Oil Production'!D74</f>
        <v>141019.9335847593</v>
      </c>
      <c r="I78" s="51">
        <f t="shared" si="11"/>
        <v>203.52306854874368</v>
      </c>
      <c r="J78" s="133">
        <f>'Price Deck'!F72*$B$2</f>
        <v>390.82075314137302</v>
      </c>
      <c r="K78" s="155">
        <f t="shared" si="12"/>
        <v>0.19877573473037485</v>
      </c>
      <c r="L78" s="1">
        <v>0.1</v>
      </c>
      <c r="M78" s="155">
        <f t="shared" si="13"/>
        <v>0.19877573473037485</v>
      </c>
      <c r="N78" s="155">
        <f t="shared" si="14"/>
        <v>0.2046022937251355</v>
      </c>
      <c r="O78" s="155">
        <f t="shared" si="15"/>
        <v>0.26783615062827459</v>
      </c>
      <c r="Q78" s="51">
        <f t="shared" si="16"/>
        <v>0</v>
      </c>
      <c r="R78" s="155">
        <f t="shared" si="17"/>
        <v>0.19877573473037485</v>
      </c>
      <c r="S78" s="51">
        <f t="shared" si="18"/>
        <v>0.19877573473037485</v>
      </c>
      <c r="T78" s="133">
        <f>'Price Deck'!F72</f>
        <v>62.135502439559104</v>
      </c>
      <c r="U78" s="85">
        <f t="shared" si="19"/>
        <v>79541.038931863295</v>
      </c>
      <c r="V78" s="85">
        <f t="shared" si="20"/>
        <v>15810.828454898478</v>
      </c>
      <c r="W78" s="85">
        <f t="shared" si="21"/>
        <v>12.351030150264361</v>
      </c>
    </row>
    <row r="79" spans="1:23">
      <c r="A79" t="str">
        <f>'Price Deck'!A73</f>
        <v>11/2024</v>
      </c>
      <c r="B79" s="51" t="e">
        <f>'[1]Oil Production'!#REF!</f>
        <v>#REF!</v>
      </c>
      <c r="C79" s="51">
        <f>'[1]Oil Production'!A75</f>
        <v>69</v>
      </c>
      <c r="D79" s="51">
        <f>'[1]Oil Production'!B75</f>
        <v>41.831211292624211</v>
      </c>
      <c r="E79" s="51">
        <f>'[1]Oil Production'!C75</f>
        <v>1272.3660101506532</v>
      </c>
      <c r="F79" s="51">
        <f>'[1]Oil Production'!D75</f>
        <v>142292.29959490994</v>
      </c>
      <c r="I79" s="51">
        <f t="shared" si="11"/>
        <v>202.28992624434574</v>
      </c>
      <c r="J79" s="133">
        <f>'Price Deck'!F73*$B$2</f>
        <v>391.03671598156905</v>
      </c>
      <c r="K79" s="155">
        <f t="shared" si="12"/>
        <v>0.19892906834691404</v>
      </c>
      <c r="L79" s="1">
        <v>0.1</v>
      </c>
      <c r="M79" s="155">
        <f t="shared" si="13"/>
        <v>0.19892906834691404</v>
      </c>
      <c r="N79" s="155">
        <f t="shared" si="14"/>
        <v>0.20468651923281195</v>
      </c>
      <c r="O79" s="155">
        <f t="shared" si="15"/>
        <v>0.26787934319631379</v>
      </c>
      <c r="Q79" s="51">
        <f t="shared" si="16"/>
        <v>0</v>
      </c>
      <c r="R79" s="155">
        <f t="shared" si="17"/>
        <v>0.19892906834691404</v>
      </c>
      <c r="S79" s="51">
        <f t="shared" si="18"/>
        <v>0.19892906834691404</v>
      </c>
      <c r="T79" s="133">
        <f>'Price Deck'!F73</f>
        <v>62.169837769697011</v>
      </c>
      <c r="U79" s="85">
        <f t="shared" si="19"/>
        <v>79102.788434742775</v>
      </c>
      <c r="V79" s="85">
        <f t="shared" si="20"/>
        <v>15735.844006966427</v>
      </c>
      <c r="W79" s="85">
        <f t="shared" si="21"/>
        <v>12.367387906804614</v>
      </c>
    </row>
    <row r="80" spans="1:23">
      <c r="A80" t="str">
        <f>'Price Deck'!A74</f>
        <v>12/2024</v>
      </c>
      <c r="B80" s="51" t="e">
        <f>'[1]Oil Production'!#REF!</f>
        <v>#REF!</v>
      </c>
      <c r="C80" s="51">
        <f>'[1]Oil Production'!A76</f>
        <v>70</v>
      </c>
      <c r="D80" s="51">
        <f>'[1]Oil Production'!B76</f>
        <v>41.581392841144748</v>
      </c>
      <c r="E80" s="51">
        <f>'[1]Oil Production'!C76</f>
        <v>1264.7673655848196</v>
      </c>
      <c r="F80" s="51">
        <f>'[1]Oil Production'!D76</f>
        <v>143557.06696049476</v>
      </c>
      <c r="I80" s="51">
        <f t="shared" si="11"/>
        <v>201.08183892000935</v>
      </c>
      <c r="J80" s="133">
        <f>'Price Deck'!F74*$B$2</f>
        <v>391.32466643516369</v>
      </c>
      <c r="K80" s="155">
        <f t="shared" si="12"/>
        <v>0.19913351316896624</v>
      </c>
      <c r="L80" s="1">
        <v>0.1</v>
      </c>
      <c r="M80" s="155">
        <f t="shared" si="13"/>
        <v>0.19913351316896624</v>
      </c>
      <c r="N80" s="155">
        <f t="shared" si="14"/>
        <v>0.20479881990971385</v>
      </c>
      <c r="O80" s="155">
        <f t="shared" si="15"/>
        <v>0.26793693328703272</v>
      </c>
      <c r="Q80" s="51">
        <f t="shared" si="16"/>
        <v>0</v>
      </c>
      <c r="R80" s="155">
        <f t="shared" si="17"/>
        <v>0.19913351316896624</v>
      </c>
      <c r="S80" s="51">
        <f t="shared" si="18"/>
        <v>0.19913351316896624</v>
      </c>
      <c r="T80" s="133">
        <f>'Price Deck'!F74</f>
        <v>62.21561820988088</v>
      </c>
      <c r="U80" s="85">
        <f t="shared" si="19"/>
        <v>78688.283541541969</v>
      </c>
      <c r="V80" s="85">
        <f t="shared" si="20"/>
        <v>15669.474346862997</v>
      </c>
      <c r="W80" s="85">
        <f t="shared" si="21"/>
        <v>12.38921462811269</v>
      </c>
    </row>
    <row r="81" spans="1:23">
      <c r="A81" t="str">
        <f>'Price Deck'!A75</f>
        <v>01/2025</v>
      </c>
      <c r="B81" s="51" t="e">
        <f>'[1]Oil Production'!#REF!</f>
        <v>#REF!</v>
      </c>
      <c r="C81" s="51">
        <f>'[1]Oil Production'!A77</f>
        <v>71</v>
      </c>
      <c r="D81" s="51">
        <f>'[1]Oil Production'!B77</f>
        <v>41.336578411075351</v>
      </c>
      <c r="E81" s="51">
        <f>'[1]Oil Production'!C77</f>
        <v>1257.3209266702086</v>
      </c>
      <c r="F81" s="51">
        <f>'[1]Oil Production'!D77</f>
        <v>144814.38788716498</v>
      </c>
      <c r="I81" s="51">
        <f t="shared" si="11"/>
        <v>199.89795034800849</v>
      </c>
      <c r="J81" s="133">
        <f>'Price Deck'!F75*$B$2</f>
        <v>390.74876552797434</v>
      </c>
      <c r="K81" s="155">
        <f t="shared" si="12"/>
        <v>0.19872462352486181</v>
      </c>
      <c r="L81" s="1">
        <v>0.1</v>
      </c>
      <c r="M81" s="155">
        <f t="shared" si="13"/>
        <v>0.19872462352486181</v>
      </c>
      <c r="N81" s="155">
        <f t="shared" si="14"/>
        <v>0.20457421855590999</v>
      </c>
      <c r="O81" s="155">
        <f t="shared" si="15"/>
        <v>0.26782175310559486</v>
      </c>
      <c r="Q81" s="51">
        <f t="shared" si="16"/>
        <v>0</v>
      </c>
      <c r="R81" s="155">
        <f t="shared" si="17"/>
        <v>0.19872462352486181</v>
      </c>
      <c r="S81" s="51">
        <f t="shared" si="18"/>
        <v>0.19872462352486181</v>
      </c>
      <c r="T81" s="133">
        <f>'Price Deck'!F75</f>
        <v>62.124057329513143</v>
      </c>
      <c r="U81" s="85">
        <f t="shared" si="19"/>
        <v>78109.877330056624</v>
      </c>
      <c r="V81" s="85">
        <f t="shared" si="20"/>
        <v>15522.355965988641</v>
      </c>
      <c r="W81" s="85">
        <f t="shared" si="21"/>
        <v>12.345579904644431</v>
      </c>
    </row>
    <row r="82" spans="1:23">
      <c r="A82" t="str">
        <f>'Price Deck'!A76</f>
        <v>02/2025</v>
      </c>
      <c r="B82" s="51" t="e">
        <f>'[1]Oil Production'!#REF!</f>
        <v>#REF!</v>
      </c>
      <c r="C82" s="51">
        <f>'[1]Oil Production'!A78</f>
        <v>72</v>
      </c>
      <c r="D82" s="51">
        <f>'[1]Oil Production'!B78</f>
        <v>41.096599380146493</v>
      </c>
      <c r="E82" s="51">
        <f>'[1]Oil Production'!C78</f>
        <v>1250.0215644794559</v>
      </c>
      <c r="F82" s="51">
        <f>'[1]Oil Production'!D78</f>
        <v>146064.40945164443</v>
      </c>
      <c r="I82" s="51">
        <f t="shared" si="11"/>
        <v>198.73744509447434</v>
      </c>
      <c r="J82" s="133">
        <f>'Price Deck'!F76*$B$2</f>
        <v>390.74876552797434</v>
      </c>
      <c r="K82" s="155">
        <f t="shared" si="12"/>
        <v>0.19872462352486181</v>
      </c>
      <c r="L82" s="1">
        <v>0.1</v>
      </c>
      <c r="M82" s="155">
        <f t="shared" si="13"/>
        <v>0.19872462352486181</v>
      </c>
      <c r="N82" s="155">
        <f t="shared" si="14"/>
        <v>0.20457421855590999</v>
      </c>
      <c r="O82" s="155">
        <f t="shared" si="15"/>
        <v>0.26782175310559486</v>
      </c>
      <c r="Q82" s="51">
        <f t="shared" si="16"/>
        <v>0</v>
      </c>
      <c r="R82" s="155">
        <f t="shared" si="17"/>
        <v>0.19872462352486181</v>
      </c>
      <c r="S82" s="51">
        <f t="shared" si="18"/>
        <v>0.19872462352486181</v>
      </c>
      <c r="T82" s="133">
        <f>'Price Deck'!F76</f>
        <v>62.124057329513143</v>
      </c>
      <c r="U82" s="85">
        <f t="shared" si="19"/>
        <v>77656.411334849428</v>
      </c>
      <c r="V82" s="85">
        <f t="shared" si="20"/>
        <v>15432.241106809764</v>
      </c>
      <c r="W82" s="85">
        <f t="shared" si="21"/>
        <v>12.345579904644431</v>
      </c>
    </row>
    <row r="83" spans="1:23">
      <c r="A83" t="str">
        <f>'Price Deck'!A77</f>
        <v>03/2025</v>
      </c>
      <c r="B83" s="51" t="e">
        <f>'[1]Oil Production'!#REF!</f>
        <v>#REF!</v>
      </c>
      <c r="C83" s="51">
        <f>'[1]Oil Production'!A79</f>
        <v>73</v>
      </c>
      <c r="D83" s="51">
        <f>'[1]Oil Production'!B79</f>
        <v>40.861295049374426</v>
      </c>
      <c r="E83" s="51">
        <f>'[1]Oil Production'!C79</f>
        <v>1242.8643910851388</v>
      </c>
      <c r="F83" s="51">
        <f>'[1]Oil Production'!D79</f>
        <v>147307.27384272957</v>
      </c>
      <c r="I83" s="51">
        <f t="shared" si="11"/>
        <v>197.59954604144716</v>
      </c>
      <c r="J83" s="133">
        <f>'Price Deck'!F77*$B$2</f>
        <v>390.74876552797434</v>
      </c>
      <c r="K83" s="155">
        <f t="shared" si="12"/>
        <v>0.19872462352486181</v>
      </c>
      <c r="L83" s="1">
        <v>0.1</v>
      </c>
      <c r="M83" s="155">
        <f t="shared" si="13"/>
        <v>0.19872462352486181</v>
      </c>
      <c r="N83" s="155">
        <f t="shared" si="14"/>
        <v>0.20457421855590999</v>
      </c>
      <c r="O83" s="155">
        <f t="shared" si="15"/>
        <v>0.26782175310559486</v>
      </c>
      <c r="Q83" s="51">
        <f t="shared" si="16"/>
        <v>0</v>
      </c>
      <c r="R83" s="155">
        <f t="shared" si="17"/>
        <v>0.19872462352486181</v>
      </c>
      <c r="S83" s="51">
        <f t="shared" si="18"/>
        <v>0.19872462352486181</v>
      </c>
      <c r="T83" s="133">
        <f>'Price Deck'!F77</f>
        <v>62.124057329513143</v>
      </c>
      <c r="U83" s="85">
        <f t="shared" si="19"/>
        <v>77211.778684583609</v>
      </c>
      <c r="V83" s="85">
        <f t="shared" si="20"/>
        <v>15343.881650778827</v>
      </c>
      <c r="W83" s="85">
        <f t="shared" si="21"/>
        <v>12.345579904644431</v>
      </c>
    </row>
    <row r="84" spans="1:23">
      <c r="A84" t="str">
        <f>'Price Deck'!A78</f>
        <v>04/2025</v>
      </c>
      <c r="B84" s="51" t="e">
        <f>'[1]Oil Production'!#REF!</f>
        <v>#REF!</v>
      </c>
      <c r="C84" s="51">
        <f>'[1]Oil Production'!A80</f>
        <v>74</v>
      </c>
      <c r="D84" s="51">
        <f>'[1]Oil Production'!B80</f>
        <v>40.630512168306097</v>
      </c>
      <c r="E84" s="51">
        <f>'[1]Oil Production'!C80</f>
        <v>1235.8447451193106</v>
      </c>
      <c r="F84" s="51">
        <f>'[1]Oil Production'!D80</f>
        <v>148543.11858784888</v>
      </c>
      <c r="I84" s="51">
        <f t="shared" si="11"/>
        <v>196.48351209102697</v>
      </c>
      <c r="J84" s="133">
        <f>'Price Deck'!F78*$B$2</f>
        <v>390.74876552797434</v>
      </c>
      <c r="K84" s="155">
        <f t="shared" si="12"/>
        <v>0.19872462352486181</v>
      </c>
      <c r="L84" s="1">
        <v>0.1</v>
      </c>
      <c r="M84" s="155">
        <f t="shared" si="13"/>
        <v>0.19872462352486181</v>
      </c>
      <c r="N84" s="155">
        <f t="shared" si="14"/>
        <v>0.20457421855590999</v>
      </c>
      <c r="O84" s="155">
        <f t="shared" si="15"/>
        <v>0.26782175310559486</v>
      </c>
      <c r="Q84" s="51">
        <f t="shared" si="16"/>
        <v>0</v>
      </c>
      <c r="R84" s="155">
        <f t="shared" si="17"/>
        <v>0.19872462352486181</v>
      </c>
      <c r="S84" s="51">
        <f t="shared" si="18"/>
        <v>0.19872462352486181</v>
      </c>
      <c r="T84" s="133">
        <f>'Price Deck'!F78</f>
        <v>62.124057329513143</v>
      </c>
      <c r="U84" s="85">
        <f t="shared" si="19"/>
        <v>76775.689796169609</v>
      </c>
      <c r="V84" s="85">
        <f t="shared" si="20"/>
        <v>15257.22005060538</v>
      </c>
      <c r="W84" s="85">
        <f t="shared" si="21"/>
        <v>12.345579904644431</v>
      </c>
    </row>
    <row r="85" spans="1:23">
      <c r="A85" t="str">
        <f>'Price Deck'!A79</f>
        <v>05/2025</v>
      </c>
      <c r="B85" s="51" t="e">
        <f>'[1]Oil Production'!#REF!</f>
        <v>#REF!</v>
      </c>
      <c r="C85" s="51">
        <f>'[1]Oil Production'!A81</f>
        <v>75</v>
      </c>
      <c r="D85" s="51">
        <f>'[1]Oil Production'!B81</f>
        <v>40.404104494685576</v>
      </c>
      <c r="E85" s="51">
        <f>'[1]Oil Production'!C81</f>
        <v>1228.9581783800197</v>
      </c>
      <c r="F85" s="51">
        <f>'[1]Oil Production'!D81</f>
        <v>149772.07676622889</v>
      </c>
      <c r="I85" s="51">
        <f t="shared" si="11"/>
        <v>195.38863603598131</v>
      </c>
      <c r="J85" s="133">
        <f>'Price Deck'!F79*$B$2</f>
        <v>390.60479030117699</v>
      </c>
      <c r="K85" s="155">
        <f t="shared" si="12"/>
        <v>0.19862240111383567</v>
      </c>
      <c r="L85" s="1">
        <v>0.1</v>
      </c>
      <c r="M85" s="155">
        <f t="shared" si="13"/>
        <v>0.19862240111383567</v>
      </c>
      <c r="N85" s="155">
        <f t="shared" si="14"/>
        <v>0.20451806821745902</v>
      </c>
      <c r="O85" s="155">
        <f t="shared" si="15"/>
        <v>0.2677929580602354</v>
      </c>
      <c r="Q85" s="51">
        <f t="shared" si="16"/>
        <v>0</v>
      </c>
      <c r="R85" s="155">
        <f t="shared" si="17"/>
        <v>0.19862240111383567</v>
      </c>
      <c r="S85" s="51">
        <f t="shared" si="18"/>
        <v>0.19862240111383567</v>
      </c>
      <c r="T85" s="133">
        <f>'Price Deck'!F79</f>
        <v>62.101167109421198</v>
      </c>
      <c r="U85" s="85">
        <f t="shared" si="19"/>
        <v>76319.737206067468</v>
      </c>
      <c r="V85" s="85">
        <f t="shared" si="20"/>
        <v>15158.809456246061</v>
      </c>
      <c r="W85" s="85">
        <f t="shared" si="21"/>
        <v>12.334682923244795</v>
      </c>
    </row>
    <row r="86" spans="1:23">
      <c r="A86" t="str">
        <f>'Price Deck'!A80</f>
        <v>06/2025</v>
      </c>
      <c r="B86" s="51" t="e">
        <f>'[1]Oil Production'!#REF!</f>
        <v>#REF!</v>
      </c>
      <c r="C86" s="51">
        <f>'[1]Oil Production'!A82</f>
        <v>76</v>
      </c>
      <c r="D86" s="51">
        <f>'[1]Oil Production'!B82</f>
        <v>40.181932385624272</v>
      </c>
      <c r="E86" s="51">
        <f>'[1]Oil Production'!C82</f>
        <v>1222.2004433960717</v>
      </c>
      <c r="F86" s="51">
        <f>'[1]Oil Production'!D82</f>
        <v>150994.27720962497</v>
      </c>
      <c r="I86" s="51">
        <f t="shared" si="11"/>
        <v>194.31424258270144</v>
      </c>
      <c r="J86" s="133">
        <f>'Price Deck'!F80*$B$2</f>
        <v>390.53280268777831</v>
      </c>
      <c r="K86" s="155">
        <f t="shared" si="12"/>
        <v>0.19857128990832262</v>
      </c>
      <c r="L86" s="1">
        <v>0.1</v>
      </c>
      <c r="M86" s="155">
        <f t="shared" si="13"/>
        <v>0.19857128990832262</v>
      </c>
      <c r="N86" s="155">
        <f t="shared" si="14"/>
        <v>0.20448999304823354</v>
      </c>
      <c r="O86" s="155">
        <f t="shared" si="15"/>
        <v>0.26777856053755567</v>
      </c>
      <c r="Q86" s="51">
        <f t="shared" si="16"/>
        <v>0</v>
      </c>
      <c r="R86" s="155">
        <f t="shared" si="17"/>
        <v>0.19857128990832262</v>
      </c>
      <c r="S86" s="51">
        <f t="shared" si="18"/>
        <v>0.19857128990832262</v>
      </c>
      <c r="T86" s="133">
        <f>'Price Deck'!F80</f>
        <v>62.089721999375236</v>
      </c>
      <c r="U86" s="85">
        <f t="shared" si="19"/>
        <v>75886.085757975248</v>
      </c>
      <c r="V86" s="85">
        <f t="shared" si="20"/>
        <v>15068.797935054736</v>
      </c>
      <c r="W86" s="85">
        <f t="shared" si="21"/>
        <v>12.329236187465098</v>
      </c>
    </row>
    <row r="87" spans="1:23">
      <c r="A87" t="str">
        <f>'Price Deck'!A81</f>
        <v>07/2025</v>
      </c>
      <c r="B87" s="51" t="e">
        <f>'[1]Oil Production'!#REF!</f>
        <v>#REF!</v>
      </c>
      <c r="C87" s="51">
        <f>'[1]Oil Production'!A83</f>
        <v>77</v>
      </c>
      <c r="D87" s="51">
        <f>'[1]Oil Production'!B83</f>
        <v>39.963862417640144</v>
      </c>
      <c r="E87" s="51">
        <f>'[1]Oil Production'!C83</f>
        <v>1215.5674818698878</v>
      </c>
      <c r="F87" s="51">
        <f>'[1]Oil Production'!D83</f>
        <v>152209.84469149486</v>
      </c>
      <c r="I87" s="51">
        <f t="shared" si="11"/>
        <v>193.25968651376462</v>
      </c>
      <c r="J87" s="133">
        <f>'Price Deck'!F81*$B$2</f>
        <v>390.74876552797434</v>
      </c>
      <c r="K87" s="155">
        <f t="shared" si="12"/>
        <v>0.19872462352486181</v>
      </c>
      <c r="L87" s="1">
        <v>0.1</v>
      </c>
      <c r="M87" s="155">
        <f t="shared" si="13"/>
        <v>0.19872462352486181</v>
      </c>
      <c r="N87" s="155">
        <f t="shared" si="14"/>
        <v>0.20457421855590999</v>
      </c>
      <c r="O87" s="155">
        <f t="shared" si="15"/>
        <v>0.26782175310559486</v>
      </c>
      <c r="Q87" s="51">
        <f t="shared" si="16"/>
        <v>-9.9942320641776237E-4</v>
      </c>
      <c r="R87" s="155">
        <f t="shared" si="17"/>
        <v>0.19772520031844404</v>
      </c>
      <c r="S87" s="51">
        <f t="shared" si="18"/>
        <v>0.19772520031844404</v>
      </c>
      <c r="T87" s="133">
        <f>'Price Deck'!F81</f>
        <v>62.124057329513143</v>
      </c>
      <c r="U87" s="85">
        <f t="shared" si="19"/>
        <v>75515.983931576833</v>
      </c>
      <c r="V87" s="85">
        <f t="shared" si="20"/>
        <v>14931.41305011543</v>
      </c>
      <c r="W87" s="85">
        <f t="shared" si="21"/>
        <v>12.283491680072487</v>
      </c>
    </row>
    <row r="88" spans="1:23">
      <c r="A88" t="str">
        <f>'Price Deck'!A82</f>
        <v>08/2025</v>
      </c>
      <c r="B88" s="51" t="e">
        <f>'[1]Oil Production'!#REF!</f>
        <v>#REF!</v>
      </c>
      <c r="C88" s="51">
        <f>'[1]Oil Production'!A84</f>
        <v>78</v>
      </c>
      <c r="D88" s="51">
        <f>'[1]Oil Production'!B84</f>
        <v>39.749767033181648</v>
      </c>
      <c r="E88" s="51">
        <f>'[1]Oil Production'!C84</f>
        <v>1209.0554139259418</v>
      </c>
      <c r="F88" s="51">
        <f>'[1]Oil Production'!D84</f>
        <v>153418.90010542079</v>
      </c>
      <c r="I88" s="51">
        <f t="shared" si="11"/>
        <v>192.22435097857294</v>
      </c>
      <c r="J88" s="133">
        <f>'Price Deck'!F82*$B$2</f>
        <v>390.74876552797434</v>
      </c>
      <c r="K88" s="155">
        <f t="shared" si="12"/>
        <v>0.19872462352486181</v>
      </c>
      <c r="L88" s="1">
        <v>0.1</v>
      </c>
      <c r="M88" s="155">
        <f t="shared" si="13"/>
        <v>0.19872462352486181</v>
      </c>
      <c r="N88" s="155">
        <f t="shared" si="14"/>
        <v>0.20457421855590999</v>
      </c>
      <c r="O88" s="155">
        <f t="shared" si="15"/>
        <v>0.26782175310559486</v>
      </c>
      <c r="Q88" s="51">
        <f t="shared" si="16"/>
        <v>-2.3971261789265271E-3</v>
      </c>
      <c r="R88" s="155">
        <f t="shared" si="17"/>
        <v>0.19632749734593527</v>
      </c>
      <c r="S88" s="51">
        <f t="shared" si="18"/>
        <v>0.19632749734593527</v>
      </c>
      <c r="T88" s="133">
        <f>'Price Deck'!F82</f>
        <v>62.124057329513143</v>
      </c>
      <c r="U88" s="85">
        <f t="shared" si="19"/>
        <v>75111.427849293454</v>
      </c>
      <c r="V88" s="85">
        <f t="shared" si="20"/>
        <v>14746.438651731569</v>
      </c>
      <c r="W88" s="85">
        <f t="shared" si="21"/>
        <v>12.196660700478722</v>
      </c>
    </row>
    <row r="89" spans="1:23">
      <c r="A89" t="str">
        <f>'Price Deck'!A83</f>
        <v>09/2025</v>
      </c>
      <c r="B89" s="51" t="e">
        <f>'[1]Oil Production'!#REF!</f>
        <v>#REF!</v>
      </c>
      <c r="C89" s="51">
        <f>'[1]Oil Production'!A85</f>
        <v>79</v>
      </c>
      <c r="D89" s="51">
        <f>'[1]Oil Production'!B85</f>
        <v>39.53952421147725</v>
      </c>
      <c r="E89" s="51">
        <f>'[1]Oil Production'!C85</f>
        <v>1202.6605280990998</v>
      </c>
      <c r="F89" s="51">
        <f>'[1]Oil Production'!D85</f>
        <v>154621.5606335199</v>
      </c>
      <c r="I89" s="51">
        <f t="shared" si="11"/>
        <v>191.20764590162759</v>
      </c>
      <c r="J89" s="133">
        <f>'Price Deck'!F83*$B$2</f>
        <v>390.60479030117699</v>
      </c>
      <c r="K89" s="155">
        <f t="shared" si="12"/>
        <v>0.19862240111383567</v>
      </c>
      <c r="L89" s="1">
        <v>0.1</v>
      </c>
      <c r="M89" s="155">
        <f t="shared" si="13"/>
        <v>0.19862240111383567</v>
      </c>
      <c r="N89" s="155">
        <f t="shared" si="14"/>
        <v>0.20451806821745902</v>
      </c>
      <c r="O89" s="155">
        <f t="shared" si="15"/>
        <v>0.2677929580602354</v>
      </c>
      <c r="Q89" s="51">
        <f t="shared" si="16"/>
        <v>-3.7696780328027586E-3</v>
      </c>
      <c r="R89" s="155">
        <f t="shared" si="17"/>
        <v>0.19485272308103291</v>
      </c>
      <c r="S89" s="51">
        <f t="shared" si="18"/>
        <v>0.19485272308103291</v>
      </c>
      <c r="T89" s="133">
        <f>'Price Deck'!F83</f>
        <v>62.101167109421198</v>
      </c>
      <c r="U89" s="85">
        <f t="shared" si="19"/>
        <v>74686.622431386946</v>
      </c>
      <c r="V89" s="85">
        <f t="shared" si="20"/>
        <v>14552.8917584807</v>
      </c>
      <c r="W89" s="85">
        <f t="shared" si="21"/>
        <v>12.100581517780997</v>
      </c>
    </row>
    <row r="90" spans="1:23">
      <c r="A90" t="str">
        <f>'Price Deck'!A84</f>
        <v>10/2025</v>
      </c>
      <c r="B90" s="51" t="e">
        <f>'[1]Oil Production'!#REF!</f>
        <v>#REF!</v>
      </c>
      <c r="C90" s="51">
        <f>'[1]Oil Production'!A86</f>
        <v>80</v>
      </c>
      <c r="D90" s="51">
        <f>'[1]Oil Production'!B86</f>
        <v>39.333017161752664</v>
      </c>
      <c r="E90" s="51">
        <f>'[1]Oil Production'!C86</f>
        <v>1196.3792720033102</v>
      </c>
      <c r="F90" s="51">
        <f>'[1]Oil Production'!D86</f>
        <v>155817.93990552321</v>
      </c>
      <c r="I90" s="51">
        <f t="shared" si="11"/>
        <v>190.20900649896964</v>
      </c>
      <c r="J90" s="133">
        <f>'Price Deck'!F84*$B$2</f>
        <v>390.53280268777831</v>
      </c>
      <c r="K90" s="155">
        <f t="shared" si="12"/>
        <v>0.19857128990832262</v>
      </c>
      <c r="L90" s="1">
        <v>0.1</v>
      </c>
      <c r="M90" s="155">
        <f t="shared" si="13"/>
        <v>0.19857128990832262</v>
      </c>
      <c r="N90" s="155">
        <f t="shared" si="14"/>
        <v>0.20448999304823354</v>
      </c>
      <c r="O90" s="155">
        <f t="shared" si="15"/>
        <v>0.26777856053755567</v>
      </c>
      <c r="Q90" s="51">
        <f t="shared" si="16"/>
        <v>-5.1178412263909821E-3</v>
      </c>
      <c r="R90" s="155">
        <f t="shared" si="17"/>
        <v>0.19345344868193165</v>
      </c>
      <c r="S90" s="51">
        <f t="shared" si="18"/>
        <v>0.19345344868193165</v>
      </c>
      <c r="T90" s="133">
        <f>'Price Deck'!F84</f>
        <v>62.089721999375236</v>
      </c>
      <c r="U90" s="85">
        <f t="shared" si="19"/>
        <v>74282.85640450046</v>
      </c>
      <c r="V90" s="85">
        <f t="shared" si="20"/>
        <v>14370.274749395328</v>
      </c>
      <c r="W90" s="85">
        <f t="shared" si="21"/>
        <v>12.01147084848154</v>
      </c>
    </row>
    <row r="91" spans="1:23">
      <c r="A91" t="str">
        <f>'Price Deck'!A85</f>
        <v>11/2025</v>
      </c>
      <c r="B91" s="51" t="e">
        <f>'[1]Oil Production'!#REF!</f>
        <v>#REF!</v>
      </c>
      <c r="C91" s="51">
        <f>'[1]Oil Production'!A87</f>
        <v>81</v>
      </c>
      <c r="D91" s="51">
        <f>'[1]Oil Production'!B87</f>
        <v>39.130134037036903</v>
      </c>
      <c r="E91" s="51">
        <f>'[1]Oil Production'!C87</f>
        <v>1190.2082436265391</v>
      </c>
      <c r="F91" s="51">
        <f>'[1]Oil Production'!D87</f>
        <v>157008.14814914975</v>
      </c>
      <c r="I91" s="51">
        <f t="shared" si="11"/>
        <v>189.22789189418626</v>
      </c>
      <c r="J91" s="133">
        <f>'Price Deck'!F85*$B$2</f>
        <v>390.89274075477169</v>
      </c>
      <c r="K91" s="155">
        <f t="shared" si="12"/>
        <v>0.19882684593588792</v>
      </c>
      <c r="L91" s="1">
        <v>0.1</v>
      </c>
      <c r="M91" s="155">
        <f t="shared" si="13"/>
        <v>0.19882684593588792</v>
      </c>
      <c r="N91" s="155">
        <f t="shared" si="14"/>
        <v>0.20463036889436098</v>
      </c>
      <c r="O91" s="155">
        <f t="shared" si="15"/>
        <v>0.26785054815095433</v>
      </c>
      <c r="Q91" s="51">
        <f t="shared" si="16"/>
        <v>-6.4423459428485531E-3</v>
      </c>
      <c r="R91" s="155">
        <f t="shared" si="17"/>
        <v>0.19238449999303936</v>
      </c>
      <c r="S91" s="51">
        <f t="shared" si="18"/>
        <v>0.19238449999303936</v>
      </c>
      <c r="T91" s="133">
        <f>'Price Deck'!F85</f>
        <v>62.146947549605073</v>
      </c>
      <c r="U91" s="85">
        <f t="shared" si="19"/>
        <v>73967.809289766097</v>
      </c>
      <c r="V91" s="85">
        <f t="shared" si="20"/>
        <v>14230.260005792143</v>
      </c>
      <c r="W91" s="85">
        <f t="shared" si="21"/>
        <v>11.956109430424414</v>
      </c>
    </row>
    <row r="92" spans="1:23">
      <c r="A92" t="str">
        <f>'Price Deck'!A86</f>
        <v>12/2025</v>
      </c>
      <c r="B92" s="51" t="e">
        <f>'[1]Oil Production'!#REF!</f>
        <v>#REF!</v>
      </c>
      <c r="C92" s="51">
        <f>'[1]Oil Production'!A88</f>
        <v>82</v>
      </c>
      <c r="D92" s="51">
        <f>'[1]Oil Production'!B88</f>
        <v>38.930767666940824</v>
      </c>
      <c r="E92" s="51">
        <f>'[1]Oil Production'!C88</f>
        <v>1184.1441832027833</v>
      </c>
      <c r="F92" s="51">
        <f>'[1]Oil Production'!D88</f>
        <v>158192.29233235255</v>
      </c>
      <c r="I92" s="51">
        <f t="shared" si="11"/>
        <v>188.26378382616454</v>
      </c>
      <c r="J92" s="133">
        <f>'Price Deck'!F86*$B$2</f>
        <v>390.74876552797434</v>
      </c>
      <c r="K92" s="155">
        <f t="shared" si="12"/>
        <v>0.19872462352486181</v>
      </c>
      <c r="L92" s="1">
        <v>0.1</v>
      </c>
      <c r="M92" s="155">
        <f t="shared" si="13"/>
        <v>0.19872462352486181</v>
      </c>
      <c r="N92" s="155">
        <f t="shared" si="14"/>
        <v>0.20457421855590999</v>
      </c>
      <c r="O92" s="155">
        <f t="shared" si="15"/>
        <v>0.26782175310559486</v>
      </c>
      <c r="Q92" s="51">
        <f t="shared" si="16"/>
        <v>-7.7438918346778695E-3</v>
      </c>
      <c r="R92" s="155">
        <f t="shared" si="17"/>
        <v>0.19098073169018395</v>
      </c>
      <c r="S92" s="51">
        <f t="shared" si="18"/>
        <v>0.19098073169018395</v>
      </c>
      <c r="T92" s="133">
        <f>'Price Deck'!F86</f>
        <v>62.124057329513143</v>
      </c>
      <c r="U92" s="85">
        <f t="shared" si="19"/>
        <v>73563.841123699225</v>
      </c>
      <c r="V92" s="85">
        <f t="shared" si="20"/>
        <v>14049.276203744523</v>
      </c>
      <c r="W92" s="85">
        <f t="shared" si="21"/>
        <v>11.864497924353357</v>
      </c>
    </row>
    <row r="93" spans="1:23">
      <c r="A93" t="str">
        <f>'Price Deck'!A87</f>
        <v>01/2026</v>
      </c>
      <c r="B93" s="51" t="e">
        <f>'[1]Oil Production'!#REF!</f>
        <v>#REF!</v>
      </c>
      <c r="C93" s="51">
        <f>'[1]Oil Production'!A89</f>
        <v>83</v>
      </c>
      <c r="D93" s="51">
        <f>'[1]Oil Production'!B89</f>
        <v>38.734815307935719</v>
      </c>
      <c r="E93" s="51">
        <f>'[1]Oil Production'!C89</f>
        <v>1178.1839656163781</v>
      </c>
      <c r="F93" s="51">
        <f>'[1]Oil Production'!D89</f>
        <v>159370.47629796891</v>
      </c>
      <c r="I93" s="51">
        <f t="shared" si="11"/>
        <v>187.31618544147381</v>
      </c>
      <c r="J93" s="133">
        <f>'Price Deck'!F87*$B$2</f>
        <v>382.66356847802189</v>
      </c>
      <c r="K93" s="155">
        <f t="shared" si="12"/>
        <v>0.19298413361939554</v>
      </c>
      <c r="L93" s="1">
        <v>0.1</v>
      </c>
      <c r="M93" s="155">
        <f t="shared" si="13"/>
        <v>0.19298413361939554</v>
      </c>
      <c r="N93" s="155">
        <f t="shared" si="14"/>
        <v>0.20142099170642855</v>
      </c>
      <c r="O93" s="155">
        <f t="shared" si="15"/>
        <v>0.26620471369560433</v>
      </c>
      <c r="Q93" s="51">
        <f t="shared" si="16"/>
        <v>-9.0231496540103626E-3</v>
      </c>
      <c r="R93" s="155">
        <f t="shared" si="17"/>
        <v>0.18396098396538518</v>
      </c>
      <c r="S93" s="51">
        <f t="shared" si="18"/>
        <v>0.18396098396538518</v>
      </c>
      <c r="T93" s="133">
        <f>'Price Deck'!F87</f>
        <v>60.838614381605225</v>
      </c>
      <c r="U93" s="85">
        <f t="shared" si="19"/>
        <v>71679.079954725254</v>
      </c>
      <c r="V93" s="85">
        <f t="shared" si="20"/>
        <v>13186.154078204774</v>
      </c>
      <c r="W93" s="85">
        <f t="shared" si="21"/>
        <v>11.191931364730729</v>
      </c>
    </row>
    <row r="94" spans="1:23">
      <c r="A94" t="str">
        <f>'Price Deck'!A88</f>
        <v>02/2026</v>
      </c>
      <c r="B94" s="51" t="e">
        <f>'[1]Oil Production'!#REF!</f>
        <v>#REF!</v>
      </c>
      <c r="C94" s="51">
        <f>'[1]Oil Production'!A90</f>
        <v>84</v>
      </c>
      <c r="D94" s="51">
        <f>'[1]Oil Production'!B90</f>
        <v>38.542178409790999</v>
      </c>
      <c r="E94" s="51">
        <f>'[1]Oil Production'!C90</f>
        <v>1172.3245932978095</v>
      </c>
      <c r="F94" s="51">
        <f>'[1]Oil Production'!D90</f>
        <v>160542.80089126673</v>
      </c>
      <c r="I94" s="51">
        <f t="shared" si="11"/>
        <v>186.38462016489035</v>
      </c>
      <c r="J94" s="133">
        <f>'Price Deck'!F88*$B$2</f>
        <v>383.01644893585853</v>
      </c>
      <c r="K94" s="155">
        <f t="shared" si="12"/>
        <v>0.19323467874445957</v>
      </c>
      <c r="L94" s="1">
        <v>0.1</v>
      </c>
      <c r="M94" s="155">
        <f t="shared" si="13"/>
        <v>0.19323467874445957</v>
      </c>
      <c r="N94" s="155">
        <f t="shared" si="14"/>
        <v>0.20155861508498485</v>
      </c>
      <c r="O94" s="155">
        <f t="shared" si="15"/>
        <v>0.26627528978717169</v>
      </c>
      <c r="Q94" s="51">
        <f t="shared" si="16"/>
        <v>-1.0280762777398028E-2</v>
      </c>
      <c r="R94" s="155">
        <f t="shared" si="17"/>
        <v>0.18295391596706154</v>
      </c>
      <c r="S94" s="51">
        <f t="shared" si="18"/>
        <v>0.18295391596706154</v>
      </c>
      <c r="T94" s="133">
        <f>'Price Deck'!F88</f>
        <v>60.89471786222272</v>
      </c>
      <c r="U94" s="85">
        <f t="shared" si="19"/>
        <v>71388.375351815106</v>
      </c>
      <c r="V94" s="85">
        <f t="shared" si="20"/>
        <v>13060.782825141028</v>
      </c>
      <c r="W94" s="85">
        <f t="shared" si="21"/>
        <v>11.140927094603017</v>
      </c>
    </row>
    <row r="95" spans="1:23">
      <c r="A95" t="str">
        <f>'Price Deck'!A89</f>
        <v>03/2026</v>
      </c>
      <c r="B95" s="51" t="e">
        <f>'[1]Oil Production'!#REF!</f>
        <v>#REF!</v>
      </c>
      <c r="C95" s="51">
        <f>'[1]Oil Production'!A91</f>
        <v>85</v>
      </c>
      <c r="D95" s="51">
        <f>'[1]Oil Production'!B91</f>
        <v>38.352762396946538</v>
      </c>
      <c r="E95" s="51">
        <f>'[1]Oil Production'!C91</f>
        <v>1166.5631895737906</v>
      </c>
      <c r="F95" s="51">
        <f>'[1]Oil Production'!D91</f>
        <v>161709.36408084052</v>
      </c>
      <c r="I95" s="51">
        <f t="shared" si="11"/>
        <v>185.46863064214469</v>
      </c>
      <c r="J95" s="133">
        <f>'Price Deck'!F89*$B$2</f>
        <v>382.80472066115658</v>
      </c>
      <c r="K95" s="155">
        <f t="shared" si="12"/>
        <v>0.19308435166942117</v>
      </c>
      <c r="L95" s="1">
        <v>0.1</v>
      </c>
      <c r="M95" s="155">
        <f t="shared" si="13"/>
        <v>0.19308435166942117</v>
      </c>
      <c r="N95" s="155">
        <f t="shared" si="14"/>
        <v>0.20147604105785108</v>
      </c>
      <c r="O95" s="155">
        <f t="shared" si="15"/>
        <v>0.26623294413223131</v>
      </c>
      <c r="Q95" s="51">
        <f t="shared" si="16"/>
        <v>-1.1517348633104671E-2</v>
      </c>
      <c r="R95" s="155">
        <f t="shared" si="17"/>
        <v>0.18156700303631651</v>
      </c>
      <c r="S95" s="51">
        <f t="shared" si="18"/>
        <v>0.18156700303631651</v>
      </c>
      <c r="T95" s="133">
        <f>'Price Deck'!F89</f>
        <v>60.861055773852229</v>
      </c>
      <c r="U95" s="85">
        <f t="shared" si="19"/>
        <v>70998.267344373424</v>
      </c>
      <c r="V95" s="85">
        <f t="shared" si="20"/>
        <v>12890.942622489061</v>
      </c>
      <c r="W95" s="85">
        <f t="shared" si="21"/>
        <v>11.050359498484458</v>
      </c>
    </row>
    <row r="96" spans="1:23">
      <c r="A96" t="str">
        <f>'Price Deck'!A90</f>
        <v>04/2026</v>
      </c>
      <c r="B96" s="51" t="e">
        <f>'[1]Oil Production'!#REF!</f>
        <v>#REF!</v>
      </c>
      <c r="C96" s="51">
        <f>'[1]Oil Production'!A92</f>
        <v>86</v>
      </c>
      <c r="D96" s="51">
        <f>'[1]Oil Production'!B92</f>
        <v>38.16647646370172</v>
      </c>
      <c r="E96" s="51">
        <f>'[1]Oil Production'!C92</f>
        <v>1160.896992437594</v>
      </c>
      <c r="F96" s="51">
        <f>'[1]Oil Production'!D92</f>
        <v>162870.26107327812</v>
      </c>
      <c r="I96" s="51">
        <f t="shared" si="11"/>
        <v>184.56777774948418</v>
      </c>
      <c r="J96" s="133">
        <f>'Price Deck'!F90*$B$2</f>
        <v>383.08702502742585</v>
      </c>
      <c r="K96" s="155">
        <f t="shared" si="12"/>
        <v>0.19328478776947239</v>
      </c>
      <c r="L96" s="1">
        <v>0.1</v>
      </c>
      <c r="M96" s="155">
        <f t="shared" si="13"/>
        <v>0.19328478776947239</v>
      </c>
      <c r="N96" s="155">
        <f t="shared" si="14"/>
        <v>0.20158613976069609</v>
      </c>
      <c r="O96" s="155">
        <f t="shared" si="15"/>
        <v>0.26628940500548515</v>
      </c>
      <c r="Q96" s="51">
        <f t="shared" si="16"/>
        <v>-1.2733500038196359E-2</v>
      </c>
      <c r="R96" s="155">
        <f t="shared" si="17"/>
        <v>0.18055128773127602</v>
      </c>
      <c r="S96" s="51">
        <f t="shared" si="18"/>
        <v>0.18055128773127602</v>
      </c>
      <c r="T96" s="133">
        <f>'Price Deck'!F90</f>
        <v>60.905938558346215</v>
      </c>
      <c r="U96" s="85">
        <f t="shared" si="19"/>
        <v>70705.520893973007</v>
      </c>
      <c r="V96" s="85">
        <f t="shared" si="20"/>
        <v>12765.972847117469</v>
      </c>
      <c r="W96" s="85">
        <f t="shared" si="21"/>
        <v>10.996645637191385</v>
      </c>
    </row>
    <row r="97" spans="1:23">
      <c r="A97" t="str">
        <f>'Price Deck'!A91</f>
        <v>05/2026</v>
      </c>
      <c r="B97" s="51" t="e">
        <f>'[1]Oil Production'!#REF!</f>
        <v>#REF!</v>
      </c>
      <c r="C97" s="51">
        <f>'[1]Oil Production'!A93</f>
        <v>87</v>
      </c>
      <c r="D97" s="51">
        <f>'[1]Oil Production'!B93</f>
        <v>37.983233382198797</v>
      </c>
      <c r="E97" s="51">
        <f>'[1]Oil Production'!C93</f>
        <v>1155.3233487085467</v>
      </c>
      <c r="F97" s="51">
        <f>'[1]Oil Production'!D93</f>
        <v>164025.58442198666</v>
      </c>
      <c r="I97" s="51">
        <f t="shared" si="11"/>
        <v>183.68163966510724</v>
      </c>
      <c r="J97" s="133">
        <f>'Price Deck'!F91*$B$2</f>
        <v>383.08702502742585</v>
      </c>
      <c r="K97" s="155">
        <f t="shared" si="12"/>
        <v>0.19328478776947239</v>
      </c>
      <c r="L97" s="1">
        <v>0.1</v>
      </c>
      <c r="M97" s="155">
        <f t="shared" si="13"/>
        <v>0.19328478776947239</v>
      </c>
      <c r="N97" s="155">
        <f t="shared" si="14"/>
        <v>0.20158613976069609</v>
      </c>
      <c r="O97" s="155">
        <f t="shared" si="15"/>
        <v>0.26628940500548515</v>
      </c>
      <c r="Q97" s="51">
        <f t="shared" si="16"/>
        <v>-1.3929786452105226E-2</v>
      </c>
      <c r="R97" s="155">
        <f t="shared" si="17"/>
        <v>0.17935500131736717</v>
      </c>
      <c r="S97" s="51">
        <f t="shared" si="18"/>
        <v>0.17935500131736717</v>
      </c>
      <c r="T97" s="133">
        <f>'Price Deck'!F91</f>
        <v>60.905938558346215</v>
      </c>
      <c r="U97" s="85">
        <f t="shared" si="19"/>
        <v>70366.052891465544</v>
      </c>
      <c r="V97" s="85">
        <f t="shared" si="20"/>
        <v>12620.503509046732</v>
      </c>
      <c r="W97" s="85">
        <f t="shared" si="21"/>
        <v>10.92378469036767</v>
      </c>
    </row>
    <row r="98" spans="1:23">
      <c r="A98" t="str">
        <f>'Price Deck'!A92</f>
        <v>06/2026</v>
      </c>
      <c r="B98" s="51" t="e">
        <f>'[1]Oil Production'!#REF!</f>
        <v>#REF!</v>
      </c>
      <c r="C98" s="51">
        <f>'[1]Oil Production'!A94</f>
        <v>88</v>
      </c>
      <c r="D98" s="51">
        <f>'[1]Oil Production'!B94</f>
        <v>37.802949322264389</v>
      </c>
      <c r="E98" s="51">
        <f>'[1]Oil Production'!C94</f>
        <v>1149.8397085522085</v>
      </c>
      <c r="F98" s="51">
        <f>'[1]Oil Production'!D94</f>
        <v>165175.42413053886</v>
      </c>
      <c r="I98" s="51">
        <f t="shared" si="11"/>
        <v>182.80981099794184</v>
      </c>
      <c r="J98" s="133">
        <f>'Price Deck'!F92*$B$2</f>
        <v>383.01644893585853</v>
      </c>
      <c r="K98" s="155">
        <f t="shared" si="12"/>
        <v>0.19323467874445957</v>
      </c>
      <c r="L98" s="1">
        <v>0.1</v>
      </c>
      <c r="M98" s="155">
        <f t="shared" si="13"/>
        <v>0.19323467874445957</v>
      </c>
      <c r="N98" s="155">
        <f t="shared" si="14"/>
        <v>0.20155861508498485</v>
      </c>
      <c r="O98" s="155">
        <f t="shared" si="15"/>
        <v>0.26627528978717169</v>
      </c>
      <c r="Q98" s="51">
        <f t="shared" si="16"/>
        <v>-1.5106755152778518E-2</v>
      </c>
      <c r="R98" s="155">
        <f t="shared" si="17"/>
        <v>0.17812792359168106</v>
      </c>
      <c r="S98" s="51">
        <f t="shared" si="18"/>
        <v>0.17812792359168106</v>
      </c>
      <c r="T98" s="133">
        <f>'Price Deck'!F92</f>
        <v>60.89471786222272</v>
      </c>
      <c r="U98" s="85">
        <f t="shared" si="19"/>
        <v>70019.164639067138</v>
      </c>
      <c r="V98" s="85">
        <f t="shared" si="20"/>
        <v>12472.368408781087</v>
      </c>
      <c r="W98" s="85">
        <f t="shared" si="21"/>
        <v>10.847049650498985</v>
      </c>
    </row>
    <row r="99" spans="1:23">
      <c r="A99" t="str">
        <f>'Price Deck'!A93</f>
        <v>07/2026</v>
      </c>
      <c r="B99" s="51" t="e">
        <f>'[1]Oil Production'!#REF!</f>
        <v>#REF!</v>
      </c>
      <c r="C99" s="51">
        <f>'[1]Oil Production'!A95</f>
        <v>89</v>
      </c>
      <c r="D99" s="51">
        <f>'[1]Oil Production'!B95</f>
        <v>37.625543682251518</v>
      </c>
      <c r="E99" s="51">
        <f>'[1]Oil Production'!C95</f>
        <v>1144.4436203351504</v>
      </c>
      <c r="F99" s="51">
        <f>'[1]Oil Production'!D95</f>
        <v>166319.86775087399</v>
      </c>
      <c r="I99" s="51">
        <f t="shared" si="11"/>
        <v>181.9519019696211</v>
      </c>
      <c r="J99" s="133">
        <f>'Price Deck'!F93*$B$2</f>
        <v>383.43990548526244</v>
      </c>
      <c r="K99" s="155">
        <f t="shared" si="12"/>
        <v>0.19353533289453634</v>
      </c>
      <c r="L99" s="1">
        <v>0.1</v>
      </c>
      <c r="M99" s="155">
        <f t="shared" si="13"/>
        <v>0.19353533289453634</v>
      </c>
      <c r="N99" s="155">
        <f t="shared" si="14"/>
        <v>0.20172376313925236</v>
      </c>
      <c r="O99" s="155">
        <f t="shared" si="15"/>
        <v>0.26635998109705245</v>
      </c>
      <c r="Q99" s="51">
        <f t="shared" si="16"/>
        <v>-1.626493234101151E-2</v>
      </c>
      <c r="R99" s="155">
        <f t="shared" si="17"/>
        <v>0.17727040055352483</v>
      </c>
      <c r="S99" s="51">
        <f t="shared" si="18"/>
        <v>0.17727040055352483</v>
      </c>
      <c r="T99" s="133">
        <f>'Price Deck'!F93</f>
        <v>60.962042038963702</v>
      </c>
      <c r="U99" s="85">
        <f t="shared" si="19"/>
        <v>69767.620094095255</v>
      </c>
      <c r="V99" s="85">
        <f t="shared" si="20"/>
        <v>12367.733959746414</v>
      </c>
      <c r="W99" s="85">
        <f t="shared" si="21"/>
        <v>10.806765610807917</v>
      </c>
    </row>
    <row r="100" spans="1:23">
      <c r="A100" t="str">
        <f>'Price Deck'!A94</f>
        <v>08/2026</v>
      </c>
      <c r="B100" s="51" t="e">
        <f>'[1]Oil Production'!#REF!</f>
        <v>#REF!</v>
      </c>
      <c r="C100" s="51">
        <f>'[1]Oil Production'!A96</f>
        <v>90</v>
      </c>
      <c r="D100" s="51">
        <f>'[1]Oil Production'!B96</f>
        <v>37.450938930095198</v>
      </c>
      <c r="E100" s="51">
        <f>'[1]Oil Production'!C96</f>
        <v>1139.1327257903956</v>
      </c>
      <c r="F100" s="51">
        <f>'[1]Oil Production'!D96</f>
        <v>167459.0004766644</v>
      </c>
      <c r="I100" s="51">
        <f t="shared" si="11"/>
        <v>181.10753764585021</v>
      </c>
      <c r="J100" s="133">
        <f>'Price Deck'!F94*$B$2</f>
        <v>383.43990548526244</v>
      </c>
      <c r="K100" s="155">
        <f t="shared" si="12"/>
        <v>0.19353533289453634</v>
      </c>
      <c r="L100" s="1">
        <v>0.1</v>
      </c>
      <c r="M100" s="155">
        <f t="shared" si="13"/>
        <v>0.19353533289453634</v>
      </c>
      <c r="N100" s="155">
        <f t="shared" si="14"/>
        <v>0.20172376313925236</v>
      </c>
      <c r="O100" s="155">
        <f t="shared" si="15"/>
        <v>0.26635998109705245</v>
      </c>
      <c r="Q100" s="51">
        <f t="shared" si="16"/>
        <v>-1.7404824178102209E-2</v>
      </c>
      <c r="R100" s="155">
        <f t="shared" si="17"/>
        <v>0.17613050871643413</v>
      </c>
      <c r="S100" s="51">
        <f t="shared" si="18"/>
        <v>0.17613050871643413</v>
      </c>
      <c r="T100" s="133">
        <f>'Price Deck'!F94</f>
        <v>60.962042038963702</v>
      </c>
      <c r="U100" s="85">
        <f t="shared" si="19"/>
        <v>69443.857117593405</v>
      </c>
      <c r="V100" s="85">
        <f t="shared" si="20"/>
        <v>12231.181881353092</v>
      </c>
      <c r="W100" s="85">
        <f t="shared" si="21"/>
        <v>10.73727547671532</v>
      </c>
    </row>
    <row r="101" spans="1:23">
      <c r="A101" t="str">
        <f>'Price Deck'!A95</f>
        <v>09/2026</v>
      </c>
      <c r="B101" s="51" t="e">
        <f>'[1]Oil Production'!#REF!</f>
        <v>#REF!</v>
      </c>
      <c r="C101" s="51">
        <f>'[1]Oil Production'!A97</f>
        <v>91</v>
      </c>
      <c r="D101" s="51">
        <f>'[1]Oil Production'!B97</f>
        <v>37.279060453859252</v>
      </c>
      <c r="E101" s="51">
        <f>'[1]Oil Production'!C97</f>
        <v>1133.9047554715523</v>
      </c>
      <c r="F101" s="51">
        <f>'[1]Oil Production'!D97</f>
        <v>168592.90523213596</v>
      </c>
      <c r="I101" s="51">
        <f t="shared" si="11"/>
        <v>180.27635721367156</v>
      </c>
      <c r="J101" s="133">
        <f>'Price Deck'!F95*$B$2</f>
        <v>383.51048157682982</v>
      </c>
      <c r="K101" s="155">
        <f t="shared" si="12"/>
        <v>0.19358544191954918</v>
      </c>
      <c r="L101" s="1">
        <v>0.1</v>
      </c>
      <c r="M101" s="155">
        <f t="shared" si="13"/>
        <v>0.19358544191954918</v>
      </c>
      <c r="N101" s="155">
        <f t="shared" si="14"/>
        <v>0.20175128781496363</v>
      </c>
      <c r="O101" s="155">
        <f t="shared" si="15"/>
        <v>0.2663740963153659</v>
      </c>
      <c r="Q101" s="51">
        <f t="shared" si="16"/>
        <v>-1.8526917761543395E-2</v>
      </c>
      <c r="R101" s="155">
        <f t="shared" si="17"/>
        <v>0.1750585241580058</v>
      </c>
      <c r="S101" s="51">
        <f t="shared" si="18"/>
        <v>0.1750585241580058</v>
      </c>
      <c r="T101" s="133">
        <f>'Price Deck'!F95</f>
        <v>60.973262735087211</v>
      </c>
      <c r="U101" s="85">
        <f t="shared" si="19"/>
        <v>69137.872571931774</v>
      </c>
      <c r="V101" s="85">
        <f t="shared" si="20"/>
        <v>12103.173935866645</v>
      </c>
      <c r="W101" s="85">
        <f t="shared" si="21"/>
        <v>10.673889387502699</v>
      </c>
    </row>
    <row r="102" spans="1:23">
      <c r="A102" t="str">
        <f>'Price Deck'!A96</f>
        <v>10/2026</v>
      </c>
      <c r="B102" s="51" t="e">
        <f>'[1]Oil Production'!#REF!</f>
        <v>#REF!</v>
      </c>
      <c r="C102" s="51">
        <f>'[1]Oil Production'!A98</f>
        <v>92</v>
      </c>
      <c r="D102" s="51">
        <f>'[1]Oil Production'!B98</f>
        <v>37.10983642111011</v>
      </c>
      <c r="E102" s="51">
        <f>'[1]Oil Production'!C98</f>
        <v>1128.7575244754325</v>
      </c>
      <c r="F102" s="51">
        <f>'[1]Oil Production'!D98</f>
        <v>169721.66275661139</v>
      </c>
      <c r="I102" s="51">
        <f t="shared" si="11"/>
        <v>179.458013301416</v>
      </c>
      <c r="J102" s="133">
        <f>'Price Deck'!F96*$B$2</f>
        <v>383.6516337599644</v>
      </c>
      <c r="K102" s="155">
        <f t="shared" si="12"/>
        <v>0.19368565996957474</v>
      </c>
      <c r="L102" s="1">
        <v>0.1</v>
      </c>
      <c r="M102" s="155">
        <f t="shared" si="13"/>
        <v>0.19368565996957474</v>
      </c>
      <c r="N102" s="155">
        <f t="shared" si="14"/>
        <v>0.20180633716638613</v>
      </c>
      <c r="O102" s="155">
        <f t="shared" si="15"/>
        <v>0.26640232675199282</v>
      </c>
      <c r="Q102" s="51">
        <f t="shared" si="16"/>
        <v>-1.9631682043088398E-2</v>
      </c>
      <c r="R102" s="155">
        <f t="shared" si="17"/>
        <v>0.17405397792648633</v>
      </c>
      <c r="S102" s="51">
        <f t="shared" si="18"/>
        <v>0.17405397792648633</v>
      </c>
      <c r="T102" s="133">
        <f>'Price Deck'!F96</f>
        <v>60.9957041273342</v>
      </c>
      <c r="U102" s="85">
        <f t="shared" si="19"/>
        <v>68849.359994405677</v>
      </c>
      <c r="V102" s="85">
        <f t="shared" si="20"/>
        <v>11983.504984718997</v>
      </c>
      <c r="W102" s="85">
        <f t="shared" si="21"/>
        <v>10.616544939789518</v>
      </c>
    </row>
    <row r="103" spans="1:23">
      <c r="A103" t="str">
        <f>'Price Deck'!A97</f>
        <v>11/2026</v>
      </c>
      <c r="B103" s="51" t="e">
        <f>'[1]Oil Production'!#REF!</f>
        <v>#REF!</v>
      </c>
      <c r="C103" s="51">
        <f>'[1]Oil Production'!A99</f>
        <v>93</v>
      </c>
      <c r="D103" s="51">
        <f>'[1]Oil Production'!B99</f>
        <v>36.943197646506803</v>
      </c>
      <c r="E103" s="51">
        <f>'[1]Oil Production'!C99</f>
        <v>1123.6889284145821</v>
      </c>
      <c r="F103" s="51">
        <f>'[1]Oil Production'!D99</f>
        <v>170845.35168502596</v>
      </c>
      <c r="I103" s="51">
        <f t="shared" si="11"/>
        <v>178.65217133838649</v>
      </c>
      <c r="J103" s="133">
        <f>'Price Deck'!F97*$B$2</f>
        <v>384.07509030936836</v>
      </c>
      <c r="K103" s="155">
        <f t="shared" si="12"/>
        <v>0.19398631411965156</v>
      </c>
      <c r="L103" s="1">
        <v>0.1</v>
      </c>
      <c r="M103" s="155">
        <f t="shared" si="13"/>
        <v>0.19398631411965156</v>
      </c>
      <c r="N103" s="155">
        <f t="shared" si="14"/>
        <v>0.20197148522065367</v>
      </c>
      <c r="O103" s="155">
        <f t="shared" si="15"/>
        <v>0.26648701806187364</v>
      </c>
      <c r="Q103" s="51">
        <f t="shared" si="16"/>
        <v>-2.0719568693178234E-2</v>
      </c>
      <c r="R103" s="155">
        <f t="shared" si="17"/>
        <v>0.17326674542647333</v>
      </c>
      <c r="S103" s="51">
        <f t="shared" si="18"/>
        <v>0.17326674542647333</v>
      </c>
      <c r="T103" s="133">
        <f>'Price Deck'!F97</f>
        <v>61.063028304075189</v>
      </c>
      <c r="U103" s="85">
        <f t="shared" si="19"/>
        <v>68615.848840755541</v>
      </c>
      <c r="V103" s="85">
        <f t="shared" si="20"/>
        <v>11888.844813312566</v>
      </c>
      <c r="W103" s="85">
        <f t="shared" si="21"/>
        <v>10.580192180131732</v>
      </c>
    </row>
    <row r="104" spans="1:23">
      <c r="A104" t="str">
        <f>'Price Deck'!A98</f>
        <v>12/2026</v>
      </c>
      <c r="B104" s="51" t="e">
        <f>'[1]Oil Production'!#REF!</f>
        <v>#REF!</v>
      </c>
      <c r="C104" s="51">
        <f>'[1]Oil Production'!A100</f>
        <v>94</v>
      </c>
      <c r="D104" s="51">
        <f>'[1]Oil Production'!B100</f>
        <v>36.779077467044445</v>
      </c>
      <c r="E104" s="51">
        <f>'[1]Oil Production'!C100</f>
        <v>1118.6969396226018</v>
      </c>
      <c r="F104" s="51">
        <f>'[1]Oil Production'!D100</f>
        <v>171964.04862464857</v>
      </c>
      <c r="I104" s="51">
        <f t="shared" si="11"/>
        <v>177.85850895155275</v>
      </c>
      <c r="J104" s="133">
        <f>'Price Deck'!F98*$B$2</f>
        <v>383.93393812623373</v>
      </c>
      <c r="K104" s="155">
        <f t="shared" si="12"/>
        <v>0.19388609606962598</v>
      </c>
      <c r="L104" s="1">
        <v>0.1</v>
      </c>
      <c r="M104" s="155">
        <f t="shared" si="13"/>
        <v>0.19388609606962598</v>
      </c>
      <c r="N104" s="155">
        <f t="shared" si="14"/>
        <v>0.20191643586923116</v>
      </c>
      <c r="O104" s="155">
        <f t="shared" si="15"/>
        <v>0.26645878762524672</v>
      </c>
      <c r="Q104" s="51">
        <f t="shared" si="16"/>
        <v>-2.1791012915403789E-2</v>
      </c>
      <c r="R104" s="155">
        <f t="shared" si="17"/>
        <v>0.1720950831542222</v>
      </c>
      <c r="S104" s="51">
        <f t="shared" si="18"/>
        <v>0.1720950831542222</v>
      </c>
      <c r="T104" s="133">
        <f>'Price Deck'!F98</f>
        <v>61.040586911828193</v>
      </c>
      <c r="U104" s="85">
        <f t="shared" si="19"/>
        <v>68285.917771029635</v>
      </c>
      <c r="V104" s="85">
        <f t="shared" si="20"/>
        <v>11751.670697067724</v>
      </c>
      <c r="W104" s="85">
        <f t="shared" si="21"/>
        <v>10.504784880373599</v>
      </c>
    </row>
    <row r="105" spans="1:23">
      <c r="A105" t="str">
        <f>'Price Deck'!A99</f>
        <v>01/2027</v>
      </c>
      <c r="B105" s="51" t="e">
        <f>'[1]Oil Production'!#REF!</f>
        <v>#REF!</v>
      </c>
      <c r="C105" s="51">
        <f>'[1]Oil Production'!A101</f>
        <v>95</v>
      </c>
      <c r="D105" s="51">
        <f>'[1]Oil Production'!B101</f>
        <v>36.617411624432677</v>
      </c>
      <c r="E105" s="51">
        <f>'[1]Oil Production'!C101</f>
        <v>1113.7796035764939</v>
      </c>
      <c r="F105" s="51">
        <f>'[1]Oil Production'!D101</f>
        <v>173077.82822822506</v>
      </c>
      <c r="I105" s="51">
        <f t="shared" si="11"/>
        <v>177.07671539675002</v>
      </c>
      <c r="J105" s="133">
        <f>'Price Deck'!F99*$B$2</f>
        <v>401.0339957923091</v>
      </c>
      <c r="K105" s="155">
        <f t="shared" si="12"/>
        <v>0.2060271370125395</v>
      </c>
      <c r="L105" s="1">
        <v>0.1</v>
      </c>
      <c r="M105" s="155">
        <f t="shared" si="13"/>
        <v>0.2060271370125395</v>
      </c>
      <c r="N105" s="155">
        <f t="shared" si="14"/>
        <v>0.20858545835900055</v>
      </c>
      <c r="O105" s="155">
        <f t="shared" si="15"/>
        <v>0.2698787991584618</v>
      </c>
      <c r="Q105" s="51">
        <f t="shared" si="16"/>
        <v>-2.2846434214387479E-2</v>
      </c>
      <c r="R105" s="155">
        <f t="shared" si="17"/>
        <v>0.18318070279815202</v>
      </c>
      <c r="S105" s="51">
        <f t="shared" si="18"/>
        <v>0.18318070279815202</v>
      </c>
      <c r="T105" s="133">
        <f>'Price Deck'!F99</f>
        <v>63.75927742733078</v>
      </c>
      <c r="U105" s="85">
        <f t="shared" si="19"/>
        <v>71013.782737336165</v>
      </c>
      <c r="V105" s="85">
        <f t="shared" si="20"/>
        <v>13008.354630180515</v>
      </c>
      <c r="W105" s="85">
        <f t="shared" si="21"/>
        <v>11.679469249040801</v>
      </c>
    </row>
    <row r="106" spans="1:23">
      <c r="A106" t="str">
        <f>'Price Deck'!A100</f>
        <v>02/2027</v>
      </c>
      <c r="B106" s="51" t="e">
        <f>'[1]Oil Production'!#REF!</f>
        <v>#REF!</v>
      </c>
      <c r="C106" s="51">
        <f>'[1]Oil Production'!A102</f>
        <v>96</v>
      </c>
      <c r="D106" s="51">
        <f>'[1]Oil Production'!B102</f>
        <v>36.458138154130843</v>
      </c>
      <c r="E106" s="51">
        <f>'[1]Oil Production'!C102</f>
        <v>1108.9350355214799</v>
      </c>
      <c r="F106" s="51">
        <f>'[1]Oil Production'!D102</f>
        <v>174186.76326374654</v>
      </c>
      <c r="I106" s="51">
        <f t="shared" si="11"/>
        <v>176.30649102206837</v>
      </c>
      <c r="J106" s="133">
        <f>'Price Deck'!F100*$B$2</f>
        <v>401.10778309604274</v>
      </c>
      <c r="K106" s="155">
        <f t="shared" si="12"/>
        <v>0.20607952599819035</v>
      </c>
      <c r="L106" s="1">
        <v>0.1</v>
      </c>
      <c r="M106" s="155">
        <f t="shared" si="13"/>
        <v>0.20607952599819035</v>
      </c>
      <c r="N106" s="155">
        <f t="shared" si="14"/>
        <v>0.20861423540745666</v>
      </c>
      <c r="O106" s="155">
        <f t="shared" si="15"/>
        <v>0.26989355661920855</v>
      </c>
      <c r="Q106" s="51">
        <f t="shared" si="16"/>
        <v>-2.3886237120207699E-2</v>
      </c>
      <c r="R106" s="155">
        <f t="shared" si="17"/>
        <v>0.18219328887798264</v>
      </c>
      <c r="S106" s="51">
        <f t="shared" si="18"/>
        <v>0.18219328887798264</v>
      </c>
      <c r="T106" s="133">
        <f>'Price Deck'!F100</f>
        <v>63.771008665127894</v>
      </c>
      <c r="U106" s="85">
        <f t="shared" si="19"/>
        <v>70717.905759304209</v>
      </c>
      <c r="V106" s="85">
        <f t="shared" si="20"/>
        <v>12884.327832850864</v>
      </c>
      <c r="W106" s="85">
        <f t="shared" si="21"/>
        <v>11.618649803765981</v>
      </c>
    </row>
    <row r="107" spans="1:23">
      <c r="A107" t="str">
        <f>'Price Deck'!A101</f>
        <v>03/2027</v>
      </c>
      <c r="B107" s="51" t="e">
        <f>'[1]Oil Production'!#REF!</f>
        <v>#REF!</v>
      </c>
      <c r="C107" s="51">
        <f>'[1]Oil Production'!A103</f>
        <v>97</v>
      </c>
      <c r="D107" s="51">
        <f>'[1]Oil Production'!B103</f>
        <v>36.301197280598082</v>
      </c>
      <c r="E107" s="51">
        <f>'[1]Oil Production'!C103</f>
        <v>1104.1614172848583</v>
      </c>
      <c r="F107" s="51">
        <f>'[1]Oil Production'!D103</f>
        <v>175290.92468103141</v>
      </c>
      <c r="I107" s="51">
        <f t="shared" si="11"/>
        <v>175.54754676129664</v>
      </c>
      <c r="J107" s="133">
        <f>'Price Deck'!F101*$B$2</f>
        <v>400.88642118484182</v>
      </c>
      <c r="K107" s="155">
        <f t="shared" si="12"/>
        <v>0.20592235904123771</v>
      </c>
      <c r="L107" s="1">
        <v>0.1</v>
      </c>
      <c r="M107" s="155">
        <f t="shared" si="13"/>
        <v>0.20592235904123771</v>
      </c>
      <c r="N107" s="155">
        <f t="shared" si="14"/>
        <v>0.20852790426208831</v>
      </c>
      <c r="O107" s="155">
        <f t="shared" si="15"/>
        <v>0.26984928423696836</v>
      </c>
      <c r="Q107" s="51">
        <f t="shared" si="16"/>
        <v>-2.4910811872249531E-2</v>
      </c>
      <c r="R107" s="155">
        <f t="shared" si="17"/>
        <v>0.18101154716898818</v>
      </c>
      <c r="S107" s="51">
        <f t="shared" si="18"/>
        <v>0.18101154716898818</v>
      </c>
      <c r="T107" s="133">
        <f>'Price Deck'!F101</f>
        <v>63.735814951736543</v>
      </c>
      <c r="U107" s="85">
        <f t="shared" si="19"/>
        <v>70374.627768914885</v>
      </c>
      <c r="V107" s="85">
        <f t="shared" si="20"/>
        <v>12738.620253892923</v>
      </c>
      <c r="W107" s="85">
        <f t="shared" si="21"/>
        <v>11.536918474490163</v>
      </c>
    </row>
    <row r="108" spans="1:23">
      <c r="A108" t="str">
        <f>'Price Deck'!A102</f>
        <v>04/2027</v>
      </c>
      <c r="B108" s="51" t="e">
        <f>'[1]Oil Production'!#REF!</f>
        <v>#REF!</v>
      </c>
      <c r="C108" s="51">
        <f>'[1]Oil Production'!A104</f>
        <v>98</v>
      </c>
      <c r="D108" s="51">
        <f>'[1]Oil Production'!B104</f>
        <v>36.14653131835027</v>
      </c>
      <c r="E108" s="51">
        <f>'[1]Oil Production'!C104</f>
        <v>1099.4569942664875</v>
      </c>
      <c r="F108" s="51">
        <f>'[1]Oil Production'!D104</f>
        <v>176390.38167529789</v>
      </c>
      <c r="I108" s="51">
        <f t="shared" si="11"/>
        <v>174.79960365544792</v>
      </c>
      <c r="J108" s="133">
        <f>'Price Deck'!F102*$B$2</f>
        <v>400.88642118484182</v>
      </c>
      <c r="K108" s="155">
        <f t="shared" si="12"/>
        <v>0.20592235904123771</v>
      </c>
      <c r="L108" s="1">
        <v>0.1</v>
      </c>
      <c r="M108" s="155">
        <f t="shared" si="13"/>
        <v>0.20592235904123771</v>
      </c>
      <c r="N108" s="155">
        <f t="shared" si="14"/>
        <v>0.20852790426208831</v>
      </c>
      <c r="O108" s="155">
        <f t="shared" si="15"/>
        <v>0.26984928423696836</v>
      </c>
      <c r="Q108" s="51">
        <f t="shared" si="16"/>
        <v>-2.5920535065145304E-2</v>
      </c>
      <c r="R108" s="155">
        <f t="shared" si="17"/>
        <v>0.18000182397609241</v>
      </c>
      <c r="S108" s="51">
        <f t="shared" si="18"/>
        <v>0.18000182397609241</v>
      </c>
      <c r="T108" s="133">
        <f>'Price Deck'!F102</f>
        <v>63.735814951736543</v>
      </c>
      <c r="U108" s="85">
        <f t="shared" si="19"/>
        <v>70074.787533961309</v>
      </c>
      <c r="V108" s="85">
        <f t="shared" si="20"/>
        <v>12613.589570850178</v>
      </c>
      <c r="W108" s="85">
        <f t="shared" si="21"/>
        <v>11.472562943915278</v>
      </c>
    </row>
    <row r="109" spans="1:23">
      <c r="A109" t="str">
        <f>'Price Deck'!A103</f>
        <v>05/2027</v>
      </c>
      <c r="B109" s="51" t="e">
        <f>'[1]Oil Production'!#REF!</f>
        <v>#REF!</v>
      </c>
      <c r="C109" s="51">
        <f>'[1]Oil Production'!A105</f>
        <v>99</v>
      </c>
      <c r="D109" s="51">
        <f>'[1]Oil Production'!B105</f>
        <v>35.994084578446362</v>
      </c>
      <c r="E109" s="51">
        <f>'[1]Oil Production'!C105</f>
        <v>1094.8200725944102</v>
      </c>
      <c r="F109" s="51">
        <f>'[1]Oil Production'!D105</f>
        <v>177485.20174789231</v>
      </c>
      <c r="I109" s="51">
        <f t="shared" si="11"/>
        <v>174.06239240054003</v>
      </c>
      <c r="J109" s="133">
        <f>'Price Deck'!F103*$B$2</f>
        <v>400.7388465773746</v>
      </c>
      <c r="K109" s="155">
        <f t="shared" si="12"/>
        <v>0.20581758106993597</v>
      </c>
      <c r="L109" s="1">
        <v>0.1</v>
      </c>
      <c r="M109" s="155">
        <f t="shared" si="13"/>
        <v>0.20581758106993597</v>
      </c>
      <c r="N109" s="155">
        <f t="shared" si="14"/>
        <v>0.20847035016517609</v>
      </c>
      <c r="O109" s="155">
        <f t="shared" si="15"/>
        <v>0.26981976931547491</v>
      </c>
      <c r="Q109" s="51">
        <f t="shared" si="16"/>
        <v>-2.6915770259270954E-2</v>
      </c>
      <c r="R109" s="155">
        <f t="shared" si="17"/>
        <v>0.17890181081066503</v>
      </c>
      <c r="S109" s="51">
        <f t="shared" si="18"/>
        <v>0.17890181081066503</v>
      </c>
      <c r="T109" s="133">
        <f>'Price Deck'!F103</f>
        <v>63.712352476142314</v>
      </c>
      <c r="U109" s="85">
        <f t="shared" si="19"/>
        <v>69753.562363090779</v>
      </c>
      <c r="V109" s="85">
        <f t="shared" si="20"/>
        <v>12479.038617251592</v>
      </c>
      <c r="W109" s="85">
        <f t="shared" si="21"/>
        <v>11.398255228989218</v>
      </c>
    </row>
    <row r="110" spans="1:23">
      <c r="A110" t="str">
        <f>'Price Deck'!A104</f>
        <v>06/2027</v>
      </c>
      <c r="B110" s="51" t="e">
        <f>'[1]Oil Production'!#REF!</f>
        <v>#REF!</v>
      </c>
      <c r="C110" s="51">
        <f>'[1]Oil Production'!A106</f>
        <v>100</v>
      </c>
      <c r="D110" s="51">
        <f>'[1]Oil Production'!B106</f>
        <v>35.843803280054608</v>
      </c>
      <c r="E110" s="51">
        <f>'[1]Oil Production'!C106</f>
        <v>1090.2490164349945</v>
      </c>
      <c r="F110" s="51">
        <f>'[1]Oil Production'!D106</f>
        <v>178575.45076432731</v>
      </c>
      <c r="I110" s="51">
        <f t="shared" si="11"/>
        <v>173.33565291994239</v>
      </c>
      <c r="J110" s="133">
        <f>'Price Deck'!F104*$B$2</f>
        <v>400.51748466617369</v>
      </c>
      <c r="K110" s="155">
        <f t="shared" si="12"/>
        <v>0.20566041411298333</v>
      </c>
      <c r="L110" s="1">
        <v>0.1</v>
      </c>
      <c r="M110" s="155">
        <f t="shared" si="13"/>
        <v>0.20566041411298333</v>
      </c>
      <c r="N110" s="155">
        <f t="shared" si="14"/>
        <v>0.20838401901980774</v>
      </c>
      <c r="O110" s="155">
        <f t="shared" si="15"/>
        <v>0.26977549693323472</v>
      </c>
      <c r="Q110" s="51">
        <f t="shared" si="16"/>
        <v>-2.7896868558077773E-2</v>
      </c>
      <c r="R110" s="155">
        <f t="shared" si="17"/>
        <v>0.17776354555490556</v>
      </c>
      <c r="S110" s="51">
        <f t="shared" si="18"/>
        <v>0.17776354555490556</v>
      </c>
      <c r="T110" s="133">
        <f>'Price Deck'!F104</f>
        <v>63.677158762750963</v>
      </c>
      <c r="U110" s="85">
        <f t="shared" si="19"/>
        <v>69423.959710464231</v>
      </c>
      <c r="V110" s="85">
        <f t="shared" si="20"/>
        <v>12341.049224593036</v>
      </c>
      <c r="W110" s="85">
        <f t="shared" si="21"/>
        <v>11.319477512529234</v>
      </c>
    </row>
    <row r="111" spans="1:23">
      <c r="A111" t="str">
        <f>'Price Deck'!A105</f>
        <v>07/2027</v>
      </c>
      <c r="B111" s="51" t="e">
        <f>'[1]Oil Production'!#REF!</f>
        <v>#REF!</v>
      </c>
      <c r="C111" s="51">
        <f>'[1]Oil Production'!A107</f>
        <v>101</v>
      </c>
      <c r="D111" s="51">
        <f>'[1]Oil Production'!B107</f>
        <v>35.695635466775215</v>
      </c>
      <c r="E111" s="51">
        <f>'[1]Oil Production'!C107</f>
        <v>1085.7422454477462</v>
      </c>
      <c r="F111" s="51">
        <f>'[1]Oil Production'!D107</f>
        <v>179661.19300977504</v>
      </c>
      <c r="I111" s="51">
        <f t="shared" si="11"/>
        <v>172.6191339597238</v>
      </c>
      <c r="J111" s="133">
        <f>'Price Deck'!F105*$B$2</f>
        <v>400.7388465773746</v>
      </c>
      <c r="K111" s="155">
        <f t="shared" si="12"/>
        <v>0.20581758106993597</v>
      </c>
      <c r="L111" s="1">
        <v>0.1</v>
      </c>
      <c r="M111" s="155">
        <f t="shared" si="13"/>
        <v>0.20581758106993597</v>
      </c>
      <c r="N111" s="155">
        <f t="shared" si="14"/>
        <v>0.20847035016517609</v>
      </c>
      <c r="O111" s="155">
        <f t="shared" si="15"/>
        <v>0.26981976931547491</v>
      </c>
      <c r="Q111" s="51">
        <f t="shared" si="16"/>
        <v>-2.8864169154372874E-2</v>
      </c>
      <c r="R111" s="155">
        <f t="shared" si="17"/>
        <v>0.1769534119155631</v>
      </c>
      <c r="S111" s="51">
        <f t="shared" si="18"/>
        <v>0.1769534119155631</v>
      </c>
      <c r="T111" s="133">
        <f>'Price Deck'!F105</f>
        <v>63.712352476142314</v>
      </c>
      <c r="U111" s="85">
        <f t="shared" si="19"/>
        <v>69175.19264020503</v>
      </c>
      <c r="V111" s="85">
        <f t="shared" si="20"/>
        <v>12240.786357600629</v>
      </c>
      <c r="W111" s="85">
        <f t="shared" si="21"/>
        <v>11.274118151820357</v>
      </c>
    </row>
    <row r="112" spans="1:23">
      <c r="A112" t="str">
        <f>'Price Deck'!A106</f>
        <v>08/2027</v>
      </c>
      <c r="B112" s="51" t="e">
        <f>'[1]Oil Production'!#REF!</f>
        <v>#REF!</v>
      </c>
      <c r="C112" s="51">
        <f>'[1]Oil Production'!A108</f>
        <v>102</v>
      </c>
      <c r="D112" s="51">
        <f>'[1]Oil Production'!B108</f>
        <v>35.549530927419077</v>
      </c>
      <c r="E112" s="51">
        <f>'[1]Oil Production'!C108</f>
        <v>1081.2982323756637</v>
      </c>
      <c r="F112" s="51">
        <f>'[1]Oil Production'!D108</f>
        <v>180742.49124215072</v>
      </c>
      <c r="I112" s="51">
        <f t="shared" si="11"/>
        <v>171.9125927055496</v>
      </c>
      <c r="J112" s="133">
        <f>'Price Deck'!F106*$B$2</f>
        <v>400.66505927364091</v>
      </c>
      <c r="K112" s="155">
        <f t="shared" si="12"/>
        <v>0.20576519208428506</v>
      </c>
      <c r="L112" s="1">
        <v>0.1</v>
      </c>
      <c r="M112" s="155">
        <f t="shared" si="13"/>
        <v>0.20576519208428506</v>
      </c>
      <c r="N112" s="155">
        <f t="shared" si="14"/>
        <v>0.20844157311671996</v>
      </c>
      <c r="O112" s="155">
        <f t="shared" si="15"/>
        <v>0.26980501185472816</v>
      </c>
      <c r="Q112" s="51">
        <f t="shared" si="16"/>
        <v>-2.9817999847508044E-2</v>
      </c>
      <c r="R112" s="155">
        <f t="shared" si="17"/>
        <v>0.17594719223677702</v>
      </c>
      <c r="S112" s="51">
        <f t="shared" si="18"/>
        <v>0.17594719223677702</v>
      </c>
      <c r="T112" s="133">
        <f>'Price Deck'!F106</f>
        <v>63.700621238345192</v>
      </c>
      <c r="U112" s="85">
        <f t="shared" si="19"/>
        <v>68879.369146254321</v>
      </c>
      <c r="V112" s="85">
        <f t="shared" si="20"/>
        <v>12119.131604323937</v>
      </c>
      <c r="W112" s="85">
        <f t="shared" si="21"/>
        <v>11.207945450625243</v>
      </c>
    </row>
    <row r="113" spans="1:23">
      <c r="A113" t="str">
        <f>'Price Deck'!A107</f>
        <v>09/2027</v>
      </c>
      <c r="B113" s="51" t="e">
        <f>'[1]Oil Production'!#REF!</f>
        <v>#REF!</v>
      </c>
      <c r="C113" s="51">
        <f>'[1]Oil Production'!A109</f>
        <v>103</v>
      </c>
      <c r="D113" s="51">
        <f>'[1]Oil Production'!B109</f>
        <v>35.405441120964475</v>
      </c>
      <c r="E113" s="51">
        <f>'[1]Oil Production'!C109</f>
        <v>1076.9155007626696</v>
      </c>
      <c r="F113" s="51">
        <f>'[1]Oil Production'!D109</f>
        <v>181819.40674291339</v>
      </c>
      <c r="I113" s="51">
        <f t="shared" si="11"/>
        <v>171.21579441978247</v>
      </c>
      <c r="J113" s="133">
        <f>'Price Deck'!F107*$B$2</f>
        <v>400.51748466617369</v>
      </c>
      <c r="K113" s="155">
        <f t="shared" si="12"/>
        <v>0.20566041411298333</v>
      </c>
      <c r="L113" s="1">
        <v>0.1</v>
      </c>
      <c r="M113" s="155">
        <f t="shared" si="13"/>
        <v>0.20566041411298333</v>
      </c>
      <c r="N113" s="155">
        <f t="shared" si="14"/>
        <v>0.20838401901980774</v>
      </c>
      <c r="O113" s="155">
        <f t="shared" si="15"/>
        <v>0.26977549693323472</v>
      </c>
      <c r="Q113" s="51">
        <f t="shared" si="16"/>
        <v>-3.0758677533293668E-2</v>
      </c>
      <c r="R113" s="155">
        <f t="shared" si="17"/>
        <v>0.17490173657968966</v>
      </c>
      <c r="S113" s="51">
        <f t="shared" si="18"/>
        <v>0.17490173657968966</v>
      </c>
      <c r="T113" s="133">
        <f>'Price Deck'!F107</f>
        <v>63.677158762750963</v>
      </c>
      <c r="U113" s="85">
        <f t="shared" si="19"/>
        <v>68574.919316131971</v>
      </c>
      <c r="V113" s="85">
        <f t="shared" si="20"/>
        <v>11993.872474203587</v>
      </c>
      <c r="W113" s="85">
        <f t="shared" si="21"/>
        <v>11.137245648065747</v>
      </c>
    </row>
    <row r="114" spans="1:23">
      <c r="A114" t="str">
        <f>'Price Deck'!A108</f>
        <v>10/2027</v>
      </c>
      <c r="B114" s="51" t="e">
        <f>'[1]Oil Production'!#REF!</f>
        <v>#REF!</v>
      </c>
      <c r="C114" s="51">
        <f>'[1]Oil Production'!A110</f>
        <v>104</v>
      </c>
      <c r="D114" s="51">
        <f>'[1]Oil Production'!B110</f>
        <v>35.263319105433148</v>
      </c>
      <c r="E114" s="51">
        <f>'[1]Oil Production'!C110</f>
        <v>1072.5926227902582</v>
      </c>
      <c r="F114" s="51">
        <f>'[1]Oil Production'!D110</f>
        <v>182891.99936570364</v>
      </c>
      <c r="I114" s="51">
        <f t="shared" si="11"/>
        <v>170.52851209753712</v>
      </c>
      <c r="J114" s="133">
        <f>'Price Deck'!F108*$B$2</f>
        <v>400.51748466617369</v>
      </c>
      <c r="K114" s="155">
        <f t="shared" si="12"/>
        <v>0.20566041411298333</v>
      </c>
      <c r="L114" s="1">
        <v>0.1</v>
      </c>
      <c r="M114" s="155">
        <f t="shared" si="13"/>
        <v>0.20566041411298333</v>
      </c>
      <c r="N114" s="155">
        <f t="shared" si="14"/>
        <v>0.20838401901980774</v>
      </c>
      <c r="O114" s="155">
        <f t="shared" si="15"/>
        <v>0.26977549693323472</v>
      </c>
      <c r="Q114" s="51">
        <f t="shared" si="16"/>
        <v>-3.1686508668324891E-2</v>
      </c>
      <c r="R114" s="155">
        <f t="shared" si="17"/>
        <v>0.17397390544465843</v>
      </c>
      <c r="S114" s="51">
        <f t="shared" si="18"/>
        <v>0.17397390544465843</v>
      </c>
      <c r="T114" s="133">
        <f>'Price Deck'!F108</f>
        <v>63.677158762750963</v>
      </c>
      <c r="U114" s="85">
        <f t="shared" si="19"/>
        <v>68299.650729170738</v>
      </c>
      <c r="V114" s="85">
        <f t="shared" si="20"/>
        <v>11882.356977859947</v>
      </c>
      <c r="W114" s="85">
        <f t="shared" si="21"/>
        <v>11.078163997575341</v>
      </c>
    </row>
    <row r="115" spans="1:23">
      <c r="A115" t="str">
        <f>'Price Deck'!A109</f>
        <v>11/2027</v>
      </c>
      <c r="B115" s="51" t="e">
        <f>'[1]Oil Production'!#REF!</f>
        <v>#REF!</v>
      </c>
      <c r="C115" s="51">
        <f>'[1]Oil Production'!A111</f>
        <v>105</v>
      </c>
      <c r="D115" s="51">
        <f>'[1]Oil Production'!B111</f>
        <v>35.123119470445374</v>
      </c>
      <c r="E115" s="51">
        <f>'[1]Oil Production'!C111</f>
        <v>1068.3282172260469</v>
      </c>
      <c r="F115" s="51">
        <f>'[1]Oil Production'!D111</f>
        <v>183960.32758292969</v>
      </c>
      <c r="I115" s="51">
        <f t="shared" si="11"/>
        <v>169.85052614052609</v>
      </c>
      <c r="J115" s="133">
        <f>'Price Deck'!F109*$B$2</f>
        <v>400.7388465773746</v>
      </c>
      <c r="K115" s="155">
        <f t="shared" si="12"/>
        <v>0.20581758106993597</v>
      </c>
      <c r="L115" s="1">
        <v>0.1</v>
      </c>
      <c r="M115" s="155">
        <f t="shared" si="13"/>
        <v>0.20581758106993597</v>
      </c>
      <c r="N115" s="155">
        <f t="shared" si="14"/>
        <v>0.20847035016517609</v>
      </c>
      <c r="O115" s="155">
        <f t="shared" si="15"/>
        <v>0.26981976931547491</v>
      </c>
      <c r="Q115" s="51">
        <f t="shared" si="16"/>
        <v>-3.2601789710289784E-2</v>
      </c>
      <c r="R115" s="155">
        <f t="shared" si="17"/>
        <v>0.17321579135964618</v>
      </c>
      <c r="S115" s="51">
        <f t="shared" si="18"/>
        <v>0.17321579135964618</v>
      </c>
      <c r="T115" s="133">
        <f>'Price Deck'!F109</f>
        <v>63.712352476142314</v>
      </c>
      <c r="U115" s="85">
        <f t="shared" si="19"/>
        <v>68065.703936114631</v>
      </c>
      <c r="V115" s="85">
        <f t="shared" si="20"/>
        <v>11790.054771745479</v>
      </c>
      <c r="W115" s="85">
        <f t="shared" si="21"/>
        <v>11.035985553539703</v>
      </c>
    </row>
    <row r="116" spans="1:23">
      <c r="A116" t="str">
        <f>'Price Deck'!A110</f>
        <v>12/2027</v>
      </c>
      <c r="B116" s="51" t="e">
        <f>'[1]Oil Production'!#REF!</f>
        <v>#REF!</v>
      </c>
      <c r="C116" s="51">
        <f>'[1]Oil Production'!A112</f>
        <v>106</v>
      </c>
      <c r="D116" s="51">
        <f>'[1]Oil Production'!B112</f>
        <v>34.984798273231078</v>
      </c>
      <c r="E116" s="51">
        <f>'[1]Oil Production'!C112</f>
        <v>1064.1209474774453</v>
      </c>
      <c r="F116" s="51">
        <f>'[1]Oil Production'!D112</f>
        <v>185024.44853040713</v>
      </c>
      <c r="I116" s="51">
        <f t="shared" si="11"/>
        <v>169.18162404761816</v>
      </c>
      <c r="J116" s="133">
        <f>'Price Deck'!F110*$B$2</f>
        <v>400.66505927364091</v>
      </c>
      <c r="K116" s="155">
        <f t="shared" si="12"/>
        <v>0.20576519208428506</v>
      </c>
      <c r="L116" s="1">
        <v>0.1</v>
      </c>
      <c r="M116" s="155">
        <f t="shared" si="13"/>
        <v>0.20576519208428506</v>
      </c>
      <c r="N116" s="155">
        <f t="shared" si="14"/>
        <v>0.20844157311671996</v>
      </c>
      <c r="O116" s="155">
        <f t="shared" si="15"/>
        <v>0.26980501185472816</v>
      </c>
      <c r="Q116" s="51">
        <f t="shared" si="16"/>
        <v>-3.350480753571549E-2</v>
      </c>
      <c r="R116" s="155">
        <f t="shared" si="17"/>
        <v>0.17226038454856957</v>
      </c>
      <c r="S116" s="51">
        <f t="shared" si="18"/>
        <v>0.17226038454856957</v>
      </c>
      <c r="T116" s="133">
        <f>'Price Deck'!F110</f>
        <v>63.700621238345192</v>
      </c>
      <c r="U116" s="85">
        <f t="shared" si="19"/>
        <v>67785.165427049753</v>
      </c>
      <c r="V116" s="85">
        <f t="shared" si="20"/>
        <v>11676.698663151994</v>
      </c>
      <c r="W116" s="85">
        <f t="shared" si="21"/>
        <v>10.973093510500121</v>
      </c>
    </row>
    <row r="117" spans="1:23">
      <c r="A117" t="str">
        <f>'Price Deck'!A111</f>
        <v>01/2028</v>
      </c>
      <c r="B117" s="51" t="e">
        <f>'[1]Oil Production'!#REF!</f>
        <v>#REF!</v>
      </c>
      <c r="C117" s="51">
        <f>'[1]Oil Production'!A113</f>
        <v>107</v>
      </c>
      <c r="D117" s="51">
        <f>'[1]Oil Production'!B113</f>
        <v>34.848312977888888</v>
      </c>
      <c r="E117" s="51">
        <f>'[1]Oil Production'!C113</f>
        <v>1059.9695197441204</v>
      </c>
      <c r="F117" s="51">
        <f>'[1]Oil Production'!D113</f>
        <v>186084.41805015126</v>
      </c>
      <c r="I117" s="51">
        <f t="shared" si="11"/>
        <v>168.5216001211038</v>
      </c>
      <c r="J117" s="133">
        <f>'Price Deck'!F111*$B$2</f>
        <v>400.0747608437718</v>
      </c>
      <c r="K117" s="155">
        <f t="shared" si="12"/>
        <v>0.20534608019907799</v>
      </c>
      <c r="L117" s="1">
        <v>0.1</v>
      </c>
      <c r="M117" s="155">
        <f t="shared" si="13"/>
        <v>0.20534608019907799</v>
      </c>
      <c r="N117" s="155">
        <f t="shared" si="14"/>
        <v>0.20821135672907101</v>
      </c>
      <c r="O117" s="155">
        <f t="shared" si="15"/>
        <v>0.26968695216875432</v>
      </c>
      <c r="Q117" s="51">
        <f t="shared" si="16"/>
        <v>-3.4395839836509866E-2</v>
      </c>
      <c r="R117" s="155">
        <f t="shared" si="17"/>
        <v>0.17095024036256812</v>
      </c>
      <c r="S117" s="51">
        <f t="shared" si="18"/>
        <v>0.17095024036256812</v>
      </c>
      <c r="T117" s="133">
        <f>'Price Deck'!F111</f>
        <v>63.606771335968254</v>
      </c>
      <c r="U117" s="85">
        <f t="shared" si="19"/>
        <v>67421.238865460356</v>
      </c>
      <c r="V117" s="85">
        <f t="shared" si="20"/>
        <v>11525.676989592568</v>
      </c>
      <c r="W117" s="85">
        <f t="shared" si="21"/>
        <v>10.873592848570683</v>
      </c>
    </row>
    <row r="118" spans="1:23">
      <c r="A118" t="str">
        <f>'Price Deck'!A112</f>
        <v>02/2028</v>
      </c>
      <c r="B118" s="51" t="e">
        <f>'[1]Oil Production'!#REF!</f>
        <v>#REF!</v>
      </c>
      <c r="C118" s="51">
        <f>'[1]Oil Production'!A114</f>
        <v>108</v>
      </c>
      <c r="D118" s="51">
        <f>'[1]Oil Production'!B114</f>
        <v>34.713622397699801</v>
      </c>
      <c r="E118" s="51">
        <f>'[1]Oil Production'!C114</f>
        <v>1055.872681263369</v>
      </c>
      <c r="F118" s="51">
        <f>'[1]Oil Production'!D114</f>
        <v>187140.29073141463</v>
      </c>
      <c r="I118" s="51">
        <f t="shared" si="11"/>
        <v>167.87025518773194</v>
      </c>
      <c r="J118" s="133">
        <f>'Price Deck'!F112*$B$2</f>
        <v>400.14854814750544</v>
      </c>
      <c r="K118" s="155">
        <f t="shared" si="12"/>
        <v>0.20539846918472887</v>
      </c>
      <c r="L118" s="1">
        <v>0.1</v>
      </c>
      <c r="M118" s="155">
        <f t="shared" si="13"/>
        <v>0.20539846918472887</v>
      </c>
      <c r="N118" s="155">
        <f t="shared" si="14"/>
        <v>0.20824013377752712</v>
      </c>
      <c r="O118" s="155">
        <f t="shared" si="15"/>
        <v>0.26970170962950107</v>
      </c>
      <c r="Q118" s="51">
        <f t="shared" si="16"/>
        <v>-3.5275155496561877E-2</v>
      </c>
      <c r="R118" s="155">
        <f t="shared" si="17"/>
        <v>0.17012331368816699</v>
      </c>
      <c r="S118" s="51">
        <f t="shared" si="18"/>
        <v>0.17012331368816699</v>
      </c>
      <c r="T118" s="133">
        <f>'Price Deck'!F112</f>
        <v>63.618502573765369</v>
      </c>
      <c r="U118" s="85">
        <f t="shared" si="19"/>
        <v>67173.038890522177</v>
      </c>
      <c r="V118" s="85">
        <f t="shared" si="20"/>
        <v>11427.699966559745</v>
      </c>
      <c r="W118" s="85">
        <f t="shared" si="21"/>
        <v>10.822990469728143</v>
      </c>
    </row>
    <row r="119" spans="1:23">
      <c r="A119" t="str">
        <f>'Price Deck'!A113</f>
        <v>03/2028</v>
      </c>
      <c r="B119" s="51" t="e">
        <f>'[1]Oil Production'!#REF!</f>
        <v>#REF!</v>
      </c>
      <c r="C119" s="51">
        <f>'[1]Oil Production'!A115</f>
        <v>109</v>
      </c>
      <c r="D119" s="51">
        <f>'[1]Oil Production'!B115</f>
        <v>34.580686640315051</v>
      </c>
      <c r="E119" s="51">
        <f>'[1]Oil Production'!C115</f>
        <v>1051.8292186429162</v>
      </c>
      <c r="F119" s="51">
        <f>'[1]Oil Production'!D115</f>
        <v>188192.11995005753</v>
      </c>
      <c r="I119" s="51">
        <f t="shared" si="11"/>
        <v>167.22739633364614</v>
      </c>
      <c r="J119" s="133">
        <f>'Price Deck'!F113*$B$2</f>
        <v>442.72382240181315</v>
      </c>
      <c r="K119" s="155">
        <f t="shared" si="12"/>
        <v>0.22484449073670715</v>
      </c>
      <c r="L119" s="1">
        <v>0.1</v>
      </c>
      <c r="M119" s="155">
        <f t="shared" si="13"/>
        <v>0.23562691390528737</v>
      </c>
      <c r="N119" s="155">
        <f t="shared" si="14"/>
        <v>0.22484449073670715</v>
      </c>
      <c r="O119" s="155">
        <f t="shared" si="15"/>
        <v>0.27821676448036259</v>
      </c>
      <c r="Q119" s="51">
        <f t="shared" si="16"/>
        <v>-3.6143014949577709E-2</v>
      </c>
      <c r="R119" s="155">
        <f t="shared" si="17"/>
        <v>0.18870147578712942</v>
      </c>
      <c r="S119" s="51">
        <f t="shared" si="18"/>
        <v>0.18870147578712942</v>
      </c>
      <c r="T119" s="133">
        <f>'Price Deck'!F113</f>
        <v>70.387426782701866</v>
      </c>
      <c r="U119" s="85">
        <f t="shared" si="19"/>
        <v>74035.552115134778</v>
      </c>
      <c r="V119" s="85">
        <f t="shared" si="20"/>
        <v>13970.617944840864</v>
      </c>
      <c r="W119" s="85">
        <f t="shared" si="21"/>
        <v>13.282211310754361</v>
      </c>
    </row>
    <row r="120" spans="1:23">
      <c r="A120" t="str">
        <f>'Price Deck'!A114</f>
        <v>04/2028</v>
      </c>
      <c r="B120" s="51" t="e">
        <f>'[1]Oil Production'!#REF!</f>
        <v>#REF!</v>
      </c>
      <c r="C120" s="51">
        <f>'[1]Oil Production'!A116</f>
        <v>110</v>
      </c>
      <c r="D120" s="51">
        <f>'[1]Oil Production'!B116</f>
        <v>34.449467055650111</v>
      </c>
      <c r="E120" s="51">
        <f>'[1]Oil Production'!C116</f>
        <v>1047.8379562760242</v>
      </c>
      <c r="F120" s="51">
        <f>'[1]Oil Production'!D116</f>
        <v>189239.95790633356</v>
      </c>
      <c r="I120" s="51">
        <f t="shared" si="11"/>
        <v>166.59283665240724</v>
      </c>
      <c r="J120" s="133">
        <f>'Price Deck'!F114*$B$2</f>
        <v>442.72382240181315</v>
      </c>
      <c r="K120" s="155">
        <f t="shared" si="12"/>
        <v>0.22484449073670715</v>
      </c>
      <c r="L120" s="1">
        <v>0.1</v>
      </c>
      <c r="M120" s="155">
        <f t="shared" si="13"/>
        <v>0.23562691390528737</v>
      </c>
      <c r="N120" s="155">
        <f t="shared" si="14"/>
        <v>0.22484449073670715</v>
      </c>
      <c r="O120" s="155">
        <f t="shared" si="15"/>
        <v>0.27821676448036259</v>
      </c>
      <c r="Q120" s="51">
        <f t="shared" si="16"/>
        <v>-3.6999670519250225E-2</v>
      </c>
      <c r="R120" s="155">
        <f t="shared" si="17"/>
        <v>0.18784482021745691</v>
      </c>
      <c r="S120" s="51">
        <f t="shared" si="18"/>
        <v>0.18784482021745691</v>
      </c>
      <c r="T120" s="133">
        <f>'Price Deck'!F114</f>
        <v>70.387426782701866</v>
      </c>
      <c r="U120" s="85">
        <f t="shared" si="19"/>
        <v>73754.617427514619</v>
      </c>
      <c r="V120" s="85">
        <f t="shared" si="20"/>
        <v>13854.422850878798</v>
      </c>
      <c r="W120" s="85">
        <f t="shared" si="21"/>
        <v>13.221913529566045</v>
      </c>
    </row>
    <row r="121" spans="1:23">
      <c r="A121" t="str">
        <f>'Price Deck'!A115</f>
        <v>05/2028</v>
      </c>
      <c r="B121" s="51" t="e">
        <f>'[1]Oil Production'!#REF!</f>
        <v>#REF!</v>
      </c>
      <c r="C121" s="51">
        <f>'[1]Oil Production'!A117</f>
        <v>111</v>
      </c>
      <c r="D121" s="51">
        <f>'[1]Oil Production'!B117</f>
        <v>34.319926186328118</v>
      </c>
      <c r="E121" s="51">
        <f>'[1]Oil Production'!C117</f>
        <v>1043.897754834147</v>
      </c>
      <c r="F121" s="51">
        <f>'[1]Oil Production'!D117</f>
        <v>190283.8556611677</v>
      </c>
      <c r="I121" s="51">
        <f t="shared" si="11"/>
        <v>165.96639500534468</v>
      </c>
      <c r="J121" s="133">
        <f>'Price Deck'!F115*$B$2</f>
        <v>442.72382240181315</v>
      </c>
      <c r="K121" s="155">
        <f t="shared" si="12"/>
        <v>0.22484449073670715</v>
      </c>
      <c r="L121" s="1">
        <v>0.1</v>
      </c>
      <c r="M121" s="155">
        <f t="shared" si="13"/>
        <v>0.23562691390528737</v>
      </c>
      <c r="N121" s="155">
        <f t="shared" si="14"/>
        <v>0.22484449073670715</v>
      </c>
      <c r="O121" s="155">
        <f t="shared" si="15"/>
        <v>0.27821676448036259</v>
      </c>
      <c r="Q121" s="51">
        <f t="shared" si="16"/>
        <v>-3.7845366742784686E-2</v>
      </c>
      <c r="R121" s="155">
        <f t="shared" si="17"/>
        <v>0.18699912399392246</v>
      </c>
      <c r="S121" s="51">
        <f t="shared" si="18"/>
        <v>0.18699912399392246</v>
      </c>
      <c r="T121" s="133">
        <f>'Price Deck'!F115</f>
        <v>70.387426782701866</v>
      </c>
      <c r="U121" s="85">
        <f t="shared" si="19"/>
        <v>73477.276787015391</v>
      </c>
      <c r="V121" s="85">
        <f t="shared" si="20"/>
        <v>13740.186392630852</v>
      </c>
      <c r="W121" s="85">
        <f t="shared" si="21"/>
        <v>13.162387148551607</v>
      </c>
    </row>
    <row r="122" spans="1:23">
      <c r="A122" t="str">
        <f>'Price Deck'!A116</f>
        <v>06/2028</v>
      </c>
      <c r="B122" s="51" t="e">
        <f>'[1]Oil Production'!#REF!</f>
        <v>#REF!</v>
      </c>
      <c r="C122" s="51">
        <f>'[1]Oil Production'!A118</f>
        <v>112</v>
      </c>
      <c r="D122" s="51">
        <f>'[1]Oil Production'!B118</f>
        <v>34.192027720525978</v>
      </c>
      <c r="E122" s="51">
        <f>'[1]Oil Production'!C118</f>
        <v>1040.0075098326652</v>
      </c>
      <c r="F122" s="51">
        <f>'[1]Oil Production'!D118</f>
        <v>191323.86317100038</v>
      </c>
      <c r="I122" s="51">
        <f t="shared" si="11"/>
        <v>165.34789579352667</v>
      </c>
      <c r="J122" s="133">
        <f>'Price Deck'!F116*$B$2</f>
        <v>442.72382240181315</v>
      </c>
      <c r="K122" s="155">
        <f t="shared" si="12"/>
        <v>0.22484449073670715</v>
      </c>
      <c r="L122" s="1">
        <v>0.1</v>
      </c>
      <c r="M122" s="155">
        <f t="shared" si="13"/>
        <v>0.23562691390528737</v>
      </c>
      <c r="N122" s="155">
        <f t="shared" si="14"/>
        <v>0.22484449073670715</v>
      </c>
      <c r="O122" s="155">
        <f t="shared" si="15"/>
        <v>0.27821676448036259</v>
      </c>
      <c r="Q122" s="51">
        <f t="shared" si="16"/>
        <v>-3.8680340678738989E-2</v>
      </c>
      <c r="R122" s="155">
        <f t="shared" si="17"/>
        <v>0.18616415005796816</v>
      </c>
      <c r="S122" s="51">
        <f t="shared" si="18"/>
        <v>0.18616415005796816</v>
      </c>
      <c r="T122" s="133">
        <f>'Price Deck'!F116</f>
        <v>70.387426782701866</v>
      </c>
      <c r="U122" s="85">
        <f t="shared" si="19"/>
        <v>73203.452451806806</v>
      </c>
      <c r="V122" s="85">
        <f t="shared" si="20"/>
        <v>13627.858506999499</v>
      </c>
      <c r="W122" s="85">
        <f t="shared" si="21"/>
        <v>13.103615481769156</v>
      </c>
    </row>
    <row r="123" spans="1:23">
      <c r="A123" t="str">
        <f>'Price Deck'!A117</f>
        <v>07/2028</v>
      </c>
      <c r="B123" s="51" t="e">
        <f>'[1]Oil Production'!#REF!</f>
        <v>#REF!</v>
      </c>
      <c r="C123" s="51">
        <f>'[1]Oil Production'!A119</f>
        <v>113</v>
      </c>
      <c r="D123" s="51">
        <f>'[1]Oil Production'!B119</f>
        <v>34.065736447086728</v>
      </c>
      <c r="E123" s="51">
        <f>'[1]Oil Production'!C119</f>
        <v>1036.1661502655547</v>
      </c>
      <c r="F123" s="51">
        <f>'[1]Oil Production'!D119</f>
        <v>192360.02932126593</v>
      </c>
      <c r="I123" s="51">
        <f t="shared" si="11"/>
        <v>164.73716874069007</v>
      </c>
      <c r="J123" s="133">
        <f>'Price Deck'!F117*$B$2</f>
        <v>442.72382240181315</v>
      </c>
      <c r="K123" s="155">
        <f t="shared" si="12"/>
        <v>0.22484449073670715</v>
      </c>
      <c r="L123" s="1">
        <v>0.1</v>
      </c>
      <c r="M123" s="155">
        <f t="shared" si="13"/>
        <v>0.23562691390528737</v>
      </c>
      <c r="N123" s="155">
        <f t="shared" si="14"/>
        <v>0.22484449073670715</v>
      </c>
      <c r="O123" s="155">
        <f t="shared" si="15"/>
        <v>0.27821676448036259</v>
      </c>
      <c r="Q123" s="51">
        <f t="shared" si="16"/>
        <v>-3.9504822200068415E-2</v>
      </c>
      <c r="R123" s="155">
        <f t="shared" si="17"/>
        <v>0.18533966853663875</v>
      </c>
      <c r="S123" s="51">
        <f t="shared" si="18"/>
        <v>0.18533966853663875</v>
      </c>
      <c r="T123" s="133">
        <f>'Price Deck'!F117</f>
        <v>70.387426782701866</v>
      </c>
      <c r="U123" s="85">
        <f t="shared" si="19"/>
        <v>72933.069036530796</v>
      </c>
      <c r="V123" s="85">
        <f t="shared" si="20"/>
        <v>13517.390840590408</v>
      </c>
      <c r="W123" s="85">
        <f t="shared" si="21"/>
        <v>13.045582349052893</v>
      </c>
    </row>
    <row r="124" spans="1:23">
      <c r="A124" t="str">
        <f>'Price Deck'!A118</f>
        <v>08/2028</v>
      </c>
      <c r="B124" s="51" t="e">
        <f>'[1]Oil Production'!#REF!</f>
        <v>#REF!</v>
      </c>
      <c r="C124" s="51">
        <f>'[1]Oil Production'!A120</f>
        <v>114</v>
      </c>
      <c r="D124" s="51">
        <f>'[1]Oil Production'!B120</f>
        <v>33.941018212770032</v>
      </c>
      <c r="E124" s="51">
        <f>'[1]Oil Production'!C120</f>
        <v>1032.3726373050886</v>
      </c>
      <c r="F124" s="51">
        <f>'[1]Oil Production'!D120</f>
        <v>193392.40195857102</v>
      </c>
      <c r="I124" s="51">
        <f t="shared" si="11"/>
        <v>164.13404868650943</v>
      </c>
      <c r="J124" s="133">
        <f>'Price Deck'!F118*$B$2</f>
        <v>442.72382240181315</v>
      </c>
      <c r="K124" s="155">
        <f t="shared" si="12"/>
        <v>0.22484449073670715</v>
      </c>
      <c r="L124" s="1">
        <v>0.1</v>
      </c>
      <c r="M124" s="155">
        <f t="shared" si="13"/>
        <v>0.23562691390528737</v>
      </c>
      <c r="N124" s="155">
        <f t="shared" si="14"/>
        <v>0.22484449073670715</v>
      </c>
      <c r="O124" s="155">
        <f t="shared" si="15"/>
        <v>0.27821676448036259</v>
      </c>
      <c r="Q124" s="51">
        <f t="shared" si="16"/>
        <v>-4.0319034273212269E-2</v>
      </c>
      <c r="R124" s="155">
        <f t="shared" si="17"/>
        <v>0.18452545646349489</v>
      </c>
      <c r="S124" s="51">
        <f t="shared" si="18"/>
        <v>0.18452545646349489</v>
      </c>
      <c r="T124" s="133">
        <f>'Price Deck'!F118</f>
        <v>70.387426782701866</v>
      </c>
      <c r="U124" s="85">
        <f t="shared" si="19"/>
        <v>72666.053420776749</v>
      </c>
      <c r="V124" s="85">
        <f t="shared" si="20"/>
        <v>13408.736676869534</v>
      </c>
      <c r="W124" s="85">
        <f t="shared" si="21"/>
        <v>12.988272056368887</v>
      </c>
    </row>
    <row r="125" spans="1:23">
      <c r="A125" t="str">
        <f>'Price Deck'!A119</f>
        <v>09/2028</v>
      </c>
      <c r="B125" s="51" t="e">
        <f>'[1]Oil Production'!#REF!</f>
        <v>#REF!</v>
      </c>
      <c r="C125" s="51">
        <f>'[1]Oil Production'!A121</f>
        <v>115</v>
      </c>
      <c r="D125" s="51">
        <f>'[1]Oil Production'!B121</f>
        <v>33.817839881521202</v>
      </c>
      <c r="E125" s="51">
        <f>'[1]Oil Production'!C121</f>
        <v>1028.6259630629365</v>
      </c>
      <c r="F125" s="51">
        <f>'[1]Oil Production'!D121</f>
        <v>194421.02792163397</v>
      </c>
      <c r="I125" s="51">
        <f t="shared" si="11"/>
        <v>163.53837538962782</v>
      </c>
      <c r="J125" s="133">
        <f>'Price Deck'!F119*$B$2</f>
        <v>442.72382240181315</v>
      </c>
      <c r="K125" s="155">
        <f t="shared" si="12"/>
        <v>0.22484449073670715</v>
      </c>
      <c r="L125" s="1">
        <v>0.1</v>
      </c>
      <c r="M125" s="155">
        <f t="shared" si="13"/>
        <v>0.23562691390528737</v>
      </c>
      <c r="N125" s="155">
        <f t="shared" si="14"/>
        <v>0.22484449073670715</v>
      </c>
      <c r="O125" s="155">
        <f t="shared" si="15"/>
        <v>0.27821676448036259</v>
      </c>
      <c r="Q125" s="51">
        <f t="shared" si="16"/>
        <v>-4.1123193224002451E-2</v>
      </c>
      <c r="R125" s="155">
        <f t="shared" si="17"/>
        <v>0.18372129751270469</v>
      </c>
      <c r="S125" s="51">
        <f t="shared" si="18"/>
        <v>0.18372129751270469</v>
      </c>
      <c r="T125" s="133">
        <f>'Price Deck'!F119</f>
        <v>70.387426782701866</v>
      </c>
      <c r="U125" s="85">
        <f t="shared" si="19"/>
        <v>72402.334661878645</v>
      </c>
      <c r="V125" s="85">
        <f t="shared" si="20"/>
        <v>13301.850867029418</v>
      </c>
      <c r="W125" s="85">
        <f t="shared" si="21"/>
        <v>12.931669377098489</v>
      </c>
    </row>
    <row r="126" spans="1:23">
      <c r="A126" t="str">
        <f>'Price Deck'!A120</f>
        <v>10/2028</v>
      </c>
      <c r="B126" s="51" t="e">
        <f>'[1]Oil Production'!#REF!</f>
        <v>#REF!</v>
      </c>
      <c r="C126" s="51">
        <f>'[1]Oil Production'!A122</f>
        <v>116</v>
      </c>
      <c r="D126" s="51">
        <f>'[1]Oil Production'!B122</f>
        <v>33.696169295647003</v>
      </c>
      <c r="E126" s="51">
        <f>'[1]Oil Production'!C122</f>
        <v>1024.925149409263</v>
      </c>
      <c r="F126" s="51">
        <f>'[1]Oil Production'!D122</f>
        <v>195445.95307104324</v>
      </c>
      <c r="I126" s="51">
        <f t="shared" si="11"/>
        <v>162.94999333990847</v>
      </c>
      <c r="J126" s="133">
        <f>'Price Deck'!F120*$B$2</f>
        <v>442.72382240181315</v>
      </c>
      <c r="K126" s="155">
        <f t="shared" si="12"/>
        <v>0.22484449073670715</v>
      </c>
      <c r="L126" s="1">
        <v>0.1</v>
      </c>
      <c r="M126" s="155">
        <f t="shared" si="13"/>
        <v>0.23562691390528737</v>
      </c>
      <c r="N126" s="155">
        <f t="shared" si="14"/>
        <v>0.22484449073670715</v>
      </c>
      <c r="O126" s="155">
        <f t="shared" si="15"/>
        <v>0.27821676448036259</v>
      </c>
      <c r="Q126" s="51">
        <f t="shared" si="16"/>
        <v>-4.1917508991123564E-2</v>
      </c>
      <c r="R126" s="155">
        <f t="shared" si="17"/>
        <v>0.18292698174558358</v>
      </c>
      <c r="S126" s="51">
        <f t="shared" si="18"/>
        <v>0.18292698174558358</v>
      </c>
      <c r="T126" s="133">
        <f>'Price Deck'!F120</f>
        <v>70.387426782701866</v>
      </c>
      <c r="U126" s="85">
        <f t="shared" si="19"/>
        <v>72141.843911794262</v>
      </c>
      <c r="V126" s="85">
        <f t="shared" si="20"/>
        <v>13196.689764345529</v>
      </c>
      <c r="W126" s="85">
        <f t="shared" si="21"/>
        <v>12.875759534197904</v>
      </c>
    </row>
    <row r="127" spans="1:23">
      <c r="A127" t="str">
        <f>'Price Deck'!A121</f>
        <v>11/2028</v>
      </c>
      <c r="B127" s="51" t="e">
        <f>'[1]Oil Production'!#REF!</f>
        <v>#REF!</v>
      </c>
      <c r="C127" s="51">
        <f>'[1]Oil Production'!A123</f>
        <v>117</v>
      </c>
      <c r="D127" s="51">
        <f>'[1]Oil Production'!B123</f>
        <v>33.575975238793227</v>
      </c>
      <c r="E127" s="51">
        <f>'[1]Oil Production'!C123</f>
        <v>1021.2692468466273</v>
      </c>
      <c r="F127" s="51">
        <f>'[1]Oil Production'!D123</f>
        <v>196467.22231788989</v>
      </c>
      <c r="I127" s="51">
        <f t="shared" si="11"/>
        <v>162.36875157939923</v>
      </c>
      <c r="J127" s="133">
        <f>'Price Deck'!F121*$B$2</f>
        <v>442.72382240181315</v>
      </c>
      <c r="K127" s="155">
        <f t="shared" si="12"/>
        <v>0.22484449073670715</v>
      </c>
      <c r="L127" s="1">
        <v>0.1</v>
      </c>
      <c r="M127" s="155">
        <f t="shared" si="13"/>
        <v>0.23562691390528737</v>
      </c>
      <c r="N127" s="155">
        <f t="shared" si="14"/>
        <v>0.22484449073670715</v>
      </c>
      <c r="O127" s="155">
        <f t="shared" si="15"/>
        <v>0.27821676448036259</v>
      </c>
      <c r="Q127" s="51">
        <f t="shared" si="16"/>
        <v>-4.2702185367811042E-2</v>
      </c>
      <c r="R127" s="155">
        <f t="shared" si="17"/>
        <v>0.18214230536889611</v>
      </c>
      <c r="S127" s="51">
        <f t="shared" si="18"/>
        <v>0.18214230536889611</v>
      </c>
      <c r="T127" s="133">
        <f>'Price Deck'!F121</f>
        <v>70.387426782701866</v>
      </c>
      <c r="U127" s="85">
        <f t="shared" si="19"/>
        <v>71884.514337842062</v>
      </c>
      <c r="V127" s="85">
        <f t="shared" si="20"/>
        <v>13093.211161818021</v>
      </c>
      <c r="W127" s="85">
        <f t="shared" si="21"/>
        <v>12.820528183185701</v>
      </c>
    </row>
    <row r="128" spans="1:23">
      <c r="A128" t="str">
        <f>'Price Deck'!A122</f>
        <v>12/2028</v>
      </c>
      <c r="B128" s="51" t="e">
        <f>'[1]Oil Production'!#REF!</f>
        <v>#REF!</v>
      </c>
      <c r="C128" s="51">
        <f>'[1]Oil Production'!A124</f>
        <v>118</v>
      </c>
      <c r="D128" s="51">
        <f>'[1]Oil Production'!B124</f>
        <v>33.457227400625833</v>
      </c>
      <c r="E128" s="51">
        <f>'[1]Oil Production'!C124</f>
        <v>1017.6573334357024</v>
      </c>
      <c r="F128" s="51">
        <f>'[1]Oil Production'!D124</f>
        <v>197484.87965132558</v>
      </c>
      <c r="I128" s="51">
        <f t="shared" si="11"/>
        <v>161.79450353153567</v>
      </c>
      <c r="J128" s="133">
        <f>'Price Deck'!F122*$B$2</f>
        <v>442.72382240181315</v>
      </c>
      <c r="K128" s="155">
        <f t="shared" si="12"/>
        <v>0.22484449073670715</v>
      </c>
      <c r="L128" s="1">
        <v>0.1</v>
      </c>
      <c r="M128" s="155">
        <f t="shared" si="13"/>
        <v>0.23562691390528737</v>
      </c>
      <c r="N128" s="155">
        <f t="shared" si="14"/>
        <v>0.22484449073670715</v>
      </c>
      <c r="O128" s="155">
        <f t="shared" si="15"/>
        <v>0.27821676448036259</v>
      </c>
      <c r="Q128" s="51">
        <f t="shared" si="16"/>
        <v>-4.3477420232426851E-2</v>
      </c>
      <c r="R128" s="155">
        <f t="shared" si="17"/>
        <v>0.1813670705042803</v>
      </c>
      <c r="S128" s="51">
        <f t="shared" si="18"/>
        <v>0.1813670705042803</v>
      </c>
      <c r="T128" s="133">
        <f>'Price Deck'!F122</f>
        <v>70.387426782701866</v>
      </c>
      <c r="U128" s="85">
        <f t="shared" si="19"/>
        <v>71630.281047085125</v>
      </c>
      <c r="V128" s="85">
        <f t="shared" si="20"/>
        <v>12991.374232908101</v>
      </c>
      <c r="W128" s="85">
        <f t="shared" si="21"/>
        <v>12.765961395913157</v>
      </c>
    </row>
    <row r="129" spans="1:23">
      <c r="A129" t="str">
        <f>'Price Deck'!A123</f>
        <v>01/2029</v>
      </c>
      <c r="B129" s="51" t="e">
        <f>'[1]Oil Production'!#REF!</f>
        <v>#REF!</v>
      </c>
      <c r="C129" s="51">
        <f>'[1]Oil Production'!A125</f>
        <v>119</v>
      </c>
      <c r="D129" s="51">
        <f>'[1]Oil Production'!B125</f>
        <v>33.339896343123769</v>
      </c>
      <c r="E129" s="51">
        <f>'[1]Oil Production'!C125</f>
        <v>1014.0885137700146</v>
      </c>
      <c r="F129" s="51">
        <f>'[1]Oil Production'!D125</f>
        <v>198498.9681650956</v>
      </c>
      <c r="I129" s="51">
        <f t="shared" si="11"/>
        <v>161.22710683813776</v>
      </c>
      <c r="J129" s="133">
        <f>'Price Deck'!F123*$B$2</f>
        <v>442.72382240181315</v>
      </c>
      <c r="K129" s="155">
        <f t="shared" si="12"/>
        <v>0.22484449073670715</v>
      </c>
      <c r="L129" s="1">
        <v>0.1</v>
      </c>
      <c r="M129" s="155">
        <f t="shared" si="13"/>
        <v>0.23562691390528737</v>
      </c>
      <c r="N129" s="155">
        <f t="shared" si="14"/>
        <v>0.22484449073670715</v>
      </c>
      <c r="O129" s="155">
        <f t="shared" si="15"/>
        <v>0.27821676448036259</v>
      </c>
      <c r="Q129" s="51">
        <f t="shared" si="16"/>
        <v>-4.424340576851403E-2</v>
      </c>
      <c r="R129" s="155">
        <f t="shared" si="17"/>
        <v>0.1806010849681931</v>
      </c>
      <c r="S129" s="51">
        <f t="shared" si="18"/>
        <v>0.1806010849681931</v>
      </c>
      <c r="T129" s="133">
        <f>'Price Deck'!F123</f>
        <v>70.387426782701866</v>
      </c>
      <c r="U129" s="85">
        <f t="shared" si="19"/>
        <v>71379.081014165859</v>
      </c>
      <c r="V129" s="85">
        <f t="shared" si="20"/>
        <v>12891.139475190907</v>
      </c>
      <c r="W129" s="85">
        <f t="shared" si="21"/>
        <v>12.712045645075209</v>
      </c>
    </row>
    <row r="130" spans="1:23">
      <c r="A130" t="str">
        <f>'Price Deck'!A124</f>
        <v>02/2029</v>
      </c>
      <c r="B130" s="51" t="e">
        <f>'[1]Oil Production'!#REF!</f>
        <v>#REF!</v>
      </c>
      <c r="C130" s="51">
        <f>'[1]Oil Production'!A126</f>
        <v>120</v>
      </c>
      <c r="D130" s="51">
        <f>'[1]Oil Production'!B126</f>
        <v>33.223953468396701</v>
      </c>
      <c r="E130" s="51">
        <f>'[1]Oil Production'!C126</f>
        <v>1010.5619179970663</v>
      </c>
      <c r="F130" s="51">
        <f>'[1]Oil Production'!D126</f>
        <v>199509.53008309266</v>
      </c>
      <c r="I130" s="51">
        <f t="shared" si="11"/>
        <v>160.66642320378097</v>
      </c>
      <c r="J130" s="133">
        <f>'Price Deck'!F124*$B$2</f>
        <v>442.72382240181315</v>
      </c>
      <c r="K130" s="155">
        <f t="shared" si="12"/>
        <v>0.22484449073670715</v>
      </c>
      <c r="L130" s="1">
        <v>0.1</v>
      </c>
      <c r="M130" s="155">
        <f t="shared" si="13"/>
        <v>0.23562691390528737</v>
      </c>
      <c r="N130" s="155">
        <f t="shared" si="14"/>
        <v>0.22484449073670715</v>
      </c>
      <c r="O130" s="155">
        <f t="shared" si="15"/>
        <v>0.27821676448036259</v>
      </c>
      <c r="Q130" s="51">
        <f t="shared" si="16"/>
        <v>-4.5000328674895701E-2</v>
      </c>
      <c r="R130" s="155">
        <f t="shared" si="17"/>
        <v>0.17984416206181145</v>
      </c>
      <c r="S130" s="51">
        <f t="shared" si="18"/>
        <v>0.17984416206181145</v>
      </c>
      <c r="T130" s="133">
        <f>'Price Deck'!F124</f>
        <v>70.387426782701866</v>
      </c>
      <c r="U130" s="85">
        <f t="shared" si="19"/>
        <v>71130.853012405278</v>
      </c>
      <c r="V130" s="85">
        <f t="shared" si="20"/>
        <v>12792.468656757903</v>
      </c>
      <c r="W130" s="85">
        <f t="shared" si="21"/>
        <v>12.658767789422122</v>
      </c>
    </row>
    <row r="131" spans="1:23">
      <c r="A131" t="str">
        <f>'Price Deck'!A125</f>
        <v>03/2029</v>
      </c>
      <c r="B131" s="51" t="e">
        <f>'[1]Oil Production'!#REF!</f>
        <v>#REF!</v>
      </c>
      <c r="C131" s="51">
        <f>'[1]Oil Production'!A127</f>
        <v>121</v>
      </c>
      <c r="D131" s="51">
        <f>'[1]Oil Production'!B127</f>
        <v>33.109370987947074</v>
      </c>
      <c r="E131" s="51">
        <f>'[1]Oil Production'!C127</f>
        <v>1007.0767008833902</v>
      </c>
      <c r="F131" s="51">
        <f>'[1]Oil Production'!D127</f>
        <v>200516.60678397605</v>
      </c>
      <c r="I131" s="51">
        <f t="shared" si="11"/>
        <v>160.11231824715171</v>
      </c>
      <c r="J131" s="133">
        <f>'Price Deck'!F125*$B$2</f>
        <v>449.36467973784033</v>
      </c>
      <c r="K131" s="155">
        <f t="shared" si="12"/>
        <v>0.22743442509775774</v>
      </c>
      <c r="L131" s="1">
        <v>0.1</v>
      </c>
      <c r="M131" s="155">
        <f t="shared" si="13"/>
        <v>0.24034192261386667</v>
      </c>
      <c r="N131" s="155">
        <f t="shared" si="14"/>
        <v>0.22743442509775774</v>
      </c>
      <c r="O131" s="155">
        <f t="shared" si="15"/>
        <v>0.27954493594756802</v>
      </c>
      <c r="Q131" s="51">
        <f t="shared" si="16"/>
        <v>-4.5748370366345201E-2</v>
      </c>
      <c r="R131" s="155">
        <f t="shared" si="17"/>
        <v>0.18168605473141253</v>
      </c>
      <c r="S131" s="51">
        <f t="shared" si="18"/>
        <v>0.18168605473141253</v>
      </c>
      <c r="T131" s="133">
        <f>'Price Deck'!F125</f>
        <v>71.443238184442393</v>
      </c>
      <c r="U131" s="85">
        <f t="shared" si="19"/>
        <v>71948.820611214498</v>
      </c>
      <c r="V131" s="85">
        <f t="shared" si="20"/>
        <v>13072.097359429699</v>
      </c>
      <c r="W131" s="85">
        <f t="shared" si="21"/>
        <v>12.980240082967942</v>
      </c>
    </row>
    <row r="132" spans="1:23">
      <c r="A132" t="str">
        <f>'Price Deck'!A126</f>
        <v>04/2029</v>
      </c>
      <c r="B132" s="51" t="e">
        <f>'[1]Oil Production'!#REF!</f>
        <v>#REF!</v>
      </c>
      <c r="C132" s="51">
        <f>'[1]Oil Production'!A128</f>
        <v>122</v>
      </c>
      <c r="D132" s="51">
        <f>'[1]Oil Production'!B128</f>
        <v>32.996121893299936</v>
      </c>
      <c r="E132" s="51">
        <f>'[1]Oil Production'!C128</f>
        <v>1003.6320409212065</v>
      </c>
      <c r="F132" s="51">
        <f>'[1]Oil Production'!D128</f>
        <v>201520.23882489727</v>
      </c>
      <c r="I132" s="51">
        <f t="shared" si="11"/>
        <v>159.56466135901738</v>
      </c>
      <c r="J132" s="133">
        <f>'Price Deck'!F126*$B$2</f>
        <v>449.36467973784033</v>
      </c>
      <c r="K132" s="155">
        <f t="shared" si="12"/>
        <v>0.22743442509775774</v>
      </c>
      <c r="L132" s="1">
        <v>0.1</v>
      </c>
      <c r="M132" s="155">
        <f t="shared" si="13"/>
        <v>0.24034192261386667</v>
      </c>
      <c r="N132" s="155">
        <f t="shared" si="14"/>
        <v>0.22743442509775774</v>
      </c>
      <c r="O132" s="155">
        <f t="shared" si="15"/>
        <v>0.27954493594756802</v>
      </c>
      <c r="Q132" s="51">
        <f t="shared" si="16"/>
        <v>-4.648770716532654E-2</v>
      </c>
      <c r="R132" s="155">
        <f t="shared" si="17"/>
        <v>0.18094671793243119</v>
      </c>
      <c r="S132" s="51">
        <f t="shared" si="18"/>
        <v>0.18094671793243119</v>
      </c>
      <c r="T132" s="133">
        <f>'Price Deck'!F126</f>
        <v>71.443238184442393</v>
      </c>
      <c r="U132" s="85">
        <f t="shared" si="19"/>
        <v>71702.722949071787</v>
      </c>
      <c r="V132" s="85">
        <f t="shared" si="20"/>
        <v>12974.372384452954</v>
      </c>
      <c r="W132" s="85">
        <f t="shared" si="21"/>
        <v>12.927419467939796</v>
      </c>
    </row>
    <row r="133" spans="1:23">
      <c r="A133" t="str">
        <f>'Price Deck'!A127</f>
        <v>05/2029</v>
      </c>
      <c r="B133" s="51" t="e">
        <f>'[1]Oil Production'!#REF!</f>
        <v>#REF!</v>
      </c>
      <c r="C133" s="51">
        <f>'[1]Oil Production'!A129</f>
        <v>123</v>
      </c>
      <c r="D133" s="51">
        <f>'[1]Oil Production'!B129</f>
        <v>32.884179927929281</v>
      </c>
      <c r="E133" s="51">
        <f>'[1]Oil Production'!C129</f>
        <v>1000.2271394745156</v>
      </c>
      <c r="F133" s="51">
        <f>'[1]Oil Production'!D129</f>
        <v>202520.46596437178</v>
      </c>
      <c r="I133" s="51">
        <f t="shared" si="11"/>
        <v>159.02332556646599</v>
      </c>
      <c r="J133" s="133">
        <f>'Price Deck'!F127*$B$2</f>
        <v>449.36467973784033</v>
      </c>
      <c r="K133" s="155">
        <f t="shared" si="12"/>
        <v>0.22743442509775774</v>
      </c>
      <c r="L133" s="1">
        <v>0.1</v>
      </c>
      <c r="M133" s="155">
        <f t="shared" si="13"/>
        <v>0.24034192261386667</v>
      </c>
      <c r="N133" s="155">
        <f t="shared" si="14"/>
        <v>0.22743442509775774</v>
      </c>
      <c r="O133" s="155">
        <f t="shared" si="15"/>
        <v>0.27954493594756802</v>
      </c>
      <c r="Q133" s="51">
        <f t="shared" si="16"/>
        <v>-4.7218510485270926E-2</v>
      </c>
      <c r="R133" s="155">
        <f t="shared" si="17"/>
        <v>0.18021591461248682</v>
      </c>
      <c r="S133" s="51">
        <f t="shared" si="18"/>
        <v>0.18021591461248682</v>
      </c>
      <c r="T133" s="133">
        <f>'Price Deck'!F127</f>
        <v>71.443238184442393</v>
      </c>
      <c r="U133" s="85">
        <f t="shared" si="19"/>
        <v>71459.465764021297</v>
      </c>
      <c r="V133" s="85">
        <f t="shared" si="20"/>
        <v>12878.132980382787</v>
      </c>
      <c r="W133" s="85">
        <f t="shared" si="21"/>
        <v>12.875208512287026</v>
      </c>
    </row>
    <row r="134" spans="1:23">
      <c r="A134" t="str">
        <f>'Price Deck'!A128</f>
        <v>06/2029</v>
      </c>
      <c r="B134" s="51" t="e">
        <f>'[1]Oil Production'!#REF!</f>
        <v>#REF!</v>
      </c>
      <c r="C134" s="51">
        <f>'[1]Oil Production'!A130</f>
        <v>124</v>
      </c>
      <c r="D134" s="51">
        <f>'[1]Oil Production'!B130</f>
        <v>32.773519560413455</v>
      </c>
      <c r="E134" s="51">
        <f>'[1]Oil Production'!C130</f>
        <v>996.861219962576</v>
      </c>
      <c r="F134" s="51">
        <f>'[1]Oil Production'!D130</f>
        <v>203517.32718433434</v>
      </c>
      <c r="I134" s="51">
        <f t="shared" si="11"/>
        <v>158.48818740308951</v>
      </c>
      <c r="J134" s="133">
        <f>'Price Deck'!F128*$B$2</f>
        <v>449.36467973784033</v>
      </c>
      <c r="K134" s="155">
        <f t="shared" si="12"/>
        <v>0.22743442509775774</v>
      </c>
      <c r="L134" s="1">
        <v>0.1</v>
      </c>
      <c r="M134" s="155">
        <f t="shared" si="13"/>
        <v>0.24034192261386667</v>
      </c>
      <c r="N134" s="155">
        <f t="shared" si="14"/>
        <v>0.22743442509775774</v>
      </c>
      <c r="O134" s="155">
        <f t="shared" si="15"/>
        <v>0.27954493594756802</v>
      </c>
      <c r="Q134" s="51">
        <f t="shared" si="16"/>
        <v>-4.7940947005829161E-2</v>
      </c>
      <c r="R134" s="155">
        <f t="shared" si="17"/>
        <v>0.17949347809192859</v>
      </c>
      <c r="S134" s="51">
        <f t="shared" si="18"/>
        <v>0.17949347809192859</v>
      </c>
      <c r="T134" s="133">
        <f>'Price Deck'!F128</f>
        <v>71.443238184442393</v>
      </c>
      <c r="U134" s="85">
        <f t="shared" si="19"/>
        <v>71218.993574620137</v>
      </c>
      <c r="V134" s="85">
        <f t="shared" si="20"/>
        <v>12783.344862915283</v>
      </c>
      <c r="W134" s="85">
        <f t="shared" si="21"/>
        <v>12.823595307875646</v>
      </c>
    </row>
    <row r="135" spans="1:23">
      <c r="A135" t="str">
        <f>'Price Deck'!A129</f>
        <v>07/2029</v>
      </c>
      <c r="B135" s="51" t="e">
        <f>'[1]Oil Production'!#REF!</f>
        <v>#REF!</v>
      </c>
      <c r="C135" s="51">
        <f>'[1]Oil Production'!A131</f>
        <v>125</v>
      </c>
      <c r="D135" s="51">
        <f>'[1]Oil Production'!B131</f>
        <v>32.664115958756632</v>
      </c>
      <c r="E135" s="51">
        <f>'[1]Oil Production'!C131</f>
        <v>993.53352707884756</v>
      </c>
      <c r="F135" s="51">
        <f>'[1]Oil Production'!D131</f>
        <v>204510.86071141317</v>
      </c>
      <c r="I135" s="51">
        <f t="shared" si="11"/>
        <v>157.95912678480596</v>
      </c>
      <c r="J135" s="133">
        <f>'Price Deck'!F129*$B$2</f>
        <v>449.36467973784033</v>
      </c>
      <c r="K135" s="155">
        <f t="shared" si="12"/>
        <v>0.22743442509775774</v>
      </c>
      <c r="L135" s="1">
        <v>0.1</v>
      </c>
      <c r="M135" s="155">
        <f t="shared" si="13"/>
        <v>0.24034192261386667</v>
      </c>
      <c r="N135" s="155">
        <f t="shared" si="14"/>
        <v>0.22743442509775774</v>
      </c>
      <c r="O135" s="155">
        <f t="shared" si="15"/>
        <v>0.27954493594756802</v>
      </c>
      <c r="Q135" s="51">
        <f t="shared" si="16"/>
        <v>-4.8655178840511959E-2</v>
      </c>
      <c r="R135" s="155">
        <f t="shared" si="17"/>
        <v>0.17877924625724578</v>
      </c>
      <c r="S135" s="51">
        <f t="shared" si="18"/>
        <v>0.17877924625724578</v>
      </c>
      <c r="T135" s="133">
        <f>'Price Deck'!F129</f>
        <v>71.443238184442393</v>
      </c>
      <c r="U135" s="85">
        <f t="shared" si="19"/>
        <v>70981.252419323253</v>
      </c>
      <c r="V135" s="85">
        <f t="shared" si="20"/>
        <v>12689.974805921915</v>
      </c>
      <c r="W135" s="85">
        <f t="shared" si="21"/>
        <v>12.772568272791492</v>
      </c>
    </row>
    <row r="136" spans="1:23">
      <c r="A136" t="str">
        <f>'Price Deck'!A130</f>
        <v>08/2029</v>
      </c>
      <c r="B136" s="51" t="e">
        <f>'[1]Oil Production'!#REF!</f>
        <v>#REF!</v>
      </c>
      <c r="C136" s="51">
        <f>'[1]Oil Production'!A132</f>
        <v>126</v>
      </c>
      <c r="D136" s="51">
        <f>'[1]Oil Production'!B132</f>
        <v>32.555944965816622</v>
      </c>
      <c r="E136" s="51">
        <f>'[1]Oil Production'!C132</f>
        <v>990.24332604358892</v>
      </c>
      <c r="F136" s="51">
        <f>'[1]Oil Production'!D132</f>
        <v>205501.10403745677</v>
      </c>
      <c r="I136" s="51">
        <f t="shared" si="11"/>
        <v>157.4360268910319</v>
      </c>
      <c r="J136" s="133">
        <f>'Price Deck'!F130*$B$2</f>
        <v>449.36467973784033</v>
      </c>
      <c r="K136" s="155">
        <f t="shared" si="12"/>
        <v>0.22743442509775774</v>
      </c>
      <c r="L136" s="1">
        <v>0.1</v>
      </c>
      <c r="M136" s="155">
        <f t="shared" si="13"/>
        <v>0.24034192261386667</v>
      </c>
      <c r="N136" s="155">
        <f t="shared" si="14"/>
        <v>0.22743442509775774</v>
      </c>
      <c r="O136" s="155">
        <f t="shared" si="15"/>
        <v>0.27954493594756802</v>
      </c>
      <c r="Q136" s="51">
        <f t="shared" si="16"/>
        <v>-4.936136369710694E-2</v>
      </c>
      <c r="R136" s="155">
        <f t="shared" si="17"/>
        <v>0.1780730614006508</v>
      </c>
      <c r="S136" s="51">
        <f t="shared" si="18"/>
        <v>0.1780730614006508</v>
      </c>
      <c r="T136" s="133">
        <f>'Price Deck'!F130</f>
        <v>71.443238184442393</v>
      </c>
      <c r="U136" s="85">
        <f t="shared" si="19"/>
        <v>70746.18980308657</v>
      </c>
      <c r="V136" s="85">
        <f t="shared" si="20"/>
        <v>12597.99060066713</v>
      </c>
      <c r="W136" s="85">
        <f t="shared" si="21"/>
        <v>12.72211613987953</v>
      </c>
    </row>
    <row r="137" spans="1:23">
      <c r="A137" t="str">
        <f>'Price Deck'!A131</f>
        <v>09/2029</v>
      </c>
      <c r="B137" s="51" t="e">
        <f>'[1]Oil Production'!#REF!</f>
        <v>#REF!</v>
      </c>
      <c r="C137" s="51">
        <f>'[1]Oil Production'!A133</f>
        <v>127</v>
      </c>
      <c r="D137" s="51">
        <f>'[1]Oil Production'!B133</f>
        <v>32.448983075783019</v>
      </c>
      <c r="E137" s="51">
        <f>'[1]Oil Production'!C133</f>
        <v>986.98990188840025</v>
      </c>
      <c r="F137" s="51">
        <f>'[1]Oil Production'!D133</f>
        <v>206488.09393934516</v>
      </c>
      <c r="I137" s="51">
        <f t="shared" si="11"/>
        <v>156.91877405093382</v>
      </c>
      <c r="J137" s="133">
        <f>'Price Deck'!F131*$B$2</f>
        <v>449.36467973784033</v>
      </c>
      <c r="K137" s="155">
        <f t="shared" si="12"/>
        <v>0.22743442509775774</v>
      </c>
      <c r="L137" s="1">
        <v>0.1</v>
      </c>
      <c r="M137" s="155">
        <f t="shared" si="13"/>
        <v>0.24034192261386667</v>
      </c>
      <c r="N137" s="155">
        <f t="shared" si="14"/>
        <v>0.22743442509775774</v>
      </c>
      <c r="O137" s="155">
        <f t="shared" si="15"/>
        <v>0.27954493594756802</v>
      </c>
      <c r="Q137" s="51">
        <f t="shared" si="16"/>
        <v>-5.0059655031239346E-2</v>
      </c>
      <c r="R137" s="155">
        <f t="shared" si="17"/>
        <v>0.17737477006651839</v>
      </c>
      <c r="S137" s="51">
        <f t="shared" si="18"/>
        <v>0.17737477006651839</v>
      </c>
      <c r="T137" s="133">
        <f>'Price Deck'!F131</f>
        <v>71.443238184442393</v>
      </c>
      <c r="U137" s="85">
        <f t="shared" si="19"/>
        <v>70513.754646252404</v>
      </c>
      <c r="V137" s="85">
        <f t="shared" si="20"/>
        <v>12507.361016905912</v>
      </c>
      <c r="W137" s="85">
        <f t="shared" si="21"/>
        <v>12.672227945772974</v>
      </c>
    </row>
    <row r="138" spans="1:23">
      <c r="A138" t="str">
        <f>'Price Deck'!A132</f>
        <v>10/2029</v>
      </c>
      <c r="B138" s="51" t="e">
        <f>'[1]Oil Production'!#REF!</f>
        <v>#REF!</v>
      </c>
      <c r="C138" s="51">
        <f>'[1]Oil Production'!A134</f>
        <v>128</v>
      </c>
      <c r="D138" s="51">
        <f>'[1]Oil Production'!B134</f>
        <v>32.343207411653061</v>
      </c>
      <c r="E138" s="51">
        <f>'[1]Oil Production'!C134</f>
        <v>983.77255877111395</v>
      </c>
      <c r="F138" s="51">
        <f>'[1]Oil Production'!D134</f>
        <v>207471.86649811626</v>
      </c>
      <c r="I138" s="51">
        <f t="shared" si="11"/>
        <v>156.40725763450462</v>
      </c>
      <c r="J138" s="133">
        <f>'Price Deck'!F132*$B$2</f>
        <v>449.36467973784033</v>
      </c>
      <c r="K138" s="155">
        <f t="shared" si="12"/>
        <v>0.22743442509775774</v>
      </c>
      <c r="L138" s="1">
        <v>0.1</v>
      </c>
      <c r="M138" s="155">
        <f t="shared" si="13"/>
        <v>0.24034192261386667</v>
      </c>
      <c r="N138" s="155">
        <f t="shared" si="14"/>
        <v>0.22743442509775774</v>
      </c>
      <c r="O138" s="155">
        <f t="shared" si="15"/>
        <v>0.27954493594756802</v>
      </c>
      <c r="Q138" s="51">
        <f t="shared" si="16"/>
        <v>-5.0750202193418768E-2</v>
      </c>
      <c r="R138" s="155">
        <f t="shared" si="17"/>
        <v>0.17668422290433897</v>
      </c>
      <c r="S138" s="51">
        <f t="shared" si="18"/>
        <v>0.17668422290433897</v>
      </c>
      <c r="T138" s="133">
        <f>'Price Deck'!F132</f>
        <v>71.443238184442393</v>
      </c>
      <c r="U138" s="85">
        <f t="shared" si="19"/>
        <v>70283.897235603043</v>
      </c>
      <c r="V138" s="85">
        <f t="shared" si="20"/>
        <v>12418.055765760941</v>
      </c>
      <c r="W138" s="85">
        <f t="shared" si="21"/>
        <v>12.622893020387799</v>
      </c>
    </row>
    <row r="139" spans="1:23">
      <c r="A139" t="str">
        <f>'Price Deck'!A133</f>
        <v>11/2029</v>
      </c>
      <c r="B139" s="51" t="e">
        <f>'[1]Oil Production'!#REF!</f>
        <v>#REF!</v>
      </c>
      <c r="C139" s="51">
        <f>'[1]Oil Production'!A135</f>
        <v>129</v>
      </c>
      <c r="D139" s="51">
        <f>'[1]Oil Production'!B135</f>
        <v>32.238595703655406</v>
      </c>
      <c r="E139" s="51">
        <f>'[1]Oil Production'!C135</f>
        <v>980.59061931951862</v>
      </c>
      <c r="F139" s="51">
        <f>'[1]Oil Production'!D135</f>
        <v>208452.45711743578</v>
      </c>
      <c r="I139" s="51">
        <f t="shared" ref="I139:I202" si="22">E139/$B$2</f>
        <v>155.90136994822402</v>
      </c>
      <c r="J139" s="133">
        <f>'Price Deck'!F133*$B$2</f>
        <v>449.36467973784033</v>
      </c>
      <c r="K139" s="155">
        <f t="shared" ref="K139:K202" si="23">MIN(IF(J139&gt;$G$3,O139,IF(J139&gt;$F$3,N139,IF(J139&gt;$E$3,M139,L139))),0.4)</f>
        <v>0.22743442509775774</v>
      </c>
      <c r="L139" s="1">
        <v>0.1</v>
      </c>
      <c r="M139" s="155">
        <f t="shared" ref="M139:M202" si="24">((J139-$E$3)*0.00071+0.1)</f>
        <v>0.24034192261386667</v>
      </c>
      <c r="N139" s="155">
        <f t="shared" ref="N139:N202" si="25">((J139-$F$3)*0.00039+0.2117)</f>
        <v>0.22743442509775774</v>
      </c>
      <c r="O139" s="155">
        <f t="shared" ref="O139:O202" si="26">((J139-$G$3)*0.0002+0.3344)</f>
        <v>0.27954493594756802</v>
      </c>
      <c r="Q139" s="51">
        <f t="shared" si="16"/>
        <v>-5.1433150569897584E-2</v>
      </c>
      <c r="R139" s="155">
        <f t="shared" si="17"/>
        <v>0.17600127452786016</v>
      </c>
      <c r="S139" s="51">
        <f t="shared" si="18"/>
        <v>0.17600127452786016</v>
      </c>
      <c r="T139" s="133">
        <f>'Price Deck'!F133</f>
        <v>71.443238184442393</v>
      </c>
      <c r="U139" s="85">
        <f t="shared" si="19"/>
        <v>70056.569177474244</v>
      </c>
      <c r="V139" s="85">
        <f t="shared" si="20"/>
        <v>12330.045464284671</v>
      </c>
      <c r="W139" s="85">
        <f t="shared" si="21"/>
        <v>12.574100976859347</v>
      </c>
    </row>
    <row r="140" spans="1:23">
      <c r="A140" t="str">
        <f>'Price Deck'!A134</f>
        <v>12/2029</v>
      </c>
      <c r="B140" s="51" t="e">
        <f>'[1]Oil Production'!#REF!</f>
        <v>#REF!</v>
      </c>
      <c r="C140" s="51">
        <f>'[1]Oil Production'!A136</f>
        <v>130</v>
      </c>
      <c r="D140" s="51">
        <f>'[1]Oil Production'!B136</f>
        <v>32.135126268574695</v>
      </c>
      <c r="E140" s="51">
        <f>'[1]Oil Production'!C136</f>
        <v>977.44342400248036</v>
      </c>
      <c r="F140" s="51">
        <f>'[1]Oil Production'!D136</f>
        <v>209429.90054143826</v>
      </c>
      <c r="I140" s="51">
        <f t="shared" si="22"/>
        <v>155.40100613507497</v>
      </c>
      <c r="J140" s="133">
        <f>'Price Deck'!F134*$B$2</f>
        <v>449.36467973784033</v>
      </c>
      <c r="K140" s="155">
        <f t="shared" si="23"/>
        <v>0.22743442509775774</v>
      </c>
      <c r="L140" s="1">
        <v>0.1</v>
      </c>
      <c r="M140" s="155">
        <f t="shared" si="24"/>
        <v>0.24034192261386667</v>
      </c>
      <c r="N140" s="155">
        <f t="shared" si="25"/>
        <v>0.22743442509775774</v>
      </c>
      <c r="O140" s="155">
        <f t="shared" si="26"/>
        <v>0.27954493594756802</v>
      </c>
      <c r="Q140" s="51">
        <f t="shared" ref="Q140:Q203" si="27">IF(I140&lt;$D$2,(I140-$D$2)*0.00135,0)</f>
        <v>-5.2108641717648799E-2</v>
      </c>
      <c r="R140" s="155">
        <f t="shared" ref="R140:R203" si="28">MAX(0.05,Q140+K140)</f>
        <v>0.17532578338010896</v>
      </c>
      <c r="S140" s="51">
        <f t="shared" ref="S140:S203" si="29">IF(C140&gt;$A$5,R140,0.05)</f>
        <v>0.17532578338010896</v>
      </c>
      <c r="T140" s="133">
        <f>'Price Deck'!F134</f>
        <v>71.443238184442393</v>
      </c>
      <c r="U140" s="85">
        <f t="shared" ref="U140:U203" si="30">T140*E140</f>
        <v>69831.723352826128</v>
      </c>
      <c r="V140" s="85">
        <f t="shared" ref="V140:V203" si="31">U140*S140</f>
        <v>12243.30160161729</v>
      </c>
      <c r="W140" s="85">
        <f t="shared" ref="W140:W203" si="32">V140/E140</f>
        <v>12.525841701899077</v>
      </c>
    </row>
    <row r="141" spans="1:23">
      <c r="A141" t="str">
        <f>'Price Deck'!A135</f>
        <v>01/2030</v>
      </c>
      <c r="B141" s="51" t="e">
        <f>'[1]Oil Production'!#REF!</f>
        <v>#REF!</v>
      </c>
      <c r="C141" s="51">
        <f>'[1]Oil Production'!A137</f>
        <v>131</v>
      </c>
      <c r="D141" s="51">
        <f>'[1]Oil Production'!B137</f>
        <v>32.032777989933102</v>
      </c>
      <c r="E141" s="51">
        <f>'[1]Oil Production'!C137</f>
        <v>974.33033052713188</v>
      </c>
      <c r="F141" s="51">
        <f>'[1]Oil Production'!D137</f>
        <v>210404.23087196538</v>
      </c>
      <c r="I141" s="51">
        <f t="shared" si="22"/>
        <v>154.90606407870439</v>
      </c>
      <c r="J141" s="133">
        <f>'Price Deck'!F135*$B$2</f>
        <v>449.36467973784033</v>
      </c>
      <c r="K141" s="155">
        <f t="shared" si="23"/>
        <v>0.22743442509775774</v>
      </c>
      <c r="L141" s="1">
        <v>0.1</v>
      </c>
      <c r="M141" s="155">
        <f t="shared" si="24"/>
        <v>0.24034192261386667</v>
      </c>
      <c r="N141" s="155">
        <f t="shared" si="25"/>
        <v>0.22743442509775774</v>
      </c>
      <c r="O141" s="155">
        <f t="shared" si="26"/>
        <v>0.27954493594756802</v>
      </c>
      <c r="Q141" s="51">
        <f t="shared" si="27"/>
        <v>-5.2776813493749075E-2</v>
      </c>
      <c r="R141" s="155">
        <f t="shared" si="28"/>
        <v>0.17465761160400867</v>
      </c>
      <c r="S141" s="51">
        <f t="shared" si="29"/>
        <v>0.17465761160400867</v>
      </c>
      <c r="T141" s="133">
        <f>'Price Deck'!F135</f>
        <v>71.443238184442393</v>
      </c>
      <c r="U141" s="85">
        <f t="shared" si="30"/>
        <v>69609.313874176369</v>
      </c>
      <c r="V141" s="85">
        <f t="shared" si="31"/>
        <v>12157.796506657429</v>
      </c>
      <c r="W141" s="85">
        <f t="shared" si="32"/>
        <v>12.478105346551022</v>
      </c>
    </row>
    <row r="142" spans="1:23">
      <c r="A142" t="str">
        <f>'Price Deck'!A136</f>
        <v>02/2030</v>
      </c>
      <c r="B142" s="51" t="e">
        <f>'[1]Oil Production'!#REF!</f>
        <v>#REF!</v>
      </c>
      <c r="C142" s="51">
        <f>'[1]Oil Production'!A138</f>
        <v>132</v>
      </c>
      <c r="D142" s="51">
        <f>'[1]Oil Production'!B138</f>
        <v>31.931530298986754</v>
      </c>
      <c r="E142" s="51">
        <f>'[1]Oil Production'!C138</f>
        <v>971.25071326084719</v>
      </c>
      <c r="F142" s="51">
        <f>'[1]Oil Production'!D138</f>
        <v>211375.48158522623</v>
      </c>
      <c r="I142" s="51">
        <f t="shared" si="22"/>
        <v>154.41644431152451</v>
      </c>
      <c r="J142" s="133">
        <f>'Price Deck'!F136*$B$2</f>
        <v>449.36467973784033</v>
      </c>
      <c r="K142" s="155">
        <f t="shared" si="23"/>
        <v>0.22743442509775774</v>
      </c>
      <c r="L142" s="1">
        <v>0.1</v>
      </c>
      <c r="M142" s="155">
        <f t="shared" si="24"/>
        <v>0.24034192261386667</v>
      </c>
      <c r="N142" s="155">
        <f t="shared" si="25"/>
        <v>0.22743442509775774</v>
      </c>
      <c r="O142" s="155">
        <f t="shared" si="26"/>
        <v>0.27954493594756802</v>
      </c>
      <c r="Q142" s="51">
        <f t="shared" si="27"/>
        <v>-5.3437800179441906E-2</v>
      </c>
      <c r="R142" s="155">
        <f t="shared" si="28"/>
        <v>0.17399662491831583</v>
      </c>
      <c r="S142" s="51">
        <f t="shared" si="29"/>
        <v>0.17399662491831583</v>
      </c>
      <c r="T142" s="133">
        <f>'Price Deck'!F136</f>
        <v>71.443238184442393</v>
      </c>
      <c r="U142" s="85">
        <f t="shared" si="30"/>
        <v>69389.296044304268</v>
      </c>
      <c r="V142" s="85">
        <f t="shared" si="31"/>
        <v>12073.503317166786</v>
      </c>
      <c r="W142" s="85">
        <f t="shared" si="32"/>
        <v>12.430882317328322</v>
      </c>
    </row>
    <row r="143" spans="1:23">
      <c r="A143" t="str">
        <f>'Price Deck'!A137</f>
        <v>03/2030</v>
      </c>
      <c r="B143" s="51" t="e">
        <f>'[1]Oil Production'!#REF!</f>
        <v>#REF!</v>
      </c>
      <c r="C143" s="51">
        <f>'[1]Oil Production'!A139</f>
        <v>133</v>
      </c>
      <c r="D143" s="51">
        <f>'[1]Oil Production'!B139</f>
        <v>31.831363156497865</v>
      </c>
      <c r="E143" s="51">
        <f>'[1]Oil Production'!C139</f>
        <v>968.20396267681008</v>
      </c>
      <c r="F143" s="51">
        <f>'[1]Oil Production'!D139</f>
        <v>212343.68554790303</v>
      </c>
      <c r="I143" s="51">
        <f t="shared" si="22"/>
        <v>153.93204992656541</v>
      </c>
      <c r="J143" s="133">
        <f>'Price Deck'!F137*$B$2</f>
        <v>456.10514993390785</v>
      </c>
      <c r="K143" s="155">
        <f t="shared" si="23"/>
        <v>0.23006320847422407</v>
      </c>
      <c r="L143" s="1">
        <v>0.1</v>
      </c>
      <c r="M143" s="155">
        <f t="shared" si="24"/>
        <v>0.2451276564530746</v>
      </c>
      <c r="N143" s="155">
        <f t="shared" si="25"/>
        <v>0.23006320847422407</v>
      </c>
      <c r="O143" s="155">
        <f t="shared" si="26"/>
        <v>0.28089302998678156</v>
      </c>
      <c r="Q143" s="51">
        <f t="shared" si="27"/>
        <v>-5.4091732599136695E-2</v>
      </c>
      <c r="R143" s="155">
        <f t="shared" si="28"/>
        <v>0.17597147587508738</v>
      </c>
      <c r="S143" s="51">
        <f t="shared" si="29"/>
        <v>0.17597147587508738</v>
      </c>
      <c r="T143" s="133">
        <f>'Price Deck'!F137</f>
        <v>72.514886757209013</v>
      </c>
      <c r="U143" s="85">
        <f t="shared" si="30"/>
        <v>70209.200711389902</v>
      </c>
      <c r="V143" s="85">
        <f t="shared" si="31"/>
        <v>12354.816669193517</v>
      </c>
      <c r="W143" s="85">
        <f t="shared" si="32"/>
        <v>12.7605516455809</v>
      </c>
    </row>
    <row r="144" spans="1:23">
      <c r="A144" t="str">
        <f>'Price Deck'!A138</f>
        <v>04/2030</v>
      </c>
      <c r="B144" s="51" t="e">
        <f>'[1]Oil Production'!#REF!</f>
        <v>#REF!</v>
      </c>
      <c r="C144" s="51">
        <f>'[1]Oil Production'!A140</f>
        <v>134</v>
      </c>
      <c r="D144" s="51">
        <f>'[1]Oil Production'!B140</f>
        <v>31.732257035245237</v>
      </c>
      <c r="E144" s="51">
        <f>'[1]Oil Production'!C140</f>
        <v>965.18948482204269</v>
      </c>
      <c r="F144" s="51">
        <f>'[1]Oil Production'!D140</f>
        <v>213308.87503272507</v>
      </c>
      <c r="I144" s="51">
        <f t="shared" si="22"/>
        <v>153.45278649289833</v>
      </c>
      <c r="J144" s="133">
        <f>'Price Deck'!F138*$B$2</f>
        <v>456.10514993390785</v>
      </c>
      <c r="K144" s="155">
        <f t="shared" si="23"/>
        <v>0.23006320847422407</v>
      </c>
      <c r="L144" s="1">
        <v>0.1</v>
      </c>
      <c r="M144" s="155">
        <f t="shared" si="24"/>
        <v>0.2451276564530746</v>
      </c>
      <c r="N144" s="155">
        <f t="shared" si="25"/>
        <v>0.23006320847422407</v>
      </c>
      <c r="O144" s="155">
        <f t="shared" si="26"/>
        <v>0.28089302998678156</v>
      </c>
      <c r="Q144" s="51">
        <f t="shared" si="27"/>
        <v>-5.4738738234587261E-2</v>
      </c>
      <c r="R144" s="155">
        <f t="shared" si="28"/>
        <v>0.17532447023963682</v>
      </c>
      <c r="S144" s="51">
        <f t="shared" si="29"/>
        <v>0.17532447023963682</v>
      </c>
      <c r="T144" s="133">
        <f>'Price Deck'!F138</f>
        <v>72.514886757209013</v>
      </c>
      <c r="U144" s="85">
        <f t="shared" si="30"/>
        <v>69990.606191119339</v>
      </c>
      <c r="V144" s="85">
        <f t="shared" si="31"/>
        <v>12271.065952209043</v>
      </c>
      <c r="W144" s="85">
        <f t="shared" si="32"/>
        <v>12.713634105194927</v>
      </c>
    </row>
    <row r="145" spans="1:23">
      <c r="A145" t="str">
        <f>'Price Deck'!A139</f>
        <v>05/2030</v>
      </c>
      <c r="B145" s="51" t="e">
        <f>'[1]Oil Production'!#REF!</f>
        <v>#REF!</v>
      </c>
      <c r="C145" s="51">
        <f>'[1]Oil Production'!A141</f>
        <v>135</v>
      </c>
      <c r="D145" s="51">
        <f>'[1]Oil Production'!B141</f>
        <v>31.634192903237867</v>
      </c>
      <c r="E145" s="51">
        <f>'[1]Oil Production'!C141</f>
        <v>962.2067008068185</v>
      </c>
      <c r="F145" s="51">
        <f>'[1]Oil Production'!D141</f>
        <v>214271.0817335319</v>
      </c>
      <c r="I145" s="51">
        <f t="shared" si="22"/>
        <v>152.97856197445878</v>
      </c>
      <c r="J145" s="133">
        <f>'Price Deck'!F139*$B$2</f>
        <v>456.10514993390785</v>
      </c>
      <c r="K145" s="155">
        <f t="shared" si="23"/>
        <v>0.23006320847422407</v>
      </c>
      <c r="L145" s="1">
        <v>0.1</v>
      </c>
      <c r="M145" s="155">
        <f t="shared" si="24"/>
        <v>0.2451276564530746</v>
      </c>
      <c r="N145" s="155">
        <f t="shared" si="25"/>
        <v>0.23006320847422407</v>
      </c>
      <c r="O145" s="155">
        <f t="shared" si="26"/>
        <v>0.28089302998678156</v>
      </c>
      <c r="Q145" s="51">
        <f t="shared" si="27"/>
        <v>-5.5378941334480646E-2</v>
      </c>
      <c r="R145" s="155">
        <f t="shared" si="28"/>
        <v>0.17468426713974342</v>
      </c>
      <c r="S145" s="51">
        <f t="shared" si="29"/>
        <v>0.17468426713974342</v>
      </c>
      <c r="T145" s="133">
        <f>'Price Deck'!F139</f>
        <v>72.514886757209013</v>
      </c>
      <c r="U145" s="85">
        <f t="shared" si="30"/>
        <v>69774.309946034133</v>
      </c>
      <c r="V145" s="85">
        <f t="shared" si="31"/>
        <v>12188.474198104283</v>
      </c>
      <c r="W145" s="85">
        <f t="shared" si="32"/>
        <v>12.667209849904541</v>
      </c>
    </row>
    <row r="146" spans="1:23">
      <c r="A146" t="str">
        <f>'Price Deck'!A140</f>
        <v>06/2030</v>
      </c>
      <c r="B146" s="51" t="e">
        <f>'[1]Oil Production'!#REF!</f>
        <v>#REF!</v>
      </c>
      <c r="C146" s="51">
        <f>'[1]Oil Production'!A142</f>
        <v>136</v>
      </c>
      <c r="D146" s="51">
        <f>'[1]Oil Production'!B142</f>
        <v>31.537152207598815</v>
      </c>
      <c r="E146" s="51">
        <f>'[1]Oil Production'!C142</f>
        <v>959.25504631446404</v>
      </c>
      <c r="F146" s="51">
        <f>'[1]Oil Production'!D142</f>
        <v>215230.33677984637</v>
      </c>
      <c r="I146" s="51">
        <f t="shared" si="22"/>
        <v>152.50928665211151</v>
      </c>
      <c r="J146" s="133">
        <f>'Price Deck'!F140*$B$2</f>
        <v>456.10514993390785</v>
      </c>
      <c r="K146" s="155">
        <f t="shared" si="23"/>
        <v>0.23006320847422407</v>
      </c>
      <c r="L146" s="1">
        <v>0.1</v>
      </c>
      <c r="M146" s="155">
        <f t="shared" si="24"/>
        <v>0.2451276564530746</v>
      </c>
      <c r="N146" s="155">
        <f t="shared" si="25"/>
        <v>0.23006320847422407</v>
      </c>
      <c r="O146" s="155">
        <f t="shared" si="26"/>
        <v>0.28089302998678156</v>
      </c>
      <c r="Q146" s="51">
        <f t="shared" si="27"/>
        <v>-5.6012463019649461E-2</v>
      </c>
      <c r="R146" s="155">
        <f t="shared" si="28"/>
        <v>0.17405074545457461</v>
      </c>
      <c r="S146" s="51">
        <f t="shared" si="29"/>
        <v>0.17405074545457461</v>
      </c>
      <c r="T146" s="133">
        <f>'Price Deck'!F140</f>
        <v>72.514886757209013</v>
      </c>
      <c r="U146" s="85">
        <f t="shared" si="30"/>
        <v>69560.271054774639</v>
      </c>
      <c r="V146" s="85">
        <f t="shared" si="31"/>
        <v>12107.017031105795</v>
      </c>
      <c r="W146" s="85">
        <f t="shared" si="32"/>
        <v>12.621270096646288</v>
      </c>
    </row>
    <row r="147" spans="1:23">
      <c r="A147" t="str">
        <f>'Price Deck'!A141</f>
        <v>07/2030</v>
      </c>
      <c r="B147" s="51" t="e">
        <f>'[1]Oil Production'!#REF!</f>
        <v>#REF!</v>
      </c>
      <c r="C147" s="51">
        <f>'[1]Oil Production'!A143</f>
        <v>137</v>
      </c>
      <c r="D147" s="51">
        <f>'[1]Oil Production'!B143</f>
        <v>31.441116859087256</v>
      </c>
      <c r="E147" s="51">
        <f>'[1]Oil Production'!C143</f>
        <v>956.33397113057072</v>
      </c>
      <c r="F147" s="51">
        <f>'[1]Oil Production'!D143</f>
        <v>216186.67075097695</v>
      </c>
      <c r="I147" s="51">
        <f t="shared" si="22"/>
        <v>152.04487304880092</v>
      </c>
      <c r="J147" s="133">
        <f>'Price Deck'!F141*$B$2</f>
        <v>456.10514993390785</v>
      </c>
      <c r="K147" s="155">
        <f t="shared" si="23"/>
        <v>0.23006320847422407</v>
      </c>
      <c r="L147" s="1">
        <v>0.1</v>
      </c>
      <c r="M147" s="155">
        <f t="shared" si="24"/>
        <v>0.2451276564530746</v>
      </c>
      <c r="N147" s="155">
        <f t="shared" si="25"/>
        <v>0.23006320847422407</v>
      </c>
      <c r="O147" s="155">
        <f t="shared" si="26"/>
        <v>0.28089302998678156</v>
      </c>
      <c r="Q147" s="51">
        <f t="shared" si="27"/>
        <v>-5.663942138411876E-2</v>
      </c>
      <c r="R147" s="155">
        <f t="shared" si="28"/>
        <v>0.17342378709010531</v>
      </c>
      <c r="S147" s="51">
        <f t="shared" si="29"/>
        <v>0.17342378709010531</v>
      </c>
      <c r="T147" s="133">
        <f>'Price Deck'!F141</f>
        <v>72.514886757209013</v>
      </c>
      <c r="U147" s="85">
        <f t="shared" si="30"/>
        <v>69348.449618605329</v>
      </c>
      <c r="V147" s="85">
        <f t="shared" si="31"/>
        <v>12026.670761685906</v>
      </c>
      <c r="W147" s="85">
        <f t="shared" si="32"/>
        <v>12.575806281845313</v>
      </c>
    </row>
    <row r="148" spans="1:23">
      <c r="A148" t="str">
        <f>'Price Deck'!A142</f>
        <v>08/2030</v>
      </c>
      <c r="B148" s="51" t="e">
        <f>'[1]Oil Production'!#REF!</f>
        <v>#REF!</v>
      </c>
      <c r="C148" s="51">
        <f>'[1]Oil Production'!A144</f>
        <v>138</v>
      </c>
      <c r="D148" s="51">
        <f>'[1]Oil Production'!B144</f>
        <v>31.34606921722952</v>
      </c>
      <c r="E148" s="51">
        <f>'[1]Oil Production'!C144</f>
        <v>953.44293869073124</v>
      </c>
      <c r="F148" s="51">
        <f>'[1]Oil Production'!D144</f>
        <v>217140.11368966769</v>
      </c>
      <c r="I148" s="51">
        <f t="shared" si="22"/>
        <v>151.58523585764718</v>
      </c>
      <c r="J148" s="133">
        <f>'Price Deck'!F142*$B$2</f>
        <v>456.10514993390785</v>
      </c>
      <c r="K148" s="155">
        <f t="shared" si="23"/>
        <v>0.23006320847422407</v>
      </c>
      <c r="L148" s="1">
        <v>0.1</v>
      </c>
      <c r="M148" s="155">
        <f t="shared" si="24"/>
        <v>0.2451276564530746</v>
      </c>
      <c r="N148" s="155">
        <f t="shared" si="25"/>
        <v>0.23006320847422407</v>
      </c>
      <c r="O148" s="155">
        <f t="shared" si="26"/>
        <v>0.28089302998678156</v>
      </c>
      <c r="Q148" s="51">
        <f t="shared" si="27"/>
        <v>-5.7259931592176315E-2</v>
      </c>
      <c r="R148" s="155">
        <f t="shared" si="28"/>
        <v>0.17280327688204775</v>
      </c>
      <c r="S148" s="51">
        <f t="shared" si="29"/>
        <v>0.17280327688204775</v>
      </c>
      <c r="T148" s="133">
        <f>'Price Deck'!F142</f>
        <v>72.514886757209013</v>
      </c>
      <c r="U148" s="85">
        <f t="shared" si="30"/>
        <v>69138.806728618947</v>
      </c>
      <c r="V148" s="85">
        <f t="shared" si="31"/>
        <v>11947.412362419926</v>
      </c>
      <c r="W148" s="85">
        <f t="shared" si="32"/>
        <v>12.530810054376326</v>
      </c>
    </row>
    <row r="149" spans="1:23">
      <c r="A149" t="str">
        <f>'Price Deck'!A143</f>
        <v>09/2030</v>
      </c>
      <c r="B149" s="51" t="e">
        <f>'[1]Oil Production'!#REF!</f>
        <v>#REF!</v>
      </c>
      <c r="C149" s="51">
        <f>'[1]Oil Production'!A145</f>
        <v>139</v>
      </c>
      <c r="D149" s="51">
        <f>'[1]Oil Production'!B145</f>
        <v>31.251992076030781</v>
      </c>
      <c r="E149" s="51">
        <f>'[1]Oil Production'!C145</f>
        <v>950.58142564593629</v>
      </c>
      <c r="F149" s="51">
        <f>'[1]Oil Production'!D145</f>
        <v>218090.69511531363</v>
      </c>
      <c r="I149" s="51">
        <f t="shared" si="22"/>
        <v>151.13029187284971</v>
      </c>
      <c r="J149" s="133">
        <f>'Price Deck'!F143*$B$2</f>
        <v>456.10514993390785</v>
      </c>
      <c r="K149" s="155">
        <f t="shared" si="23"/>
        <v>0.23006320847422407</v>
      </c>
      <c r="L149" s="1">
        <v>0.1</v>
      </c>
      <c r="M149" s="155">
        <f t="shared" si="24"/>
        <v>0.2451276564530746</v>
      </c>
      <c r="N149" s="155">
        <f t="shared" si="25"/>
        <v>0.23006320847422407</v>
      </c>
      <c r="O149" s="155">
        <f t="shared" si="26"/>
        <v>0.28089302998678156</v>
      </c>
      <c r="Q149" s="51">
        <f t="shared" si="27"/>
        <v>-5.7874105971652892E-2</v>
      </c>
      <c r="R149" s="155">
        <f t="shared" si="28"/>
        <v>0.17218910250257119</v>
      </c>
      <c r="S149" s="51">
        <f t="shared" si="29"/>
        <v>0.17218910250257119</v>
      </c>
      <c r="T149" s="133">
        <f>'Price Deck'!F143</f>
        <v>72.514886757209013</v>
      </c>
      <c r="U149" s="85">
        <f t="shared" si="30"/>
        <v>68931.304434221369</v>
      </c>
      <c r="V149" s="85">
        <f t="shared" si="31"/>
        <v>11869.219444860084</v>
      </c>
      <c r="W149" s="85">
        <f t="shared" si="32"/>
        <v>12.486273268799405</v>
      </c>
    </row>
    <row r="150" spans="1:23">
      <c r="A150" t="str">
        <f>'Price Deck'!A144</f>
        <v>10/2030</v>
      </c>
      <c r="B150" s="51" t="e">
        <f>'[1]Oil Production'!#REF!</f>
        <v>#REF!</v>
      </c>
      <c r="C150" s="51">
        <f>'[1]Oil Production'!A146</f>
        <v>140</v>
      </c>
      <c r="D150" s="51">
        <f>'[1]Oil Production'!B146</f>
        <v>31.158868650240521</v>
      </c>
      <c r="E150" s="51">
        <f>'[1]Oil Production'!C146</f>
        <v>947.74892144481589</v>
      </c>
      <c r="F150" s="51">
        <f>'[1]Oil Production'!D146</f>
        <v>219038.44403675845</v>
      </c>
      <c r="I150" s="51">
        <f t="shared" si="22"/>
        <v>150.67995992326894</v>
      </c>
      <c r="J150" s="133">
        <f>'Price Deck'!F144*$B$2</f>
        <v>456.10514993390785</v>
      </c>
      <c r="K150" s="155">
        <f t="shared" si="23"/>
        <v>0.23006320847422407</v>
      </c>
      <c r="L150" s="1">
        <v>0.1</v>
      </c>
      <c r="M150" s="155">
        <f t="shared" si="24"/>
        <v>0.2451276564530746</v>
      </c>
      <c r="N150" s="155">
        <f t="shared" si="25"/>
        <v>0.23006320847422407</v>
      </c>
      <c r="O150" s="155">
        <f t="shared" si="26"/>
        <v>0.28089302998678156</v>
      </c>
      <c r="Q150" s="51">
        <f t="shared" si="27"/>
        <v>-5.8482054103586936E-2</v>
      </c>
      <c r="R150" s="155">
        <f t="shared" si="28"/>
        <v>0.17158115437063715</v>
      </c>
      <c r="S150" s="51">
        <f t="shared" si="29"/>
        <v>0.17158115437063715</v>
      </c>
      <c r="T150" s="133">
        <f>'Price Deck'!F144</f>
        <v>72.514886757209013</v>
      </c>
      <c r="U150" s="85">
        <f t="shared" si="30"/>
        <v>68725.905712837804</v>
      </c>
      <c r="V150" s="85">
        <f t="shared" si="31"/>
        <v>11792.070237376276</v>
      </c>
      <c r="W150" s="85">
        <f t="shared" si="32"/>
        <v>12.44218797885795</v>
      </c>
    </row>
    <row r="151" spans="1:23">
      <c r="A151" t="str">
        <f>'Price Deck'!A145</f>
        <v>11/2030</v>
      </c>
      <c r="B151" s="51" t="e">
        <f>'[1]Oil Production'!#REF!</f>
        <v>#REF!</v>
      </c>
      <c r="C151" s="51">
        <f>'[1]Oil Production'!A147</f>
        <v>141</v>
      </c>
      <c r="D151" s="51">
        <f>'[1]Oil Production'!B147</f>
        <v>31.066682562146806</v>
      </c>
      <c r="E151" s="51">
        <f>'[1]Oil Production'!C147</f>
        <v>944.94492793196537</v>
      </c>
      <c r="F151" s="51">
        <f>'[1]Oil Production'!D147</f>
        <v>219983.38896469041</v>
      </c>
      <c r="I151" s="51">
        <f t="shared" si="22"/>
        <v>150.23416080856532</v>
      </c>
      <c r="J151" s="133">
        <f>'Price Deck'!F145*$B$2</f>
        <v>456.10514993390785</v>
      </c>
      <c r="K151" s="155">
        <f t="shared" si="23"/>
        <v>0.23006320847422407</v>
      </c>
      <c r="L151" s="1">
        <v>0.1</v>
      </c>
      <c r="M151" s="155">
        <f t="shared" si="24"/>
        <v>0.2451276564530746</v>
      </c>
      <c r="N151" s="155">
        <f t="shared" si="25"/>
        <v>0.23006320847422407</v>
      </c>
      <c r="O151" s="155">
        <f t="shared" si="26"/>
        <v>0.28089302998678156</v>
      </c>
      <c r="Q151" s="51">
        <f t="shared" si="27"/>
        <v>-5.9083882908436823E-2</v>
      </c>
      <c r="R151" s="155">
        <f t="shared" si="28"/>
        <v>0.17097932556578724</v>
      </c>
      <c r="S151" s="51">
        <f t="shared" si="29"/>
        <v>0.17097932556578724</v>
      </c>
      <c r="T151" s="133">
        <f>'Price Deck'!F145</f>
        <v>72.514886757209013</v>
      </c>
      <c r="U151" s="85">
        <f t="shared" si="30"/>
        <v>68522.574440785495</v>
      </c>
      <c r="V151" s="85">
        <f t="shared" si="31"/>
        <v>11715.943563916955</v>
      </c>
      <c r="W151" s="85">
        <f t="shared" si="32"/>
        <v>12.398546431227032</v>
      </c>
    </row>
    <row r="152" spans="1:23">
      <c r="A152" t="str">
        <f>'Price Deck'!A146</f>
        <v>12/2030</v>
      </c>
      <c r="B152" s="51" t="e">
        <f>'[1]Oil Production'!#REF!</f>
        <v>#REF!</v>
      </c>
      <c r="C152" s="51">
        <f>'[1]Oil Production'!A148</f>
        <v>142</v>
      </c>
      <c r="D152" s="51">
        <f>'[1]Oil Production'!B148</f>
        <v>30.975417828875344</v>
      </c>
      <c r="E152" s="51">
        <f>'[1]Oil Production'!C148</f>
        <v>942.16895896162509</v>
      </c>
      <c r="F152" s="51">
        <f>'[1]Oil Production'!D148</f>
        <v>220925.55792365203</v>
      </c>
      <c r="I152" s="51">
        <f t="shared" si="22"/>
        <v>149.79281723777922</v>
      </c>
      <c r="J152" s="133">
        <f>'Price Deck'!F146*$B$2</f>
        <v>456.10514993390785</v>
      </c>
      <c r="K152" s="155">
        <f t="shared" si="23"/>
        <v>0.23006320847422407</v>
      </c>
      <c r="L152" s="1">
        <v>0.1</v>
      </c>
      <c r="M152" s="155">
        <f t="shared" si="24"/>
        <v>0.2451276564530746</v>
      </c>
      <c r="N152" s="155">
        <f t="shared" si="25"/>
        <v>0.23006320847422407</v>
      </c>
      <c r="O152" s="155">
        <f t="shared" si="26"/>
        <v>0.28089302998678156</v>
      </c>
      <c r="Q152" s="51">
        <f t="shared" si="27"/>
        <v>-5.9679696728998061E-2</v>
      </c>
      <c r="R152" s="155">
        <f t="shared" si="28"/>
        <v>0.17038351174522601</v>
      </c>
      <c r="S152" s="51">
        <f t="shared" si="29"/>
        <v>0.17038351174522601</v>
      </c>
      <c r="T152" s="133">
        <f>'Price Deck'!F146</f>
        <v>72.514886757209013</v>
      </c>
      <c r="U152" s="85">
        <f t="shared" si="30"/>
        <v>68321.275365259746</v>
      </c>
      <c r="V152" s="85">
        <f t="shared" si="31"/>
        <v>11640.818823645553</v>
      </c>
      <c r="W152" s="85">
        <f t="shared" si="32"/>
        <v>12.355341059500654</v>
      </c>
    </row>
    <row r="153" spans="1:23">
      <c r="A153" t="str">
        <f>'Price Deck'!A147</f>
        <v>01/2031</v>
      </c>
      <c r="B153" s="51" t="e">
        <f>'[1]Oil Production'!#REF!</f>
        <v>#REF!</v>
      </c>
      <c r="C153" s="51">
        <f>'[1]Oil Production'!A149</f>
        <v>143</v>
      </c>
      <c r="D153" s="51">
        <f>'[1]Oil Production'!B149</f>
        <v>30.885058850170484</v>
      </c>
      <c r="E153" s="51">
        <f>'[1]Oil Production'!C149</f>
        <v>939.4205400260189</v>
      </c>
      <c r="F153" s="51">
        <f>'[1]Oil Production'!D149</f>
        <v>221864.97846367804</v>
      </c>
      <c r="I153" s="51">
        <f t="shared" si="22"/>
        <v>149.35585377024168</v>
      </c>
      <c r="J153" s="133">
        <f>'Price Deck'!F147*$B$2</f>
        <v>456.10514993390785</v>
      </c>
      <c r="K153" s="155">
        <f t="shared" si="23"/>
        <v>0.23006320847422407</v>
      </c>
      <c r="L153" s="1">
        <v>0.1</v>
      </c>
      <c r="M153" s="155">
        <f t="shared" si="24"/>
        <v>0.2451276564530746</v>
      </c>
      <c r="N153" s="155">
        <f t="shared" si="25"/>
        <v>0.23006320847422407</v>
      </c>
      <c r="O153" s="155">
        <f t="shared" si="26"/>
        <v>0.28089302998678156</v>
      </c>
      <c r="Q153" s="51">
        <f t="shared" si="27"/>
        <v>-6.0269597410173736E-2</v>
      </c>
      <c r="R153" s="155">
        <f t="shared" si="28"/>
        <v>0.16979361106405033</v>
      </c>
      <c r="S153" s="51">
        <f t="shared" si="29"/>
        <v>0.16979361106405033</v>
      </c>
      <c r="T153" s="133">
        <f>'Price Deck'!F147</f>
        <v>72.514886757209013</v>
      </c>
      <c r="U153" s="85">
        <f t="shared" si="30"/>
        <v>68121.974077382896</v>
      </c>
      <c r="V153" s="85">
        <f t="shared" si="31"/>
        <v>11566.67597141047</v>
      </c>
      <c r="W153" s="85">
        <f t="shared" si="32"/>
        <v>12.3125644784072</v>
      </c>
    </row>
    <row r="154" spans="1:23">
      <c r="A154" t="str">
        <f>'Price Deck'!A148</f>
        <v>02/2031</v>
      </c>
      <c r="B154" s="51" t="e">
        <f>'[1]Oil Production'!#REF!</f>
        <v>#REF!</v>
      </c>
      <c r="C154" s="51">
        <f>'[1]Oil Production'!A150</f>
        <v>144</v>
      </c>
      <c r="D154" s="51">
        <f>'[1]Oil Production'!B150</f>
        <v>30.795590396636815</v>
      </c>
      <c r="E154" s="51">
        <f>'[1]Oil Production'!C150</f>
        <v>936.6992078977031</v>
      </c>
      <c r="F154" s="51">
        <f>'[1]Oil Production'!D150</f>
        <v>222801.67767157574</v>
      </c>
      <c r="I154" s="51">
        <f t="shared" si="22"/>
        <v>148.92319675871229</v>
      </c>
      <c r="J154" s="133">
        <f>'Price Deck'!F148*$B$2</f>
        <v>456.10514993390785</v>
      </c>
      <c r="K154" s="155">
        <f t="shared" si="23"/>
        <v>0.23006320847422407</v>
      </c>
      <c r="L154" s="1">
        <v>0.1</v>
      </c>
      <c r="M154" s="155">
        <f t="shared" si="24"/>
        <v>0.2451276564530746</v>
      </c>
      <c r="N154" s="155">
        <f t="shared" si="25"/>
        <v>0.23006320847422407</v>
      </c>
      <c r="O154" s="155">
        <f t="shared" si="26"/>
        <v>0.28089302998678156</v>
      </c>
      <c r="Q154" s="51">
        <f t="shared" si="27"/>
        <v>-6.0853684375738404E-2</v>
      </c>
      <c r="R154" s="155">
        <f t="shared" si="28"/>
        <v>0.16920952409848566</v>
      </c>
      <c r="S154" s="51">
        <f t="shared" si="29"/>
        <v>0.16920952409848566</v>
      </c>
      <c r="T154" s="133">
        <f>'Price Deck'!F148</f>
        <v>72.514886757209013</v>
      </c>
      <c r="U154" s="85">
        <f t="shared" si="30"/>
        <v>67924.636986269325</v>
      </c>
      <c r="V154" s="85">
        <f t="shared" si="31"/>
        <v>11493.49549900903</v>
      </c>
      <c r="W154" s="85">
        <f t="shared" si="32"/>
        <v>12.270209478242919</v>
      </c>
    </row>
    <row r="155" spans="1:23">
      <c r="A155" t="str">
        <f>'Price Deck'!A149</f>
        <v>03/2031</v>
      </c>
      <c r="B155" s="51" t="e">
        <f>'[1]Oil Production'!#REF!</f>
        <v>#REF!</v>
      </c>
      <c r="C155" s="51">
        <f>'[1]Oil Production'!A151</f>
        <v>145</v>
      </c>
      <c r="D155" s="51">
        <f>'[1]Oil Production'!B151</f>
        <v>30.706997598420919</v>
      </c>
      <c r="E155" s="51">
        <f>'[1]Oil Production'!C151</f>
        <v>934.00451028530301</v>
      </c>
      <c r="F155" s="51">
        <f>'[1]Oil Production'!D151</f>
        <v>223735.68218186105</v>
      </c>
      <c r="I155" s="51">
        <f t="shared" si="22"/>
        <v>148.49477429464577</v>
      </c>
      <c r="J155" s="133">
        <f>'Price Deck'!F149*$B$2</f>
        <v>462.94672718291639</v>
      </c>
      <c r="K155" s="155">
        <f t="shared" si="23"/>
        <v>0.23273142360133739</v>
      </c>
      <c r="L155" s="1">
        <v>0.1</v>
      </c>
      <c r="M155" s="155">
        <f t="shared" si="24"/>
        <v>0.24998517629987066</v>
      </c>
      <c r="N155" s="155">
        <f t="shared" si="25"/>
        <v>0.23273142360133739</v>
      </c>
      <c r="O155" s="155">
        <f t="shared" si="26"/>
        <v>0.28226134543658327</v>
      </c>
      <c r="Q155" s="51">
        <f t="shared" si="27"/>
        <v>-6.143205470222822E-2</v>
      </c>
      <c r="R155" s="155">
        <f t="shared" si="28"/>
        <v>0.17129936889910918</v>
      </c>
      <c r="S155" s="51">
        <f t="shared" si="29"/>
        <v>0.17129936889910918</v>
      </c>
      <c r="T155" s="133">
        <f>'Price Deck'!F149</f>
        <v>73.602610058567137</v>
      </c>
      <c r="U155" s="85">
        <f t="shared" si="30"/>
        <v>68745.16976347212</v>
      </c>
      <c r="V155" s="85">
        <f t="shared" si="31"/>
        <v>11776.004195344896</v>
      </c>
      <c r="W155" s="85">
        <f t="shared" si="32"/>
        <v>12.608080652359776</v>
      </c>
    </row>
    <row r="156" spans="1:23">
      <c r="A156" t="str">
        <f>'Price Deck'!A150</f>
        <v>04/2031</v>
      </c>
      <c r="B156" s="51" t="e">
        <f>'[1]Oil Production'!#REF!</f>
        <v>#REF!</v>
      </c>
      <c r="C156" s="51">
        <f>'[1]Oil Production'!A152</f>
        <v>146</v>
      </c>
      <c r="D156" s="51">
        <f>'[1]Oil Production'!B152</f>
        <v>30.619265934313741</v>
      </c>
      <c r="E156" s="51">
        <f>'[1]Oil Production'!C152</f>
        <v>931.33600550204301</v>
      </c>
      <c r="F156" s="51">
        <f>'[1]Oil Production'!D152</f>
        <v>224667.01818736308</v>
      </c>
      <c r="I156" s="51">
        <f t="shared" si="22"/>
        <v>148.07051615549253</v>
      </c>
      <c r="J156" s="133">
        <f>'Price Deck'!F150*$B$2</f>
        <v>462.94672718291639</v>
      </c>
      <c r="K156" s="155">
        <f t="shared" si="23"/>
        <v>0.23273142360133739</v>
      </c>
      <c r="L156" s="1">
        <v>0.1</v>
      </c>
      <c r="M156" s="155">
        <f t="shared" si="24"/>
        <v>0.24998517629987066</v>
      </c>
      <c r="N156" s="155">
        <f t="shared" si="25"/>
        <v>0.23273142360133739</v>
      </c>
      <c r="O156" s="155">
        <f t="shared" si="26"/>
        <v>0.28226134543658327</v>
      </c>
      <c r="Q156" s="51">
        <f t="shared" si="27"/>
        <v>-6.2004803190085091E-2</v>
      </c>
      <c r="R156" s="155">
        <f t="shared" si="28"/>
        <v>0.17072662041125231</v>
      </c>
      <c r="S156" s="51">
        <f t="shared" si="29"/>
        <v>0.17072662041125231</v>
      </c>
      <c r="T156" s="133">
        <f>'Price Deck'!F150</f>
        <v>73.602610058567137</v>
      </c>
      <c r="U156" s="85">
        <f t="shared" si="30"/>
        <v>68548.76084647041</v>
      </c>
      <c r="V156" s="85">
        <f t="shared" si="31"/>
        <v>11703.098272697069</v>
      </c>
      <c r="W156" s="85">
        <f t="shared" si="32"/>
        <v>12.565924868746414</v>
      </c>
    </row>
    <row r="157" spans="1:23">
      <c r="A157" t="str">
        <f>'Price Deck'!A151</f>
        <v>05/2031</v>
      </c>
      <c r="B157" s="51" t="e">
        <f>'[1]Oil Production'!#REF!</f>
        <v>#REF!</v>
      </c>
      <c r="C157" s="51">
        <f>'[1]Oil Production'!A153</f>
        <v>147</v>
      </c>
      <c r="D157" s="51">
        <f>'[1]Oil Production'!B153</f>
        <v>30.532381221255406</v>
      </c>
      <c r="E157" s="51">
        <f>'[1]Oil Production'!C153</f>
        <v>928.69326214651869</v>
      </c>
      <c r="F157" s="51">
        <f>'[1]Oil Production'!D153</f>
        <v>225595.7114495096</v>
      </c>
      <c r="I157" s="51">
        <f t="shared" si="22"/>
        <v>147.65035375394547</v>
      </c>
      <c r="J157" s="133">
        <f>'Price Deck'!F151*$B$2</f>
        <v>462.94672718291639</v>
      </c>
      <c r="K157" s="155">
        <f t="shared" si="23"/>
        <v>0.23273142360133739</v>
      </c>
      <c r="L157" s="1">
        <v>0.1</v>
      </c>
      <c r="M157" s="155">
        <f t="shared" si="24"/>
        <v>0.24998517629987066</v>
      </c>
      <c r="N157" s="155">
        <f t="shared" si="25"/>
        <v>0.23273142360133739</v>
      </c>
      <c r="O157" s="155">
        <f t="shared" si="26"/>
        <v>0.28226134543658327</v>
      </c>
      <c r="Q157" s="51">
        <f t="shared" si="27"/>
        <v>-6.2572022432173621E-2</v>
      </c>
      <c r="R157" s="155">
        <f t="shared" si="28"/>
        <v>0.17015940116916378</v>
      </c>
      <c r="S157" s="51">
        <f t="shared" si="29"/>
        <v>0.17015940116916378</v>
      </c>
      <c r="T157" s="133">
        <f>'Price Deck'!F151</f>
        <v>73.602610058567137</v>
      </c>
      <c r="U157" s="85">
        <f t="shared" si="30"/>
        <v>68354.248037788886</v>
      </c>
      <c r="V157" s="85">
        <f t="shared" si="31"/>
        <v>11631.117913478645</v>
      </c>
      <c r="W157" s="85">
        <f t="shared" si="32"/>
        <v>12.524176052053255</v>
      </c>
    </row>
    <row r="158" spans="1:23">
      <c r="A158" t="str">
        <f>'Price Deck'!A152</f>
        <v>06/2031</v>
      </c>
      <c r="B158" s="51" t="e">
        <f>'[1]Oil Production'!#REF!</f>
        <v>#REF!</v>
      </c>
      <c r="C158" s="51">
        <f>'[1]Oil Production'!A154</f>
        <v>148</v>
      </c>
      <c r="D158" s="51">
        <f>'[1]Oil Production'!B154</f>
        <v>30.446329604224857</v>
      </c>
      <c r="E158" s="51">
        <f>'[1]Oil Production'!C154</f>
        <v>926.07585879517273</v>
      </c>
      <c r="F158" s="51">
        <f>'[1]Oil Production'!D154</f>
        <v>226521.78730830477</v>
      </c>
      <c r="I158" s="51">
        <f t="shared" si="22"/>
        <v>147.2342200890476</v>
      </c>
      <c r="J158" s="133">
        <f>'Price Deck'!F152*$B$2</f>
        <v>462.94672718291639</v>
      </c>
      <c r="K158" s="155">
        <f t="shared" si="23"/>
        <v>0.23273142360133739</v>
      </c>
      <c r="L158" s="1">
        <v>0.1</v>
      </c>
      <c r="M158" s="155">
        <f t="shared" si="24"/>
        <v>0.24998517629987066</v>
      </c>
      <c r="N158" s="155">
        <f t="shared" si="25"/>
        <v>0.23273142360133739</v>
      </c>
      <c r="O158" s="155">
        <f t="shared" si="26"/>
        <v>0.28226134543658327</v>
      </c>
      <c r="Q158" s="51">
        <f t="shared" si="27"/>
        <v>-6.3133802879785747E-2</v>
      </c>
      <c r="R158" s="155">
        <f t="shared" si="28"/>
        <v>0.16959762072155166</v>
      </c>
      <c r="S158" s="51">
        <f t="shared" si="29"/>
        <v>0.16959762072155166</v>
      </c>
      <c r="T158" s="133">
        <f>'Price Deck'!F152</f>
        <v>73.602610058567137</v>
      </c>
      <c r="U158" s="85">
        <f t="shared" si="30"/>
        <v>68161.600319553778</v>
      </c>
      <c r="V158" s="85">
        <f t="shared" si="31"/>
        <v>11560.045238769675</v>
      </c>
      <c r="W158" s="85">
        <f t="shared" si="32"/>
        <v>12.482827544829131</v>
      </c>
    </row>
    <row r="159" spans="1:23">
      <c r="A159" t="str">
        <f>'Price Deck'!A153</f>
        <v>07/2031</v>
      </c>
      <c r="B159" s="51" t="e">
        <f>'[1]Oil Production'!#REF!</f>
        <v>#REF!</v>
      </c>
      <c r="C159" s="51">
        <f>'[1]Oil Production'!A155</f>
        <v>149</v>
      </c>
      <c r="D159" s="51">
        <f>'[1]Oil Production'!B155</f>
        <v>30.361097546497671</v>
      </c>
      <c r="E159" s="51">
        <f>'[1]Oil Production'!C155</f>
        <v>923.48338370597082</v>
      </c>
      <c r="F159" s="51">
        <f>'[1]Oil Production'!D155</f>
        <v>227445.27069201076</v>
      </c>
      <c r="I159" s="51">
        <f t="shared" si="22"/>
        <v>146.82204969908028</v>
      </c>
      <c r="J159" s="133">
        <f>'Price Deck'!F153*$B$2</f>
        <v>462.94672718291639</v>
      </c>
      <c r="K159" s="155">
        <f t="shared" si="23"/>
        <v>0.23273142360133739</v>
      </c>
      <c r="L159" s="1">
        <v>0.1</v>
      </c>
      <c r="M159" s="155">
        <f t="shared" si="24"/>
        <v>0.24998517629987066</v>
      </c>
      <c r="N159" s="155">
        <f t="shared" si="25"/>
        <v>0.23273142360133739</v>
      </c>
      <c r="O159" s="155">
        <f t="shared" si="26"/>
        <v>0.28226134543658327</v>
      </c>
      <c r="Q159" s="51">
        <f t="shared" si="27"/>
        <v>-6.3690232906241623E-2</v>
      </c>
      <c r="R159" s="155">
        <f t="shared" si="28"/>
        <v>0.16904119069509577</v>
      </c>
      <c r="S159" s="51">
        <f t="shared" si="29"/>
        <v>0.16904119069509577</v>
      </c>
      <c r="T159" s="133">
        <f>'Price Deck'!F153</f>
        <v>73.602610058567137</v>
      </c>
      <c r="U159" s="85">
        <f t="shared" si="30"/>
        <v>67970.787386476703</v>
      </c>
      <c r="V159" s="85">
        <f t="shared" si="31"/>
        <v>11489.862832293218</v>
      </c>
      <c r="W159" s="85">
        <f t="shared" si="32"/>
        <v>12.441872842567021</v>
      </c>
    </row>
    <row r="160" spans="1:23">
      <c r="A160" t="str">
        <f>'Price Deck'!A154</f>
        <v>08/2031</v>
      </c>
      <c r="B160" s="51" t="e">
        <f>'[1]Oil Production'!#REF!</f>
        <v>#REF!</v>
      </c>
      <c r="C160" s="51">
        <f>'[1]Oil Production'!A156</f>
        <v>150</v>
      </c>
      <c r="D160" s="51">
        <f>'[1]Oil Production'!B156</f>
        <v>30.276671820256439</v>
      </c>
      <c r="E160" s="51">
        <f>'[1]Oil Production'!C156</f>
        <v>920.91543453280008</v>
      </c>
      <c r="F160" s="51">
        <f>'[1]Oil Production'!D156</f>
        <v>228366.18612654356</v>
      </c>
      <c r="I160" s="51">
        <f t="shared" si="22"/>
        <v>146.41377861615624</v>
      </c>
      <c r="J160" s="133">
        <f>'Price Deck'!F154*$B$2</f>
        <v>462.94672718291639</v>
      </c>
      <c r="K160" s="155">
        <f t="shared" si="23"/>
        <v>0.23273142360133739</v>
      </c>
      <c r="L160" s="1">
        <v>0.1</v>
      </c>
      <c r="M160" s="155">
        <f t="shared" si="24"/>
        <v>0.24998517629987066</v>
      </c>
      <c r="N160" s="155">
        <f t="shared" si="25"/>
        <v>0.23273142360133739</v>
      </c>
      <c r="O160" s="155">
        <f t="shared" si="26"/>
        <v>0.28226134543658327</v>
      </c>
      <c r="Q160" s="51">
        <f t="shared" si="27"/>
        <v>-6.4241398868189081E-2</v>
      </c>
      <c r="R160" s="155">
        <f t="shared" si="28"/>
        <v>0.16849002473314831</v>
      </c>
      <c r="S160" s="51">
        <f t="shared" si="29"/>
        <v>0.16849002473314831</v>
      </c>
      <c r="T160" s="133">
        <f>'Price Deck'!F154</f>
        <v>73.602610058567137</v>
      </c>
      <c r="U160" s="85">
        <f t="shared" si="30"/>
        <v>67781.779624833594</v>
      </c>
      <c r="V160" s="85">
        <f t="shared" si="31"/>
        <v>11420.553725445021</v>
      </c>
      <c r="W160" s="85">
        <f t="shared" si="32"/>
        <v>12.401305589192248</v>
      </c>
    </row>
    <row r="161" spans="1:23">
      <c r="A161" t="str">
        <f>'Price Deck'!A155</f>
        <v>09/2031</v>
      </c>
      <c r="B161" s="51" t="e">
        <f>'[1]Oil Production'!#REF!</f>
        <v>#REF!</v>
      </c>
      <c r="C161" s="51">
        <f>'[1]Oil Production'!A157</f>
        <v>151</v>
      </c>
      <c r="D161" s="51">
        <f>'[1]Oil Production'!B157</f>
        <v>30.193039497538564</v>
      </c>
      <c r="E161" s="51">
        <f>'[1]Oil Production'!C157</f>
        <v>918.37161805013136</v>
      </c>
      <c r="F161" s="51">
        <f>'[1]Oil Production'!D157</f>
        <v>229284.55774459368</v>
      </c>
      <c r="I161" s="51">
        <f t="shared" si="22"/>
        <v>146.00934432244441</v>
      </c>
      <c r="J161" s="133">
        <f>'Price Deck'!F155*$B$2</f>
        <v>462.94672718291639</v>
      </c>
      <c r="K161" s="155">
        <f t="shared" si="23"/>
        <v>0.23273142360133739</v>
      </c>
      <c r="L161" s="1">
        <v>0.1</v>
      </c>
      <c r="M161" s="155">
        <f t="shared" si="24"/>
        <v>0.24998517629987066</v>
      </c>
      <c r="N161" s="155">
        <f t="shared" si="25"/>
        <v>0.23273142360133739</v>
      </c>
      <c r="O161" s="155">
        <f t="shared" si="26"/>
        <v>0.28226134543658327</v>
      </c>
      <c r="Q161" s="51">
        <f t="shared" si="27"/>
        <v>-6.4787385164700062E-2</v>
      </c>
      <c r="R161" s="155">
        <f t="shared" si="28"/>
        <v>0.16794403843663733</v>
      </c>
      <c r="S161" s="51">
        <f t="shared" si="29"/>
        <v>0.16794403843663733</v>
      </c>
      <c r="T161" s="133">
        <f>'Price Deck'!F155</f>
        <v>73.602610058567137</v>
      </c>
      <c r="U161" s="85">
        <f t="shared" si="30"/>
        <v>67594.548092199169</v>
      </c>
      <c r="V161" s="85">
        <f t="shared" si="31"/>
        <v>11352.101382903427</v>
      </c>
      <c r="W161" s="85">
        <f t="shared" si="32"/>
        <v>12.361119572712827</v>
      </c>
    </row>
    <row r="162" spans="1:23">
      <c r="A162" t="str">
        <f>'Price Deck'!A156</f>
        <v>10/2031</v>
      </c>
      <c r="B162" s="51" t="e">
        <f>'[1]Oil Production'!#REF!</f>
        <v>#REF!</v>
      </c>
      <c r="C162" s="51">
        <f>'[1]Oil Production'!A158</f>
        <v>152</v>
      </c>
      <c r="D162" s="51">
        <f>'[1]Oil Production'!B158</f>
        <v>30.110187941507231</v>
      </c>
      <c r="E162" s="51">
        <f>'[1]Oil Production'!C158</f>
        <v>915.85154988751162</v>
      </c>
      <c r="F162" s="51">
        <f>'[1]Oil Production'!D158</f>
        <v>230200.40929448119</v>
      </c>
      <c r="I162" s="51">
        <f t="shared" si="22"/>
        <v>145.60868570795759</v>
      </c>
      <c r="J162" s="133">
        <f>'Price Deck'!F156*$B$2</f>
        <v>462.94672718291639</v>
      </c>
      <c r="K162" s="155">
        <f t="shared" si="23"/>
        <v>0.23273142360133739</v>
      </c>
      <c r="L162" s="1">
        <v>0.1</v>
      </c>
      <c r="M162" s="155">
        <f t="shared" si="24"/>
        <v>0.24998517629987066</v>
      </c>
      <c r="N162" s="155">
        <f t="shared" si="25"/>
        <v>0.23273142360133739</v>
      </c>
      <c r="O162" s="155">
        <f t="shared" si="26"/>
        <v>0.28226134543658327</v>
      </c>
      <c r="Q162" s="51">
        <f t="shared" si="27"/>
        <v>-6.5328274294257249E-2</v>
      </c>
      <c r="R162" s="155">
        <f t="shared" si="28"/>
        <v>0.16740314930708014</v>
      </c>
      <c r="S162" s="51">
        <f t="shared" si="29"/>
        <v>0.16740314930708014</v>
      </c>
      <c r="T162" s="133">
        <f>'Price Deck'!F156</f>
        <v>73.602610058567137</v>
      </c>
      <c r="U162" s="85">
        <f t="shared" si="30"/>
        <v>67409.064497904867</v>
      </c>
      <c r="V162" s="85">
        <f t="shared" si="31"/>
        <v>11284.489688793363</v>
      </c>
      <c r="W162" s="85">
        <f t="shared" si="32"/>
        <v>12.321308721025112</v>
      </c>
    </row>
    <row r="163" spans="1:23">
      <c r="A163" t="str">
        <f>'Price Deck'!A157</f>
        <v>11/2031</v>
      </c>
      <c r="B163" s="51" t="e">
        <f>'[1]Oil Production'!#REF!</f>
        <v>#REF!</v>
      </c>
      <c r="C163" s="51">
        <f>'[1]Oil Production'!A159</f>
        <v>153</v>
      </c>
      <c r="D163" s="51">
        <f>'[1]Oil Production'!B159</f>
        <v>30.028104798032018</v>
      </c>
      <c r="E163" s="51">
        <f>'[1]Oil Production'!C159</f>
        <v>913.35485427347396</v>
      </c>
      <c r="F163" s="51">
        <f>'[1]Oil Production'!D159</f>
        <v>231113.76414875465</v>
      </c>
      <c r="I163" s="51">
        <f t="shared" si="22"/>
        <v>145.21174302983744</v>
      </c>
      <c r="J163" s="133">
        <f>'Price Deck'!F157*$B$2</f>
        <v>462.94672718291639</v>
      </c>
      <c r="K163" s="155">
        <f t="shared" si="23"/>
        <v>0.23273142360133739</v>
      </c>
      <c r="L163" s="1">
        <v>0.1</v>
      </c>
      <c r="M163" s="155">
        <f t="shared" si="24"/>
        <v>0.24998517629987066</v>
      </c>
      <c r="N163" s="155">
        <f t="shared" si="25"/>
        <v>0.23273142360133739</v>
      </c>
      <c r="O163" s="155">
        <f t="shared" si="26"/>
        <v>0.28226134543658327</v>
      </c>
      <c r="Q163" s="51">
        <f t="shared" si="27"/>
        <v>-6.5864146909719465E-2</v>
      </c>
      <c r="R163" s="155">
        <f t="shared" si="28"/>
        <v>0.16686727669161794</v>
      </c>
      <c r="S163" s="51">
        <f t="shared" si="29"/>
        <v>0.16686727669161794</v>
      </c>
      <c r="T163" s="133">
        <f>'Price Deck'!F157</f>
        <v>73.602610058567137</v>
      </c>
      <c r="U163" s="85">
        <f t="shared" si="30"/>
        <v>67225.301184189913</v>
      </c>
      <c r="V163" s="85">
        <f t="shared" si="31"/>
        <v>11217.702933379569</v>
      </c>
      <c r="W163" s="85">
        <f t="shared" si="32"/>
        <v>12.281867097868183</v>
      </c>
    </row>
    <row r="164" spans="1:23">
      <c r="A164" t="str">
        <f>'Price Deck'!A158</f>
        <v>12/2031</v>
      </c>
      <c r="B164" s="51" t="e">
        <f>'[1]Oil Production'!#REF!</f>
        <v>#REF!</v>
      </c>
      <c r="C164" s="51">
        <f>'[1]Oil Production'!A160</f>
        <v>154</v>
      </c>
      <c r="D164" s="51">
        <f>'[1]Oil Production'!B160</f>
        <v>29.946777987566108</v>
      </c>
      <c r="E164" s="51">
        <f>'[1]Oil Production'!C160</f>
        <v>910.88116378846917</v>
      </c>
      <c r="F164" s="51">
        <f>'[1]Oil Production'!D160</f>
        <v>232024.64531254311</v>
      </c>
      <c r="I164" s="51">
        <f t="shared" si="22"/>
        <v>144.8184578730737</v>
      </c>
      <c r="J164" s="133">
        <f>'Price Deck'!F158*$B$2</f>
        <v>462.94672718291639</v>
      </c>
      <c r="K164" s="155">
        <f t="shared" si="23"/>
        <v>0.23273142360133739</v>
      </c>
      <c r="L164" s="1">
        <v>0.1</v>
      </c>
      <c r="M164" s="155">
        <f t="shared" si="24"/>
        <v>0.24998517629987066</v>
      </c>
      <c r="N164" s="155">
        <f t="shared" si="25"/>
        <v>0.23273142360133739</v>
      </c>
      <c r="O164" s="155">
        <f t="shared" si="26"/>
        <v>0.28226134543658327</v>
      </c>
      <c r="Q164" s="51">
        <f t="shared" si="27"/>
        <v>-6.6395081871350514E-2</v>
      </c>
      <c r="R164" s="155">
        <f t="shared" si="28"/>
        <v>0.16633634172998688</v>
      </c>
      <c r="S164" s="51">
        <f t="shared" si="29"/>
        <v>0.16633634172998688</v>
      </c>
      <c r="T164" s="133">
        <f>'Price Deck'!F158</f>
        <v>73.602610058567137</v>
      </c>
      <c r="U164" s="85">
        <f t="shared" si="30"/>
        <v>67043.231108016524</v>
      </c>
      <c r="V164" s="85">
        <f t="shared" si="31"/>
        <v>11151.725800265524</v>
      </c>
      <c r="W164" s="85">
        <f t="shared" si="32"/>
        <v>12.242788898920793</v>
      </c>
    </row>
    <row r="165" spans="1:23">
      <c r="A165" t="str">
        <f>'Price Deck'!A159</f>
        <v>01/2032</v>
      </c>
      <c r="B165" s="51" t="e">
        <f>'[1]Oil Production'!#REF!</f>
        <v>#REF!</v>
      </c>
      <c r="C165" s="51">
        <f>'[1]Oil Production'!A161</f>
        <v>155</v>
      </c>
      <c r="D165" s="51">
        <f>'[1]Oil Production'!B161</f>
        <v>29.866195697308068</v>
      </c>
      <c r="E165" s="51">
        <f>'[1]Oil Production'!C161</f>
        <v>908.43011912645375</v>
      </c>
      <c r="F165" s="51">
        <f>'[1]Oil Production'!D161</f>
        <v>232933.07543166957</v>
      </c>
      <c r="I165" s="51">
        <f t="shared" si="22"/>
        <v>144.4287731125998</v>
      </c>
      <c r="J165" s="133">
        <f>'Price Deck'!F159*$B$2</f>
        <v>462.94672718291639</v>
      </c>
      <c r="K165" s="155">
        <f t="shared" si="23"/>
        <v>0.23273142360133739</v>
      </c>
      <c r="L165" s="1">
        <v>0.1</v>
      </c>
      <c r="M165" s="155">
        <f t="shared" si="24"/>
        <v>0.24998517629987066</v>
      </c>
      <c r="N165" s="155">
        <f t="shared" si="25"/>
        <v>0.23273142360133739</v>
      </c>
      <c r="O165" s="155">
        <f t="shared" si="26"/>
        <v>0.28226134543658327</v>
      </c>
      <c r="Q165" s="51">
        <f t="shared" si="27"/>
        <v>-6.6921156297990281E-2</v>
      </c>
      <c r="R165" s="155">
        <f t="shared" si="28"/>
        <v>0.16581026730334711</v>
      </c>
      <c r="S165" s="51">
        <f t="shared" si="29"/>
        <v>0.16581026730334711</v>
      </c>
      <c r="T165" s="133">
        <f>'Price Deck'!F159</f>
        <v>73.602610058567137</v>
      </c>
      <c r="U165" s="85">
        <f t="shared" si="30"/>
        <v>66862.827823522064</v>
      </c>
      <c r="V165" s="85">
        <f t="shared" si="31"/>
        <v>11086.543354075868</v>
      </c>
      <c r="W165" s="85">
        <f t="shared" si="32"/>
        <v>12.204068448035041</v>
      </c>
    </row>
    <row r="166" spans="1:23">
      <c r="A166" t="str">
        <f>'Price Deck'!A160</f>
        <v>02/2032</v>
      </c>
      <c r="B166" s="51" t="e">
        <f>'[1]Oil Production'!#REF!</f>
        <v>#REF!</v>
      </c>
      <c r="C166" s="51">
        <f>'[1]Oil Production'!A162</f>
        <v>156</v>
      </c>
      <c r="D166" s="51">
        <f>'[1]Oil Production'!B162</f>
        <v>29.786346373636036</v>
      </c>
      <c r="E166" s="51">
        <f>'[1]Oil Production'!C162</f>
        <v>906.00136886476275</v>
      </c>
      <c r="F166" s="51">
        <f>'[1]Oil Production'!D162</f>
        <v>233839.07680053433</v>
      </c>
      <c r="I166" s="51">
        <f t="shared" si="22"/>
        <v>144.04263287670554</v>
      </c>
      <c r="J166" s="133">
        <f>'Price Deck'!F160*$B$2</f>
        <v>462.94672718291639</v>
      </c>
      <c r="K166" s="155">
        <f t="shared" si="23"/>
        <v>0.23273142360133739</v>
      </c>
      <c r="L166" s="1">
        <v>0.1</v>
      </c>
      <c r="M166" s="155">
        <f t="shared" si="24"/>
        <v>0.24998517629987066</v>
      </c>
      <c r="N166" s="155">
        <f t="shared" si="25"/>
        <v>0.23273142360133739</v>
      </c>
      <c r="O166" s="155">
        <f t="shared" si="26"/>
        <v>0.28226134543658327</v>
      </c>
      <c r="Q166" s="51">
        <f t="shared" si="27"/>
        <v>-6.7442445616447522E-2</v>
      </c>
      <c r="R166" s="155">
        <f t="shared" si="28"/>
        <v>0.16528897798488987</v>
      </c>
      <c r="S166" s="51">
        <f t="shared" si="29"/>
        <v>0.16528897798488987</v>
      </c>
      <c r="T166" s="133">
        <f>'Price Deck'!F160</f>
        <v>73.602610058567137</v>
      </c>
      <c r="U166" s="85">
        <f t="shared" si="30"/>
        <v>66684.065465081178</v>
      </c>
      <c r="V166" s="85">
        <f t="shared" si="31"/>
        <v>11022.141028600758</v>
      </c>
      <c r="W166" s="85">
        <f t="shared" si="32"/>
        <v>12.165700193600937</v>
      </c>
    </row>
    <row r="167" spans="1:23">
      <c r="A167" t="str">
        <f>'Price Deck'!A161</f>
        <v>03/2032</v>
      </c>
      <c r="B167" s="51" t="e">
        <f>'[1]Oil Production'!#REF!</f>
        <v>#REF!</v>
      </c>
      <c r="C167" s="51">
        <f>'[1]Oil Production'!A163</f>
        <v>157</v>
      </c>
      <c r="D167" s="51">
        <f>'[1]Oil Production'!B163</f>
        <v>29.707218714803602</v>
      </c>
      <c r="E167" s="51">
        <f>'[1]Oil Production'!C163</f>
        <v>903.59456924194296</v>
      </c>
      <c r="F167" s="51">
        <f>'[1]Oil Production'!D163</f>
        <v>234742.67136977628</v>
      </c>
      <c r="I167" s="51">
        <f t="shared" si="22"/>
        <v>143.65998251171544</v>
      </c>
      <c r="J167" s="133">
        <f>'Price Deck'!F161*$B$2</f>
        <v>469.89092809066011</v>
      </c>
      <c r="K167" s="155">
        <f t="shared" si="23"/>
        <v>0.23543966195535745</v>
      </c>
      <c r="L167" s="1">
        <v>0.1</v>
      </c>
      <c r="M167" s="155">
        <f t="shared" si="24"/>
        <v>0.25491555894436868</v>
      </c>
      <c r="N167" s="155">
        <f t="shared" si="25"/>
        <v>0.23543966195535745</v>
      </c>
      <c r="O167" s="155">
        <f t="shared" si="26"/>
        <v>0.28365018561813199</v>
      </c>
      <c r="Q167" s="51">
        <f t="shared" si="27"/>
        <v>-6.7959023609184155E-2</v>
      </c>
      <c r="R167" s="155">
        <f t="shared" si="28"/>
        <v>0.1674806383461733</v>
      </c>
      <c r="S167" s="51">
        <f t="shared" si="29"/>
        <v>0.1674806383461733</v>
      </c>
      <c r="T167" s="133">
        <f>'Price Deck'!F161</f>
        <v>74.706649209445644</v>
      </c>
      <c r="U167" s="85">
        <f t="shared" si="30"/>
        <v>67504.522511917981</v>
      </c>
      <c r="V167" s="85">
        <f t="shared" si="31"/>
        <v>11305.70052154965</v>
      </c>
      <c r="W167" s="85">
        <f t="shared" si="32"/>
        <v>12.511917298301601</v>
      </c>
    </row>
    <row r="168" spans="1:23">
      <c r="A168" t="str">
        <f>'Price Deck'!A162</f>
        <v>04/2032</v>
      </c>
      <c r="B168" s="51" t="e">
        <f>'[1]Oil Production'!#REF!</f>
        <v>#REF!</v>
      </c>
      <c r="C168" s="51">
        <f>'[1]Oil Production'!A164</f>
        <v>158</v>
      </c>
      <c r="D168" s="51">
        <f>'[1]Oil Production'!B164</f>
        <v>29.628801663886421</v>
      </c>
      <c r="E168" s="51">
        <f>'[1]Oil Production'!C164</f>
        <v>901.20938394321195</v>
      </c>
      <c r="F168" s="51">
        <f>'[1]Oil Production'!D164</f>
        <v>235643.88075371948</v>
      </c>
      <c r="I168" s="51">
        <f t="shared" si="22"/>
        <v>143.28076854787946</v>
      </c>
      <c r="J168" s="133">
        <f>'Price Deck'!F162*$B$2</f>
        <v>469.89092809066011</v>
      </c>
      <c r="K168" s="155">
        <f t="shared" si="23"/>
        <v>0.23543966195535745</v>
      </c>
      <c r="L168" s="1">
        <v>0.1</v>
      </c>
      <c r="M168" s="155">
        <f t="shared" si="24"/>
        <v>0.25491555894436868</v>
      </c>
      <c r="N168" s="155">
        <f t="shared" si="25"/>
        <v>0.23543966195535745</v>
      </c>
      <c r="O168" s="155">
        <f t="shared" si="26"/>
        <v>0.28365018561813199</v>
      </c>
      <c r="Q168" s="51">
        <f t="shared" si="27"/>
        <v>-6.847096246036273E-2</v>
      </c>
      <c r="R168" s="155">
        <f t="shared" si="28"/>
        <v>0.16696869949499471</v>
      </c>
      <c r="S168" s="51">
        <f t="shared" si="29"/>
        <v>0.16696869949499471</v>
      </c>
      <c r="T168" s="133">
        <f>'Price Deck'!F162</f>
        <v>74.706649209445644</v>
      </c>
      <c r="U168" s="85">
        <f t="shared" si="30"/>
        <v>67326.333310506147</v>
      </c>
      <c r="V168" s="85">
        <f t="shared" si="31"/>
        <v>11241.390314621753</v>
      </c>
      <c r="W168" s="85">
        <f t="shared" si="32"/>
        <v>12.473672062129912</v>
      </c>
    </row>
    <row r="169" spans="1:23">
      <c r="A169" t="str">
        <f>'Price Deck'!A163</f>
        <v>05/2032</v>
      </c>
      <c r="B169" s="51" t="e">
        <f>'[1]Oil Production'!#REF!</f>
        <v>#REF!</v>
      </c>
      <c r="C169" s="51">
        <f>'[1]Oil Production'!A165</f>
        <v>159</v>
      </c>
      <c r="D169" s="51">
        <f>'[1]Oil Production'!B165</f>
        <v>29.551084401969675</v>
      </c>
      <c r="E169" s="51">
        <f>'[1]Oil Production'!C165</f>
        <v>898.84548389324436</v>
      </c>
      <c r="F169" s="51">
        <f>'[1]Oil Production'!D165</f>
        <v>236542.72623761272</v>
      </c>
      <c r="I169" s="51">
        <f t="shared" si="22"/>
        <v>142.90493866642868</v>
      </c>
      <c r="J169" s="133">
        <f>'Price Deck'!F163*$B$2</f>
        <v>469.89092809066011</v>
      </c>
      <c r="K169" s="155">
        <f t="shared" si="23"/>
        <v>0.23543966195535745</v>
      </c>
      <c r="L169" s="1">
        <v>0.1</v>
      </c>
      <c r="M169" s="155">
        <f t="shared" si="24"/>
        <v>0.25491555894436868</v>
      </c>
      <c r="N169" s="155">
        <f t="shared" si="25"/>
        <v>0.23543966195535745</v>
      </c>
      <c r="O169" s="155">
        <f t="shared" si="26"/>
        <v>0.28365018561813199</v>
      </c>
      <c r="Q169" s="51">
        <f t="shared" si="27"/>
        <v>-6.8978332800321285E-2</v>
      </c>
      <c r="R169" s="155">
        <f t="shared" si="28"/>
        <v>0.16646132915503617</v>
      </c>
      <c r="S169" s="51">
        <f t="shared" si="29"/>
        <v>0.16646132915503617</v>
      </c>
      <c r="T169" s="133">
        <f>'Price Deck'!F163</f>
        <v>74.706649209445644</v>
      </c>
      <c r="U169" s="85">
        <f t="shared" si="30"/>
        <v>67149.734258707031</v>
      </c>
      <c r="V169" s="85">
        <f t="shared" si="31"/>
        <v>11177.83401711184</v>
      </c>
      <c r="W169" s="85">
        <f t="shared" si="32"/>
        <v>12.435768124123355</v>
      </c>
    </row>
    <row r="170" spans="1:23">
      <c r="A170" t="str">
        <f>'Price Deck'!A164</f>
        <v>06/2032</v>
      </c>
      <c r="B170" s="51" t="e">
        <f>'[1]Oil Production'!#REF!</f>
        <v>#REF!</v>
      </c>
      <c r="C170" s="51">
        <f>'[1]Oil Production'!A166</f>
        <v>160</v>
      </c>
      <c r="D170" s="51">
        <f>'[1]Oil Production'!B166</f>
        <v>29.474056341566428</v>
      </c>
      <c r="E170" s="51">
        <f>'[1]Oil Production'!C166</f>
        <v>896.50254705597888</v>
      </c>
      <c r="F170" s="51">
        <f>'[1]Oil Production'!D166</f>
        <v>237439.2287846687</v>
      </c>
      <c r="I170" s="51">
        <f t="shared" si="22"/>
        <v>142.53244166774707</v>
      </c>
      <c r="J170" s="133">
        <f>'Price Deck'!F164*$B$2</f>
        <v>469.89092809066011</v>
      </c>
      <c r="K170" s="155">
        <f t="shared" si="23"/>
        <v>0.23543966195535745</v>
      </c>
      <c r="L170" s="1">
        <v>0.1</v>
      </c>
      <c r="M170" s="155">
        <f t="shared" si="24"/>
        <v>0.25491555894436868</v>
      </c>
      <c r="N170" s="155">
        <f t="shared" si="25"/>
        <v>0.23543966195535745</v>
      </c>
      <c r="O170" s="155">
        <f t="shared" si="26"/>
        <v>0.28365018561813199</v>
      </c>
      <c r="Q170" s="51">
        <f t="shared" si="27"/>
        <v>-6.948120374854147E-2</v>
      </c>
      <c r="R170" s="155">
        <f t="shared" si="28"/>
        <v>0.16595845820681598</v>
      </c>
      <c r="S170" s="51">
        <f t="shared" si="29"/>
        <v>0.16595845820681598</v>
      </c>
      <c r="T170" s="133">
        <f>'Price Deck'!F164</f>
        <v>74.706649209445644</v>
      </c>
      <c r="U170" s="85">
        <f t="shared" si="30"/>
        <v>66974.701298285552</v>
      </c>
      <c r="V170" s="85">
        <f t="shared" si="31"/>
        <v>11115.018166325506</v>
      </c>
      <c r="W170" s="85">
        <f t="shared" si="32"/>
        <v>12.398200320597047</v>
      </c>
    </row>
    <row r="171" spans="1:23">
      <c r="A171" t="str">
        <f>'Price Deck'!A165</f>
        <v>07/2032</v>
      </c>
      <c r="B171" s="51" t="e">
        <f>'[1]Oil Production'!#REF!</f>
        <v>#REF!</v>
      </c>
      <c r="C171" s="51">
        <f>'[1]Oil Production'!A167</f>
        <v>161</v>
      </c>
      <c r="D171" s="51">
        <f>'[1]Oil Production'!B167</f>
        <v>29.397707120257873</v>
      </c>
      <c r="E171" s="51">
        <f>'[1]Oil Production'!C167</f>
        <v>894.18025824117706</v>
      </c>
      <c r="F171" s="51">
        <f>'[1]Oil Production'!D167</f>
        <v>238333.40904290989</v>
      </c>
      <c r="I171" s="51">
        <f t="shared" si="22"/>
        <v>142.16322744061702</v>
      </c>
      <c r="J171" s="133">
        <f>'Price Deck'!F165*$B$2</f>
        <v>469.89092809066011</v>
      </c>
      <c r="K171" s="155">
        <f t="shared" si="23"/>
        <v>0.23543966195535745</v>
      </c>
      <c r="L171" s="1">
        <v>0.1</v>
      </c>
      <c r="M171" s="155">
        <f t="shared" si="24"/>
        <v>0.25491555894436868</v>
      </c>
      <c r="N171" s="155">
        <f t="shared" si="25"/>
        <v>0.23543966195535745</v>
      </c>
      <c r="O171" s="155">
        <f t="shared" si="26"/>
        <v>0.28365018561813199</v>
      </c>
      <c r="Q171" s="51">
        <f t="shared" si="27"/>
        <v>-6.9979642955167023E-2</v>
      </c>
      <c r="R171" s="155">
        <f t="shared" si="28"/>
        <v>0.16546001900019042</v>
      </c>
      <c r="S171" s="51">
        <f t="shared" si="29"/>
        <v>0.16546001900019042</v>
      </c>
      <c r="T171" s="133">
        <f>'Price Deck'!F165</f>
        <v>74.706649209445644</v>
      </c>
      <c r="U171" s="85">
        <f t="shared" si="30"/>
        <v>66801.210882435131</v>
      </c>
      <c r="V171" s="85">
        <f t="shared" si="31"/>
        <v>11052.929621843443</v>
      </c>
      <c r="W171" s="85">
        <f t="shared" si="32"/>
        <v>12.360963597635436</v>
      </c>
    </row>
    <row r="172" spans="1:23">
      <c r="A172" t="str">
        <f>'Price Deck'!A166</f>
        <v>08/2032</v>
      </c>
      <c r="B172" s="51" t="e">
        <f>'[1]Oil Production'!#REF!</f>
        <v>#REF!</v>
      </c>
      <c r="C172" s="51">
        <f>'[1]Oil Production'!A168</f>
        <v>162</v>
      </c>
      <c r="D172" s="51">
        <f>'[1]Oil Production'!B168</f>
        <v>29.322026594546674</v>
      </c>
      <c r="E172" s="51">
        <f>'[1]Oil Production'!C168</f>
        <v>891.87830891746137</v>
      </c>
      <c r="F172" s="51">
        <f>'[1]Oil Production'!D168</f>
        <v>239225.28735182734</v>
      </c>
      <c r="I172" s="51">
        <f t="shared" si="22"/>
        <v>141.79724693249457</v>
      </c>
      <c r="J172" s="133">
        <f>'Price Deck'!F166*$B$2</f>
        <v>469.89092809066011</v>
      </c>
      <c r="K172" s="155">
        <f t="shared" si="23"/>
        <v>0.23543966195535745</v>
      </c>
      <c r="L172" s="1">
        <v>0.1</v>
      </c>
      <c r="M172" s="155">
        <f t="shared" si="24"/>
        <v>0.25491555894436868</v>
      </c>
      <c r="N172" s="155">
        <f t="shared" si="25"/>
        <v>0.23543966195535745</v>
      </c>
      <c r="O172" s="155">
        <f t="shared" si="26"/>
        <v>0.28365018561813199</v>
      </c>
      <c r="Q172" s="51">
        <f t="shared" si="27"/>
        <v>-7.0473716641132333E-2</v>
      </c>
      <c r="R172" s="155">
        <f t="shared" si="28"/>
        <v>0.16496594531422512</v>
      </c>
      <c r="S172" s="51">
        <f t="shared" si="29"/>
        <v>0.16496594531422512</v>
      </c>
      <c r="T172" s="133">
        <f>'Price Deck'!F166</f>
        <v>74.706649209445644</v>
      </c>
      <c r="U172" s="85">
        <f t="shared" si="30"/>
        <v>66629.239961810381</v>
      </c>
      <c r="V172" s="85">
        <f t="shared" si="31"/>
        <v>10991.555555868394</v>
      </c>
      <c r="W172" s="85">
        <f t="shared" si="32"/>
        <v>12.324053008094408</v>
      </c>
    </row>
    <row r="173" spans="1:23">
      <c r="A173" t="str">
        <f>'Price Deck'!A167</f>
        <v>09/2032</v>
      </c>
      <c r="B173" s="51" t="e">
        <f>'[1]Oil Production'!#REF!</f>
        <v>#REF!</v>
      </c>
      <c r="C173" s="51">
        <f>'[1]Oil Production'!A169</f>
        <v>163</v>
      </c>
      <c r="D173" s="51">
        <f>'[1]Oil Production'!B169</f>
        <v>29.247004833914691</v>
      </c>
      <c r="E173" s="51">
        <f>'[1]Oil Production'!C169</f>
        <v>889.59639703157188</v>
      </c>
      <c r="F173" s="51">
        <f>'[1]Oil Production'!D169</f>
        <v>240114.88374885891</v>
      </c>
      <c r="I173" s="51">
        <f t="shared" si="22"/>
        <v>141.43445212077367</v>
      </c>
      <c r="J173" s="133">
        <f>'Price Deck'!F167*$B$2</f>
        <v>469.89092809066011</v>
      </c>
      <c r="K173" s="155">
        <f t="shared" si="23"/>
        <v>0.23543966195535745</v>
      </c>
      <c r="L173" s="1">
        <v>0.1</v>
      </c>
      <c r="M173" s="155">
        <f t="shared" si="24"/>
        <v>0.25491555894436868</v>
      </c>
      <c r="N173" s="155">
        <f t="shared" si="25"/>
        <v>0.23543966195535745</v>
      </c>
      <c r="O173" s="155">
        <f t="shared" si="26"/>
        <v>0.28365018561813199</v>
      </c>
      <c r="Q173" s="51">
        <f t="shared" si="27"/>
        <v>-7.0963489636955548E-2</v>
      </c>
      <c r="R173" s="155">
        <f t="shared" si="28"/>
        <v>0.16447617231840189</v>
      </c>
      <c r="S173" s="51">
        <f t="shared" si="29"/>
        <v>0.16447617231840189</v>
      </c>
      <c r="T173" s="133">
        <f>'Price Deck'!F167</f>
        <v>74.706649209445644</v>
      </c>
      <c r="U173" s="85">
        <f t="shared" si="30"/>
        <v>66458.765971024375</v>
      </c>
      <c r="V173" s="85">
        <f t="shared" si="31"/>
        <v>10930.883443918548</v>
      </c>
      <c r="W173" s="85">
        <f t="shared" si="32"/>
        <v>12.287463708703184</v>
      </c>
    </row>
    <row r="174" spans="1:23">
      <c r="A174" t="str">
        <f>'Price Deck'!A168</f>
        <v>10/2032</v>
      </c>
      <c r="B174" s="51" t="e">
        <f>'[1]Oil Production'!#REF!</f>
        <v>#REF!</v>
      </c>
      <c r="C174" s="51">
        <f>'[1]Oil Production'!A170</f>
        <v>164</v>
      </c>
      <c r="D174" s="51">
        <f>'[1]Oil Production'!B170</f>
        <v>29.172632115077651</v>
      </c>
      <c r="E174" s="51">
        <f>'[1]Oil Production'!C170</f>
        <v>887.33422683361187</v>
      </c>
      <c r="F174" s="51">
        <f>'[1]Oil Production'!D170</f>
        <v>241002.2179756925</v>
      </c>
      <c r="I174" s="51">
        <f t="shared" si="22"/>
        <v>141.0747959850024</v>
      </c>
      <c r="J174" s="133">
        <f>'Price Deck'!F168*$B$2</f>
        <v>469.89092809066011</v>
      </c>
      <c r="K174" s="155">
        <f t="shared" si="23"/>
        <v>0.23543966195535745</v>
      </c>
      <c r="L174" s="1">
        <v>0.1</v>
      </c>
      <c r="M174" s="155">
        <f t="shared" si="24"/>
        <v>0.25491555894436868</v>
      </c>
      <c r="N174" s="155">
        <f t="shared" si="25"/>
        <v>0.23543966195535745</v>
      </c>
      <c r="O174" s="155">
        <f t="shared" si="26"/>
        <v>0.28365018561813199</v>
      </c>
      <c r="Q174" s="51">
        <f t="shared" si="27"/>
        <v>-7.1449025420246767E-2</v>
      </c>
      <c r="R174" s="155">
        <f t="shared" si="28"/>
        <v>0.1639906365351107</v>
      </c>
      <c r="S174" s="51">
        <f t="shared" si="29"/>
        <v>0.1639906365351107</v>
      </c>
      <c r="T174" s="133">
        <f>'Price Deck'!F168</f>
        <v>74.706649209445644</v>
      </c>
      <c r="U174" s="85">
        <f t="shared" si="30"/>
        <v>66289.766815593306</v>
      </c>
      <c r="V174" s="85">
        <f t="shared" si="31"/>
        <v>10870.901055853205</v>
      </c>
      <c r="W174" s="85">
        <f t="shared" si="32"/>
        <v>12.251190957262216</v>
      </c>
    </row>
    <row r="175" spans="1:23">
      <c r="A175" t="str">
        <f>'Price Deck'!A169</f>
        <v>11/2032</v>
      </c>
      <c r="B175" s="51" t="e">
        <f>'[1]Oil Production'!#REF!</f>
        <v>#REF!</v>
      </c>
      <c r="C175" s="51">
        <f>'[1]Oil Production'!A171</f>
        <v>165</v>
      </c>
      <c r="D175" s="51">
        <f>'[1]Oil Production'!B171</f>
        <v>29.098898916428411</v>
      </c>
      <c r="E175" s="51">
        <f>'[1]Oil Production'!C171</f>
        <v>885.09150870803091</v>
      </c>
      <c r="F175" s="51">
        <f>'[1]Oil Production'!D171</f>
        <v>241887.30948440052</v>
      </c>
      <c r="I175" s="51">
        <f t="shared" si="22"/>
        <v>140.71823248001149</v>
      </c>
      <c r="J175" s="133">
        <f>'Price Deck'!F169*$B$2</f>
        <v>469.89092809066011</v>
      </c>
      <c r="K175" s="155">
        <f t="shared" si="23"/>
        <v>0.23543966195535745</v>
      </c>
      <c r="L175" s="1">
        <v>0.1</v>
      </c>
      <c r="M175" s="155">
        <f t="shared" si="24"/>
        <v>0.25491555894436868</v>
      </c>
      <c r="N175" s="155">
        <f t="shared" si="25"/>
        <v>0.23543966195535745</v>
      </c>
      <c r="O175" s="155">
        <f t="shared" si="26"/>
        <v>0.28365018561813199</v>
      </c>
      <c r="Q175" s="51">
        <f t="shared" si="27"/>
        <v>-7.1930386151984493E-2</v>
      </c>
      <c r="R175" s="155">
        <f t="shared" si="28"/>
        <v>0.16350927580337296</v>
      </c>
      <c r="S175" s="51">
        <f t="shared" si="29"/>
        <v>0.16350927580337296</v>
      </c>
      <c r="T175" s="133">
        <f>'Price Deck'!F169</f>
        <v>74.706649209445644</v>
      </c>
      <c r="U175" s="85">
        <f t="shared" si="30"/>
        <v>66122.220859309877</v>
      </c>
      <c r="V175" s="85">
        <f t="shared" si="31"/>
        <v>10811.59644721644</v>
      </c>
      <c r="W175" s="85">
        <f t="shared" si="32"/>
        <v>12.215230109933083</v>
      </c>
    </row>
    <row r="176" spans="1:23">
      <c r="A176" t="str">
        <f>'Price Deck'!A170</f>
        <v>01/2032</v>
      </c>
      <c r="B176" s="51" t="e">
        <f>'[1]Oil Production'!#REF!</f>
        <v>#REF!</v>
      </c>
      <c r="C176" s="51">
        <f>'[1]Oil Production'!A172</f>
        <v>166</v>
      </c>
      <c r="D176" s="51">
        <f>'[1]Oil Production'!B172</f>
        <v>29.025795912662058</v>
      </c>
      <c r="E176" s="51">
        <f>'[1]Oil Production'!C172</f>
        <v>882.86795901013761</v>
      </c>
      <c r="F176" s="51">
        <f>'[1]Oil Production'!D172</f>
        <v>242770.17744341065</v>
      </c>
      <c r="I176" s="51">
        <f t="shared" si="22"/>
        <v>140.36471650992186</v>
      </c>
      <c r="J176" s="133">
        <f>'Price Deck'!F170*$B$2</f>
        <v>469.89092809066011</v>
      </c>
      <c r="K176" s="155">
        <f t="shared" si="23"/>
        <v>0.23543966195535745</v>
      </c>
      <c r="L176" s="1">
        <v>0.1</v>
      </c>
      <c r="M176" s="155">
        <f t="shared" si="24"/>
        <v>0.25491555894436868</v>
      </c>
      <c r="N176" s="155">
        <f t="shared" si="25"/>
        <v>0.23543966195535745</v>
      </c>
      <c r="O176" s="155">
        <f t="shared" si="26"/>
        <v>0.28365018561813199</v>
      </c>
      <c r="Q176" s="51">
        <f t="shared" si="27"/>
        <v>-7.2407632711605496E-2</v>
      </c>
      <c r="R176" s="155">
        <f t="shared" si="28"/>
        <v>0.16303202924375196</v>
      </c>
      <c r="S176" s="51">
        <f t="shared" si="29"/>
        <v>0.16303202924375196</v>
      </c>
      <c r="T176" s="133">
        <f>'Price Deck'!F170</f>
        <v>74.706649209445644</v>
      </c>
      <c r="U176" s="85">
        <f t="shared" si="30"/>
        <v>65956.106912029587</v>
      </c>
      <c r="V176" s="85">
        <f t="shared" si="31"/>
        <v>10752.957950886039</v>
      </c>
      <c r="W176" s="85">
        <f t="shared" si="32"/>
        <v>12.179576618617062</v>
      </c>
    </row>
    <row r="177" spans="1:23">
      <c r="A177" t="str">
        <f>'Price Deck'!A171</f>
        <v>02/2032</v>
      </c>
      <c r="B177" s="51" t="e">
        <f>'[1]Oil Production'!#REF!</f>
        <v>#REF!</v>
      </c>
      <c r="C177" s="51">
        <f>'[1]Oil Production'!A173</f>
        <v>167</v>
      </c>
      <c r="D177" s="51">
        <f>'[1]Oil Production'!B173</f>
        <v>28.953313969575582</v>
      </c>
      <c r="E177" s="51">
        <f>'[1]Oil Production'!C173</f>
        <v>880.66329990792394</v>
      </c>
      <c r="F177" s="51">
        <f>'[1]Oil Production'!D173</f>
        <v>243650.84074331858</v>
      </c>
      <c r="I177" s="51">
        <f t="shared" si="22"/>
        <v>140.0142039029968</v>
      </c>
      <c r="J177" s="133">
        <f>'Price Deck'!F171*$B$2</f>
        <v>469.89092809066011</v>
      </c>
      <c r="K177" s="155">
        <f t="shared" si="23"/>
        <v>0.23543966195535745</v>
      </c>
      <c r="L177" s="1">
        <v>0.1</v>
      </c>
      <c r="M177" s="155">
        <f t="shared" si="24"/>
        <v>0.25491555894436868</v>
      </c>
      <c r="N177" s="155">
        <f t="shared" si="25"/>
        <v>0.23543966195535745</v>
      </c>
      <c r="O177" s="155">
        <f t="shared" si="26"/>
        <v>0.28365018561813199</v>
      </c>
      <c r="Q177" s="51">
        <f t="shared" si="27"/>
        <v>-7.2880824730954322E-2</v>
      </c>
      <c r="R177" s="155">
        <f t="shared" si="28"/>
        <v>0.16255883722440312</v>
      </c>
      <c r="S177" s="51">
        <f t="shared" si="29"/>
        <v>0.16255883722440312</v>
      </c>
      <c r="T177" s="133">
        <f>'Price Deck'!F171</f>
        <v>74.706649209445644</v>
      </c>
      <c r="U177" s="85">
        <f t="shared" si="30"/>
        <v>65791.404217854099</v>
      </c>
      <c r="V177" s="85">
        <f t="shared" si="31"/>
        <v>10694.974169015053</v>
      </c>
      <c r="W177" s="85">
        <f t="shared" si="32"/>
        <v>12.144226028418858</v>
      </c>
    </row>
    <row r="178" spans="1:23">
      <c r="A178" t="str">
        <f>'Price Deck'!A172</f>
        <v>03/2032</v>
      </c>
      <c r="B178" s="51" t="e">
        <f>'[1]Oil Production'!#REF!</f>
        <v>#REF!</v>
      </c>
      <c r="C178" s="51">
        <f>'[1]Oil Production'!A174</f>
        <v>168</v>
      </c>
      <c r="D178" s="51">
        <f>'[1]Oil Production'!B174</f>
        <v>28.881444139035519</v>
      </c>
      <c r="E178" s="51">
        <f>'[1]Oil Production'!C174</f>
        <v>878.47725922899713</v>
      </c>
      <c r="F178" s="51">
        <f>'[1]Oil Production'!D174</f>
        <v>244529.31800254757</v>
      </c>
      <c r="I178" s="51">
        <f t="shared" si="22"/>
        <v>139.66665138730608</v>
      </c>
      <c r="J178" s="133">
        <f>'Price Deck'!F172*$B$2</f>
        <v>476.93929201201996</v>
      </c>
      <c r="K178" s="155">
        <f t="shared" si="23"/>
        <v>0.23818852388468778</v>
      </c>
      <c r="L178" s="1">
        <v>0.1</v>
      </c>
      <c r="M178" s="155">
        <f t="shared" si="24"/>
        <v>0.25991989732853416</v>
      </c>
      <c r="N178" s="155">
        <f t="shared" si="25"/>
        <v>0.23818852388468778</v>
      </c>
      <c r="O178" s="155">
        <f t="shared" si="26"/>
        <v>0.285059858402404</v>
      </c>
      <c r="Q178" s="51">
        <f t="shared" si="27"/>
        <v>-7.3350020627136803E-2</v>
      </c>
      <c r="R178" s="155">
        <f t="shared" si="28"/>
        <v>0.16483850325755098</v>
      </c>
      <c r="S178" s="51">
        <f t="shared" si="29"/>
        <v>0.16483850325755098</v>
      </c>
      <c r="T178" s="133">
        <f>'Price Deck'!F172</f>
        <v>75.827248947587321</v>
      </c>
      <c r="U178" s="85">
        <f t="shared" si="30"/>
        <v>66612.513830351367</v>
      </c>
      <c r="V178" s="85">
        <f t="shared" si="31"/>
        <v>10980.307078018033</v>
      </c>
      <c r="W178" s="85">
        <f t="shared" si="32"/>
        <v>12.499250222658002</v>
      </c>
    </row>
    <row r="179" spans="1:23">
      <c r="A179" t="str">
        <f>'Price Deck'!A173</f>
        <v>04/2032</v>
      </c>
      <c r="B179" s="51" t="e">
        <f>'[1]Oil Production'!#REF!</f>
        <v>#REF!</v>
      </c>
      <c r="C179" s="51">
        <f>'[1]Oil Production'!A175</f>
        <v>169</v>
      </c>
      <c r="D179" s="51">
        <f>'[1]Oil Production'!B175</f>
        <v>28.810177654107079</v>
      </c>
      <c r="E179" s="51">
        <f>'[1]Oil Production'!C175</f>
        <v>876.30957031242372</v>
      </c>
      <c r="F179" s="51">
        <f>'[1]Oil Production'!D175</f>
        <v>245405.62757285999</v>
      </c>
      <c r="I179" s="51">
        <f t="shared" si="22"/>
        <v>139.32201656717095</v>
      </c>
      <c r="J179" s="133">
        <f>'Price Deck'!F173*$B$2</f>
        <v>476.93929201201996</v>
      </c>
      <c r="K179" s="155">
        <f t="shared" si="23"/>
        <v>0.23818852388468778</v>
      </c>
      <c r="L179" s="1">
        <v>0.1</v>
      </c>
      <c r="M179" s="155">
        <f t="shared" si="24"/>
        <v>0.25991989732853416</v>
      </c>
      <c r="N179" s="155">
        <f t="shared" si="25"/>
        <v>0.23818852388468778</v>
      </c>
      <c r="O179" s="155">
        <f t="shared" si="26"/>
        <v>0.285059858402404</v>
      </c>
      <c r="Q179" s="51">
        <f t="shared" si="27"/>
        <v>-7.3815277634319221E-2</v>
      </c>
      <c r="R179" s="155">
        <f t="shared" si="28"/>
        <v>0.16437324625036856</v>
      </c>
      <c r="S179" s="51">
        <f t="shared" si="29"/>
        <v>0.16437324625036856</v>
      </c>
      <c r="T179" s="133">
        <f>'Price Deck'!F173</f>
        <v>75.827248947587321</v>
      </c>
      <c r="U179" s="85">
        <f t="shared" si="30"/>
        <v>66448.14394323343</v>
      </c>
      <c r="V179" s="85">
        <f t="shared" si="31"/>
        <v>10922.297127261045</v>
      </c>
      <c r="W179" s="85">
        <f t="shared" si="32"/>
        <v>12.463971063749771</v>
      </c>
    </row>
    <row r="180" spans="1:23">
      <c r="A180" t="str">
        <f>'Price Deck'!A174</f>
        <v>05/2032</v>
      </c>
      <c r="B180" s="51" t="e">
        <f>'[1]Oil Production'!#REF!</f>
        <v>#REF!</v>
      </c>
      <c r="C180" s="51">
        <f>'[1]Oil Production'!A176</f>
        <v>170</v>
      </c>
      <c r="D180" s="51">
        <f>'[1]Oil Production'!B176</f>
        <v>28.739505924338854</v>
      </c>
      <c r="E180" s="51">
        <f>'[1]Oil Production'!C176</f>
        <v>874.15997186530683</v>
      </c>
      <c r="F180" s="51">
        <f>'[1]Oil Production'!D176</f>
        <v>246279.78754472529</v>
      </c>
      <c r="I180" s="51">
        <f t="shared" si="22"/>
        <v>138.98025790036189</v>
      </c>
      <c r="J180" s="133">
        <f>'Price Deck'!F174*$B$2</f>
        <v>476.93929201201996</v>
      </c>
      <c r="K180" s="155">
        <f t="shared" si="23"/>
        <v>0.23818852388468778</v>
      </c>
      <c r="L180" s="1">
        <v>0.1</v>
      </c>
      <c r="M180" s="155">
        <f t="shared" si="24"/>
        <v>0.25991989732853416</v>
      </c>
      <c r="N180" s="155">
        <f t="shared" si="25"/>
        <v>0.23818852388468778</v>
      </c>
      <c r="O180" s="155">
        <f t="shared" si="26"/>
        <v>0.285059858402404</v>
      </c>
      <c r="Q180" s="51">
        <f t="shared" si="27"/>
        <v>-7.4276651834511445E-2</v>
      </c>
      <c r="R180" s="155">
        <f t="shared" si="28"/>
        <v>0.16391187205017632</v>
      </c>
      <c r="S180" s="51">
        <f t="shared" si="29"/>
        <v>0.16391187205017632</v>
      </c>
      <c r="T180" s="133">
        <f>'Price Deck'!F174</f>
        <v>75.827248947587321</v>
      </c>
      <c r="U180" s="85">
        <f t="shared" si="30"/>
        <v>66285.145806646557</v>
      </c>
      <c r="V180" s="85">
        <f t="shared" si="31"/>
        <v>10864.922338286331</v>
      </c>
      <c r="W180" s="85">
        <f t="shared" si="32"/>
        <v>12.428986327413801</v>
      </c>
    </row>
    <row r="181" spans="1:23">
      <c r="A181" t="str">
        <f>'Price Deck'!A175</f>
        <v>06/2032</v>
      </c>
      <c r="B181" s="51" t="e">
        <f>'[1]Oil Production'!#REF!</f>
        <v>#REF!</v>
      </c>
      <c r="C181" s="51">
        <f>'[1]Oil Production'!A177</f>
        <v>171</v>
      </c>
      <c r="D181" s="51">
        <f>'[1]Oil Production'!B177</f>
        <v>28.669420531197012</v>
      </c>
      <c r="E181" s="51">
        <f>'[1]Oil Production'!C177</f>
        <v>872.02820782390916</v>
      </c>
      <c r="F181" s="51">
        <f>'[1]Oil Production'!D177</f>
        <v>247151.81575254918</v>
      </c>
      <c r="I181" s="51">
        <f t="shared" si="22"/>
        <v>138.64133467601891</v>
      </c>
      <c r="J181" s="133">
        <f>'Price Deck'!F175*$B$2</f>
        <v>476.93929201201996</v>
      </c>
      <c r="K181" s="155">
        <f t="shared" si="23"/>
        <v>0.23818852388468778</v>
      </c>
      <c r="L181" s="1">
        <v>0.1</v>
      </c>
      <c r="M181" s="155">
        <f t="shared" si="24"/>
        <v>0.25991989732853416</v>
      </c>
      <c r="N181" s="155">
        <f t="shared" si="25"/>
        <v>0.23818852388468778</v>
      </c>
      <c r="O181" s="155">
        <f t="shared" si="26"/>
        <v>0.285059858402404</v>
      </c>
      <c r="Q181" s="51">
        <f t="shared" si="27"/>
        <v>-7.4734198187374465E-2</v>
      </c>
      <c r="R181" s="155">
        <f t="shared" si="28"/>
        <v>0.16345432569731333</v>
      </c>
      <c r="S181" s="51">
        <f t="shared" si="29"/>
        <v>0.16345432569731333</v>
      </c>
      <c r="T181" s="133">
        <f>'Price Deck'!F175</f>
        <v>75.827248947587321</v>
      </c>
      <c r="U181" s="85">
        <f t="shared" si="30"/>
        <v>66123.500003981972</v>
      </c>
      <c r="V181" s="85">
        <f t="shared" si="31"/>
        <v>10808.172105897169</v>
      </c>
      <c r="W181" s="85">
        <f t="shared" si="32"/>
        <v>12.394291846210198</v>
      </c>
    </row>
    <row r="182" spans="1:23">
      <c r="A182" t="str">
        <f>'Price Deck'!A176</f>
        <v>07/2032</v>
      </c>
      <c r="B182" s="51" t="e">
        <f>'[1]Oil Production'!#REF!</f>
        <v>#REF!</v>
      </c>
      <c r="C182" s="51">
        <f>'[1]Oil Production'!A178</f>
        <v>172</v>
      </c>
      <c r="D182" s="51">
        <f>'[1]Oil Production'!B178</f>
        <v>28.599913223643664</v>
      </c>
      <c r="E182" s="51">
        <f>'[1]Oil Production'!C178</f>
        <v>869.91402721916154</v>
      </c>
      <c r="F182" s="51">
        <f>'[1]Oil Production'!D178</f>
        <v>248021.72977976836</v>
      </c>
      <c r="I182" s="51">
        <f t="shared" si="22"/>
        <v>138.30520699326905</v>
      </c>
      <c r="J182" s="133">
        <f>'Price Deck'!F176*$B$2</f>
        <v>476.93929201201996</v>
      </c>
      <c r="K182" s="155">
        <f t="shared" si="23"/>
        <v>0.23818852388468778</v>
      </c>
      <c r="L182" s="1">
        <v>0.1</v>
      </c>
      <c r="M182" s="155">
        <f t="shared" si="24"/>
        <v>0.25991989732853416</v>
      </c>
      <c r="N182" s="155">
        <f t="shared" si="25"/>
        <v>0.23818852388468778</v>
      </c>
      <c r="O182" s="155">
        <f t="shared" si="26"/>
        <v>0.285059858402404</v>
      </c>
      <c r="Q182" s="51">
        <f t="shared" si="27"/>
        <v>-7.5187970559086784E-2</v>
      </c>
      <c r="R182" s="155">
        <f t="shared" si="28"/>
        <v>0.16300055332560098</v>
      </c>
      <c r="S182" s="51">
        <f t="shared" si="29"/>
        <v>0.16300055332560098</v>
      </c>
      <c r="T182" s="133">
        <f>'Price Deck'!F176</f>
        <v>75.827248947587321</v>
      </c>
      <c r="U182" s="85">
        <f t="shared" si="30"/>
        <v>65963.187504945614</v>
      </c>
      <c r="V182" s="85">
        <f t="shared" si="31"/>
        <v>10752.036062426503</v>
      </c>
      <c r="W182" s="85">
        <f t="shared" si="32"/>
        <v>12.359883535614827</v>
      </c>
    </row>
    <row r="183" spans="1:23">
      <c r="A183" t="str">
        <f>'Price Deck'!A177</f>
        <v>08/2032</v>
      </c>
      <c r="B183" s="51" t="e">
        <f>'[1]Oil Production'!#REF!</f>
        <v>#REF!</v>
      </c>
      <c r="C183" s="51">
        <f>'[1]Oil Production'!A179</f>
        <v>173</v>
      </c>
      <c r="D183" s="51">
        <f>'[1]Oil Production'!B179</f>
        <v>28.530975913853705</v>
      </c>
      <c r="E183" s="51">
        <f>'[1]Oil Production'!C179</f>
        <v>867.81718404638355</v>
      </c>
      <c r="F183" s="51">
        <f>'[1]Oil Production'!D179</f>
        <v>248889.54696381473</v>
      </c>
      <c r="I183" s="51">
        <f t="shared" si="22"/>
        <v>137.97183574051371</v>
      </c>
      <c r="J183" s="133">
        <f>'Price Deck'!F177*$B$2</f>
        <v>476.93929201201996</v>
      </c>
      <c r="K183" s="155">
        <f t="shared" si="23"/>
        <v>0.23818852388468778</v>
      </c>
      <c r="L183" s="1">
        <v>0.1</v>
      </c>
      <c r="M183" s="155">
        <f t="shared" si="24"/>
        <v>0.25991989732853416</v>
      </c>
      <c r="N183" s="155">
        <f t="shared" si="25"/>
        <v>0.23818852388468778</v>
      </c>
      <c r="O183" s="155">
        <f t="shared" si="26"/>
        <v>0.285059858402404</v>
      </c>
      <c r="Q183" s="51">
        <f t="shared" si="27"/>
        <v>-7.5638021750306497E-2</v>
      </c>
      <c r="R183" s="155">
        <f t="shared" si="28"/>
        <v>0.16255050213438127</v>
      </c>
      <c r="S183" s="51">
        <f t="shared" si="29"/>
        <v>0.16255050213438127</v>
      </c>
      <c r="T183" s="133">
        <f>'Price Deck'!F177</f>
        <v>75.827248947587321</v>
      </c>
      <c r="U183" s="85">
        <f t="shared" si="30"/>
        <v>65804.189655679336</v>
      </c>
      <c r="V183" s="85">
        <f t="shared" si="31"/>
        <v>10696.504071076733</v>
      </c>
      <c r="W183" s="85">
        <f t="shared" si="32"/>
        <v>12.325757391899053</v>
      </c>
    </row>
    <row r="184" spans="1:23">
      <c r="A184" t="str">
        <f>'Price Deck'!A178</f>
        <v>09/2032</v>
      </c>
      <c r="B184" s="51" t="e">
        <f>'[1]Oil Production'!#REF!</f>
        <v>#REF!</v>
      </c>
      <c r="C184" s="51">
        <f>'[1]Oil Production'!A180</f>
        <v>174</v>
      </c>
      <c r="D184" s="51">
        <f>'[1]Oil Production'!B180</f>
        <v>28.462600673065388</v>
      </c>
      <c r="E184" s="51">
        <f>'[1]Oil Production'!C180</f>
        <v>865.73743713907231</v>
      </c>
      <c r="F184" s="51">
        <f>'[1]Oil Production'!D180</f>
        <v>249755.28440095379</v>
      </c>
      <c r="I184" s="51">
        <f t="shared" si="22"/>
        <v>137.64118257536271</v>
      </c>
      <c r="J184" s="133">
        <f>'Price Deck'!F178*$B$2</f>
        <v>476.93929201201996</v>
      </c>
      <c r="K184" s="155">
        <f t="shared" si="23"/>
        <v>0.23818852388468778</v>
      </c>
      <c r="L184" s="1">
        <v>0.1</v>
      </c>
      <c r="M184" s="155">
        <f t="shared" si="24"/>
        <v>0.25991989732853416</v>
      </c>
      <c r="N184" s="155">
        <f t="shared" si="25"/>
        <v>0.23818852388468778</v>
      </c>
      <c r="O184" s="155">
        <f t="shared" si="26"/>
        <v>0.285059858402404</v>
      </c>
      <c r="Q184" s="51">
        <f t="shared" si="27"/>
        <v>-7.6084403523260347E-2</v>
      </c>
      <c r="R184" s="155">
        <f t="shared" si="28"/>
        <v>0.16210412036142743</v>
      </c>
      <c r="S184" s="51">
        <f t="shared" si="29"/>
        <v>0.16210412036142743</v>
      </c>
      <c r="T184" s="133">
        <f>'Price Deck'!F178</f>
        <v>75.827248947587321</v>
      </c>
      <c r="U184" s="85">
        <f t="shared" si="30"/>
        <v>65646.488169190663</v>
      </c>
      <c r="V184" s="85">
        <f t="shared" si="31"/>
        <v>10641.566219483506</v>
      </c>
      <c r="W184" s="85">
        <f t="shared" si="32"/>
        <v>12.291909490075618</v>
      </c>
    </row>
    <row r="185" spans="1:23">
      <c r="A185" t="str">
        <f>'Price Deck'!A179</f>
        <v>10/2032</v>
      </c>
      <c r="B185" s="51" t="e">
        <f>'[1]Oil Production'!#REF!</f>
        <v>#REF!</v>
      </c>
      <c r="C185" s="51">
        <f>'[1]Oil Production'!A181</f>
        <v>175</v>
      </c>
      <c r="D185" s="51">
        <f>'[1]Oil Production'!B181</f>
        <v>28.394779727559428</v>
      </c>
      <c r="E185" s="51">
        <f>'[1]Oil Production'!C181</f>
        <v>863.67455004659928</v>
      </c>
      <c r="F185" s="51">
        <f>'[1]Oil Production'!D181</f>
        <v>250618.95895100039</v>
      </c>
      <c r="I185" s="51">
        <f t="shared" si="22"/>
        <v>137.31320990518947</v>
      </c>
      <c r="J185" s="133">
        <f>'Price Deck'!F179*$B$2</f>
        <v>476.93929201201996</v>
      </c>
      <c r="K185" s="155">
        <f t="shared" si="23"/>
        <v>0.23818852388468778</v>
      </c>
      <c r="L185" s="1">
        <v>0.1</v>
      </c>
      <c r="M185" s="155">
        <f t="shared" si="24"/>
        <v>0.25991989732853416</v>
      </c>
      <c r="N185" s="155">
        <f t="shared" si="25"/>
        <v>0.23818852388468778</v>
      </c>
      <c r="O185" s="155">
        <f t="shared" si="26"/>
        <v>0.285059858402404</v>
      </c>
      <c r="Q185" s="51">
        <f t="shared" si="27"/>
        <v>-7.652716662799422E-2</v>
      </c>
      <c r="R185" s="155">
        <f t="shared" si="28"/>
        <v>0.16166135725669356</v>
      </c>
      <c r="S185" s="51">
        <f t="shared" si="29"/>
        <v>0.16166135725669356</v>
      </c>
      <c r="T185" s="133">
        <f>'Price Deck'!F179</f>
        <v>75.827248947587321</v>
      </c>
      <c r="U185" s="85">
        <f t="shared" si="30"/>
        <v>65490.065116078949</v>
      </c>
      <c r="V185" s="85">
        <f t="shared" si="31"/>
        <v>10587.212813494563</v>
      </c>
      <c r="W185" s="85">
        <f t="shared" si="32"/>
        <v>12.258335981908155</v>
      </c>
    </row>
    <row r="186" spans="1:23">
      <c r="A186" t="str">
        <f>'Price Deck'!A180</f>
        <v>11/2032</v>
      </c>
      <c r="B186" s="51" t="e">
        <f>'[1]Oil Production'!#REF!</f>
        <v>#REF!</v>
      </c>
      <c r="C186" s="51">
        <f>'[1]Oil Production'!A182</f>
        <v>176</v>
      </c>
      <c r="D186" s="51">
        <f>'[1]Oil Production'!B182</f>
        <v>28.327505454762129</v>
      </c>
      <c r="E186" s="51">
        <f>'[1]Oil Production'!C182</f>
        <v>861.62829091568142</v>
      </c>
      <c r="F186" s="51">
        <f>'[1]Oil Production'!D182</f>
        <v>251480.58724191607</v>
      </c>
      <c r="I186" s="51">
        <f t="shared" si="22"/>
        <v>136.98788086828662</v>
      </c>
      <c r="J186" s="133">
        <f>'Price Deck'!F180*$B$2</f>
        <v>476.93929201201996</v>
      </c>
      <c r="K186" s="155">
        <f t="shared" si="23"/>
        <v>0.23818852388468778</v>
      </c>
      <c r="L186" s="1">
        <v>0.1</v>
      </c>
      <c r="M186" s="155">
        <f t="shared" si="24"/>
        <v>0.25991989732853416</v>
      </c>
      <c r="N186" s="155">
        <f t="shared" si="25"/>
        <v>0.23818852388468778</v>
      </c>
      <c r="O186" s="155">
        <f t="shared" si="26"/>
        <v>0.285059858402404</v>
      </c>
      <c r="Q186" s="51">
        <f t="shared" si="27"/>
        <v>-7.6966360827813066E-2</v>
      </c>
      <c r="R186" s="155">
        <f t="shared" si="28"/>
        <v>0.1612221630568747</v>
      </c>
      <c r="S186" s="51">
        <f t="shared" si="29"/>
        <v>0.1612221630568747</v>
      </c>
      <c r="T186" s="133">
        <f>'Price Deck'!F180</f>
        <v>75.827248947587321</v>
      </c>
      <c r="U186" s="85">
        <f t="shared" si="30"/>
        <v>65334.902915547565</v>
      </c>
      <c r="V186" s="85">
        <f t="shared" si="31"/>
        <v>10533.434371155488</v>
      </c>
      <c r="W186" s="85">
        <f t="shared" si="32"/>
        <v>12.225033093982153</v>
      </c>
    </row>
    <row r="187" spans="1:23">
      <c r="A187" t="str">
        <f>'Price Deck'!A181</f>
        <v>12/2032</v>
      </c>
      <c r="B187" s="51" t="e">
        <f>'[1]Oil Production'!#REF!</f>
        <v>#REF!</v>
      </c>
      <c r="C187" s="51">
        <f>'[1]Oil Production'!A183</f>
        <v>177</v>
      </c>
      <c r="D187" s="51">
        <f>'[1]Oil Production'!B183</f>
        <v>28.26077037946785</v>
      </c>
      <c r="E187" s="51">
        <f>'[1]Oil Production'!C183</f>
        <v>859.59843237548046</v>
      </c>
      <c r="F187" s="51">
        <f>'[1]Oil Production'!D183</f>
        <v>252340.18567429154</v>
      </c>
      <c r="I187" s="51">
        <f t="shared" si="22"/>
        <v>136.66515931559829</v>
      </c>
      <c r="J187" s="133">
        <f>'Price Deck'!F181*$B$2</f>
        <v>476.93929201201996</v>
      </c>
      <c r="K187" s="155">
        <f t="shared" si="23"/>
        <v>0.23818852388468778</v>
      </c>
      <c r="L187" s="1">
        <v>0.1</v>
      </c>
      <c r="M187" s="155">
        <f t="shared" si="24"/>
        <v>0.25991989732853416</v>
      </c>
      <c r="N187" s="155">
        <f t="shared" si="25"/>
        <v>0.23818852388468778</v>
      </c>
      <c r="O187" s="155">
        <f t="shared" si="26"/>
        <v>0.285059858402404</v>
      </c>
      <c r="Q187" s="51">
        <f t="shared" si="27"/>
        <v>-7.740203492394232E-2</v>
      </c>
      <c r="R187" s="155">
        <f t="shared" si="28"/>
        <v>0.16078648896074546</v>
      </c>
      <c r="S187" s="51">
        <f t="shared" si="29"/>
        <v>0.16078648896074546</v>
      </c>
      <c r="T187" s="133">
        <f>'Price Deck'!F181</f>
        <v>75.827248947587321</v>
      </c>
      <c r="U187" s="85">
        <f t="shared" si="30"/>
        <v>65180.984326691359</v>
      </c>
      <c r="V187" s="85">
        <f t="shared" si="31"/>
        <v>10480.221616894083</v>
      </c>
      <c r="W187" s="85">
        <f t="shared" si="32"/>
        <v>12.191997125834947</v>
      </c>
    </row>
    <row r="188" spans="1:23">
      <c r="A188" t="str">
        <f>'Price Deck'!A182</f>
        <v>01/2033</v>
      </c>
      <c r="B188" s="51" t="e">
        <f>'[1]Oil Production'!#REF!</f>
        <v>#REF!</v>
      </c>
      <c r="C188" s="51">
        <f>'[1]Oil Production'!A184</f>
        <v>178</v>
      </c>
      <c r="D188" s="51">
        <f>'[1]Oil Production'!B184</f>
        <v>28.194567170176747</v>
      </c>
      <c r="E188" s="51">
        <f>'[1]Oil Production'!C184</f>
        <v>857.58475142620944</v>
      </c>
      <c r="F188" s="51">
        <f>'[1]Oil Production'!D184</f>
        <v>253197.77042571775</v>
      </c>
      <c r="I188" s="51">
        <f t="shared" si="22"/>
        <v>136.34500979300969</v>
      </c>
      <c r="J188" s="133">
        <f>'Price Deck'!F182*$B$2</f>
        <v>476.93929201201996</v>
      </c>
      <c r="K188" s="155">
        <f t="shared" si="23"/>
        <v>0.23818852388468778</v>
      </c>
      <c r="L188" s="1">
        <v>0.1</v>
      </c>
      <c r="M188" s="155">
        <f t="shared" si="24"/>
        <v>0.25991989732853416</v>
      </c>
      <c r="N188" s="155">
        <f t="shared" si="25"/>
        <v>0.23818852388468778</v>
      </c>
      <c r="O188" s="155">
        <f t="shared" si="26"/>
        <v>0.285059858402404</v>
      </c>
      <c r="Q188" s="51">
        <f t="shared" si="27"/>
        <v>-7.7834236779436919E-2</v>
      </c>
      <c r="R188" s="155">
        <f t="shared" si="28"/>
        <v>0.16035428710525085</v>
      </c>
      <c r="S188" s="51">
        <f t="shared" si="29"/>
        <v>0.16035428710525085</v>
      </c>
      <c r="T188" s="133">
        <f>'Price Deck'!F182</f>
        <v>75.827248947587321</v>
      </c>
      <c r="U188" s="85">
        <f t="shared" si="30"/>
        <v>65028.292440049976</v>
      </c>
      <c r="V188" s="85">
        <f t="shared" si="31"/>
        <v>10427.565475895986</v>
      </c>
      <c r="W188" s="85">
        <f t="shared" si="32"/>
        <v>12.159224448142748</v>
      </c>
    </row>
    <row r="189" spans="1:23">
      <c r="A189" t="str">
        <f>'Price Deck'!A183</f>
        <v>02/2033</v>
      </c>
      <c r="B189" s="51" t="e">
        <f>'[1]Oil Production'!#REF!</f>
        <v>#REF!</v>
      </c>
      <c r="C189" s="51">
        <f>'[1]Oil Production'!A185</f>
        <v>179</v>
      </c>
      <c r="D189" s="51">
        <f>'[1]Oil Production'!B185</f>
        <v>28.128888635543369</v>
      </c>
      <c r="E189" s="51">
        <f>'[1]Oil Production'!C185</f>
        <v>855.58702933111078</v>
      </c>
      <c r="F189" s="51">
        <f>'[1]Oil Production'!D185</f>
        <v>254053.35745504886</v>
      </c>
      <c r="I189" s="51">
        <f t="shared" si="22"/>
        <v>136.02739752417335</v>
      </c>
      <c r="J189" s="133">
        <f>'Price Deck'!F183*$B$2</f>
        <v>484.09338139220017</v>
      </c>
      <c r="K189" s="155">
        <f t="shared" si="23"/>
        <v>0.24097861874295806</v>
      </c>
      <c r="L189" s="1">
        <v>0.1</v>
      </c>
      <c r="M189" s="155">
        <f t="shared" si="24"/>
        <v>0.26499930078846212</v>
      </c>
      <c r="N189" s="155">
        <f t="shared" si="25"/>
        <v>0.24097861874295806</v>
      </c>
      <c r="O189" s="155">
        <f t="shared" si="26"/>
        <v>0.28649067627843999</v>
      </c>
      <c r="Q189" s="51">
        <f t="shared" si="27"/>
        <v>-7.8263013342365975E-2</v>
      </c>
      <c r="R189" s="155">
        <f t="shared" si="28"/>
        <v>0.1627156054005921</v>
      </c>
      <c r="S189" s="51">
        <f t="shared" si="29"/>
        <v>0.1627156054005921</v>
      </c>
      <c r="T189" s="133">
        <f>'Price Deck'!F183</f>
        <v>76.964657681801114</v>
      </c>
      <c r="U189" s="85">
        <f t="shared" si="30"/>
        <v>65849.962829458076</v>
      </c>
      <c r="V189" s="85">
        <f t="shared" si="31"/>
        <v>10714.816567401758</v>
      </c>
      <c r="W189" s="85">
        <f t="shared" si="32"/>
        <v>12.523350869143602</v>
      </c>
    </row>
    <row r="190" spans="1:23">
      <c r="A190" t="str">
        <f>'Price Deck'!A184</f>
        <v>03/2033</v>
      </c>
      <c r="B190" s="51" t="e">
        <f>'[1]Oil Production'!#REF!</f>
        <v>#REF!</v>
      </c>
      <c r="C190" s="51">
        <f>'[1]Oil Production'!A186</f>
        <v>180</v>
      </c>
      <c r="D190" s="51">
        <f>'[1]Oil Production'!B186</f>
        <v>28.063727720932427</v>
      </c>
      <c r="E190" s="51">
        <f>'[1]Oil Production'!C186</f>
        <v>853.60505151169468</v>
      </c>
      <c r="F190" s="51">
        <f>'[1]Oil Production'!D186</f>
        <v>254906.96250656055</v>
      </c>
      <c r="I190" s="51">
        <f t="shared" si="22"/>
        <v>135.7122883938531</v>
      </c>
      <c r="J190" s="133">
        <f>'Price Deck'!F184*$B$2</f>
        <v>484.09338139220017</v>
      </c>
      <c r="K190" s="155">
        <f t="shared" si="23"/>
        <v>0.24097861874295806</v>
      </c>
      <c r="L190" s="1">
        <v>0.1</v>
      </c>
      <c r="M190" s="155">
        <f t="shared" si="24"/>
        <v>0.26499930078846212</v>
      </c>
      <c r="N190" s="155">
        <f t="shared" si="25"/>
        <v>0.24097861874295806</v>
      </c>
      <c r="O190" s="155">
        <f t="shared" si="26"/>
        <v>0.28649067627843999</v>
      </c>
      <c r="Q190" s="51">
        <f t="shared" si="27"/>
        <v>-7.868841066829832E-2</v>
      </c>
      <c r="R190" s="155">
        <f t="shared" si="28"/>
        <v>0.16229020807465974</v>
      </c>
      <c r="S190" s="51">
        <f t="shared" si="29"/>
        <v>0.16229020807465974</v>
      </c>
      <c r="T190" s="133">
        <f>'Price Deck'!F184</f>
        <v>76.964657681801114</v>
      </c>
      <c r="U190" s="85">
        <f t="shared" si="30"/>
        <v>65697.420585053784</v>
      </c>
      <c r="V190" s="85">
        <f t="shared" si="31"/>
        <v>10662.048056716812</v>
      </c>
      <c r="W190" s="85">
        <f t="shared" si="32"/>
        <v>12.490610309574461</v>
      </c>
    </row>
    <row r="191" spans="1:23">
      <c r="A191" t="str">
        <f>'Price Deck'!A185</f>
        <v>04/2033</v>
      </c>
      <c r="B191" s="51" t="e">
        <f>'[1]Oil Production'!#REF!</f>
        <v>#REF!</v>
      </c>
      <c r="C191" s="51">
        <f>'[1]Oil Production'!A187</f>
        <v>181</v>
      </c>
      <c r="D191" s="51">
        <f>'[1]Oil Production'!B187</f>
        <v>27.999077505077693</v>
      </c>
      <c r="E191" s="51">
        <f>'[1]Oil Production'!C187</f>
        <v>851.63860744611316</v>
      </c>
      <c r="F191" s="51">
        <f>'[1]Oil Production'!D187</f>
        <v>255758.60111400665</v>
      </c>
      <c r="I191" s="51">
        <f t="shared" si="22"/>
        <v>135.39964893176702</v>
      </c>
      <c r="J191" s="133">
        <f>'Price Deck'!F185*$B$2</f>
        <v>484.09338139220017</v>
      </c>
      <c r="K191" s="155">
        <f t="shared" si="23"/>
        <v>0.24097861874295806</v>
      </c>
      <c r="L191" s="1">
        <v>0.1</v>
      </c>
      <c r="M191" s="155">
        <f t="shared" si="24"/>
        <v>0.26499930078846212</v>
      </c>
      <c r="N191" s="155">
        <f t="shared" si="25"/>
        <v>0.24097861874295806</v>
      </c>
      <c r="O191" s="155">
        <f t="shared" si="26"/>
        <v>0.28649067627843999</v>
      </c>
      <c r="Q191" s="51">
        <f t="shared" si="27"/>
        <v>-7.9110473942114526E-2</v>
      </c>
      <c r="R191" s="155">
        <f t="shared" si="28"/>
        <v>0.16186814480084355</v>
      </c>
      <c r="S191" s="51">
        <f t="shared" si="29"/>
        <v>0.16186814480084355</v>
      </c>
      <c r="T191" s="133">
        <f>'Price Deck'!F185</f>
        <v>76.964657681801114</v>
      </c>
      <c r="U191" s="85">
        <f t="shared" si="30"/>
        <v>65546.073890695901</v>
      </c>
      <c r="V191" s="85">
        <f t="shared" si="31"/>
        <v>10609.821379665955</v>
      </c>
      <c r="W191" s="85">
        <f t="shared" si="32"/>
        <v>12.45812635418514</v>
      </c>
    </row>
    <row r="192" spans="1:23">
      <c r="A192" t="str">
        <f>'Price Deck'!A186</f>
        <v>05/2033</v>
      </c>
      <c r="B192" s="51" t="e">
        <f>'[1]Oil Production'!#REF!</f>
        <v>#REF!</v>
      </c>
      <c r="C192" s="51">
        <f>'[1]Oil Production'!A188</f>
        <v>182</v>
      </c>
      <c r="D192" s="51">
        <f>'[1]Oil Production'!B188</f>
        <v>27.934931196840523</v>
      </c>
      <c r="E192" s="51">
        <f>'[1]Oil Production'!C188</f>
        <v>849.68749057056596</v>
      </c>
      <c r="F192" s="51">
        <f>'[1]Oil Production'!D188</f>
        <v>256608.28860457722</v>
      </c>
      <c r="I192" s="51">
        <f t="shared" si="22"/>
        <v>135.08944629691212</v>
      </c>
      <c r="J192" s="133">
        <f>'Price Deck'!F186*$B$2</f>
        <v>484.09338139220017</v>
      </c>
      <c r="K192" s="155">
        <f t="shared" si="23"/>
        <v>0.24097861874295806</v>
      </c>
      <c r="L192" s="1">
        <v>0.1</v>
      </c>
      <c r="M192" s="155">
        <f t="shared" si="24"/>
        <v>0.26499930078846212</v>
      </c>
      <c r="N192" s="155">
        <f t="shared" si="25"/>
        <v>0.24097861874295806</v>
      </c>
      <c r="O192" s="155">
        <f t="shared" si="26"/>
        <v>0.28649067627843999</v>
      </c>
      <c r="Q192" s="51">
        <f t="shared" si="27"/>
        <v>-7.9529247499168648E-2</v>
      </c>
      <c r="R192" s="155">
        <f t="shared" si="28"/>
        <v>0.16144937124378941</v>
      </c>
      <c r="S192" s="51">
        <f t="shared" si="29"/>
        <v>0.16144937124378941</v>
      </c>
      <c r="T192" s="133">
        <f>'Price Deck'!F186</f>
        <v>76.964657681801114</v>
      </c>
      <c r="U192" s="85">
        <f t="shared" si="30"/>
        <v>65395.906848272221</v>
      </c>
      <c r="V192" s="85">
        <f t="shared" si="31"/>
        <v>10558.128042570972</v>
      </c>
      <c r="W192" s="85">
        <f t="shared" si="32"/>
        <v>12.425895590720277</v>
      </c>
    </row>
    <row r="193" spans="1:23">
      <c r="A193" t="str">
        <f>'Price Deck'!A187</f>
        <v>06/2033</v>
      </c>
      <c r="B193" s="51" t="e">
        <f>'[1]Oil Production'!#REF!</f>
        <v>#REF!</v>
      </c>
      <c r="C193" s="51">
        <f>'[1]Oil Production'!A189</f>
        <v>183</v>
      </c>
      <c r="D193" s="51">
        <f>'[1]Oil Production'!B189</f>
        <v>27.87128213206449</v>
      </c>
      <c r="E193" s="51">
        <f>'[1]Oil Production'!C189</f>
        <v>847.75149818362831</v>
      </c>
      <c r="F193" s="51">
        <f>'[1]Oil Production'!D189</f>
        <v>257456.04010276083</v>
      </c>
      <c r="I193" s="51">
        <f t="shared" si="22"/>
        <v>134.78164826235377</v>
      </c>
      <c r="J193" s="133">
        <f>'Price Deck'!F187*$B$2</f>
        <v>484.09338139220017</v>
      </c>
      <c r="K193" s="155">
        <f t="shared" si="23"/>
        <v>0.24097861874295806</v>
      </c>
      <c r="L193" s="1">
        <v>0.1</v>
      </c>
      <c r="M193" s="155">
        <f t="shared" si="24"/>
        <v>0.26499930078846212</v>
      </c>
      <c r="N193" s="155">
        <f t="shared" si="25"/>
        <v>0.24097861874295806</v>
      </c>
      <c r="O193" s="155">
        <f t="shared" si="26"/>
        <v>0.28649067627843999</v>
      </c>
      <c r="Q193" s="51">
        <f t="shared" si="27"/>
        <v>-7.9944774845822422E-2</v>
      </c>
      <c r="R193" s="155">
        <f t="shared" si="28"/>
        <v>0.16103384389713565</v>
      </c>
      <c r="S193" s="51">
        <f t="shared" si="29"/>
        <v>0.16103384389713565</v>
      </c>
      <c r="T193" s="133">
        <f>'Price Deck'!F187</f>
        <v>76.964657681801114</v>
      </c>
      <c r="U193" s="85">
        <f t="shared" si="30"/>
        <v>65246.903856936995</v>
      </c>
      <c r="V193" s="85">
        <f t="shared" si="31"/>
        <v>10506.959730469411</v>
      </c>
      <c r="W193" s="85">
        <f t="shared" si="32"/>
        <v>12.393914670727645</v>
      </c>
    </row>
    <row r="194" spans="1:23">
      <c r="A194" t="str">
        <f>'Price Deck'!A188</f>
        <v>07/2033</v>
      </c>
      <c r="B194" s="51" t="e">
        <f>'[1]Oil Production'!#REF!</f>
        <v>#REF!</v>
      </c>
      <c r="C194" s="51">
        <f>'[1]Oil Production'!A190</f>
        <v>184</v>
      </c>
      <c r="D194" s="51">
        <f>'[1]Oil Production'!B190</f>
        <v>27.808123770522734</v>
      </c>
      <c r="E194" s="51">
        <f>'[1]Oil Production'!C190</f>
        <v>845.83043135339983</v>
      </c>
      <c r="F194" s="51">
        <f>'[1]Oil Production'!D190</f>
        <v>258301.87053411422</v>
      </c>
      <c r="I194" s="51">
        <f t="shared" si="22"/>
        <v>134.47622320046347</v>
      </c>
      <c r="J194" s="133">
        <f>'Price Deck'!F188*$B$2</f>
        <v>484.09338139220017</v>
      </c>
      <c r="K194" s="155">
        <f t="shared" si="23"/>
        <v>0.24097861874295806</v>
      </c>
      <c r="L194" s="1">
        <v>0.1</v>
      </c>
      <c r="M194" s="155">
        <f t="shared" si="24"/>
        <v>0.26499930078846212</v>
      </c>
      <c r="N194" s="155">
        <f t="shared" si="25"/>
        <v>0.24097861874295806</v>
      </c>
      <c r="O194" s="155">
        <f t="shared" si="26"/>
        <v>0.28649067627843999</v>
      </c>
      <c r="Q194" s="51">
        <f t="shared" si="27"/>
        <v>-8.0357098679374322E-2</v>
      </c>
      <c r="R194" s="155">
        <f t="shared" si="28"/>
        <v>0.16062152006358374</v>
      </c>
      <c r="S194" s="51">
        <f t="shared" si="29"/>
        <v>0.16062152006358374</v>
      </c>
      <c r="T194" s="133">
        <f>'Price Deck'!F188</f>
        <v>76.964657681801114</v>
      </c>
      <c r="U194" s="85">
        <f t="shared" si="30"/>
        <v>65099.049605964596</v>
      </c>
      <c r="V194" s="85">
        <f t="shared" si="31"/>
        <v>10456.308302404675</v>
      </c>
      <c r="W194" s="85">
        <f t="shared" si="32"/>
        <v>12.362180308024273</v>
      </c>
    </row>
    <row r="195" spans="1:23">
      <c r="A195" t="str">
        <f>'Price Deck'!A189</f>
        <v>08/2033</v>
      </c>
      <c r="B195" s="51" t="e">
        <f>'[1]Oil Production'!#REF!</f>
        <v>#REF!</v>
      </c>
      <c r="C195" s="51">
        <f>'[1]Oil Production'!A191</f>
        <v>185</v>
      </c>
      <c r="D195" s="51">
        <f>'[1]Oil Production'!B191</f>
        <v>27.745449692954871</v>
      </c>
      <c r="E195" s="51">
        <f>'[1]Oil Production'!C191</f>
        <v>843.92409482737742</v>
      </c>
      <c r="F195" s="51">
        <f>'[1]Oil Production'!D191</f>
        <v>259145.7946289416</v>
      </c>
      <c r="I195" s="51">
        <f t="shared" si="22"/>
        <v>134.17314006858984</v>
      </c>
      <c r="J195" s="133">
        <f>'Price Deck'!F189*$B$2</f>
        <v>484.09338139220017</v>
      </c>
      <c r="K195" s="155">
        <f t="shared" si="23"/>
        <v>0.24097861874295806</v>
      </c>
      <c r="L195" s="1">
        <v>0.1</v>
      </c>
      <c r="M195" s="155">
        <f t="shared" si="24"/>
        <v>0.26499930078846212</v>
      </c>
      <c r="N195" s="155">
        <f t="shared" si="25"/>
        <v>0.24097861874295806</v>
      </c>
      <c r="O195" s="155">
        <f t="shared" si="26"/>
        <v>0.28649067627843999</v>
      </c>
      <c r="Q195" s="51">
        <f t="shared" si="27"/>
        <v>-8.0766260907403714E-2</v>
      </c>
      <c r="R195" s="155">
        <f t="shared" si="28"/>
        <v>0.16021235783555435</v>
      </c>
      <c r="S195" s="51">
        <f t="shared" si="29"/>
        <v>0.16021235783555435</v>
      </c>
      <c r="T195" s="133">
        <f>'Price Deck'!F189</f>
        <v>76.964657681801114</v>
      </c>
      <c r="U195" s="85">
        <f t="shared" si="30"/>
        <v>64952.329067812963</v>
      </c>
      <c r="V195" s="85">
        <f t="shared" si="31"/>
        <v>10406.165786865129</v>
      </c>
      <c r="W195" s="85">
        <f t="shared" si="32"/>
        <v>12.330689277207668</v>
      </c>
    </row>
    <row r="196" spans="1:23">
      <c r="A196" t="str">
        <f>'Price Deck'!A190</f>
        <v>09/2033</v>
      </c>
      <c r="B196" s="51" t="e">
        <f>'[1]Oil Production'!#REF!</f>
        <v>#REF!</v>
      </c>
      <c r="C196" s="51">
        <f>'[1]Oil Production'!A192</f>
        <v>186</v>
      </c>
      <c r="D196" s="51">
        <f>'[1]Oil Production'!B192</f>
        <v>27.683253598190188</v>
      </c>
      <c r="E196" s="51">
        <f>'[1]Oil Production'!C192</f>
        <v>842.03229694495155</v>
      </c>
      <c r="F196" s="51">
        <f>'[1]Oil Production'!D192</f>
        <v>259987.82692588656</v>
      </c>
      <c r="I196" s="51">
        <f t="shared" si="22"/>
        <v>133.87236839514676</v>
      </c>
      <c r="J196" s="133">
        <f>'Price Deck'!F190*$B$2</f>
        <v>484.09338139220017</v>
      </c>
      <c r="K196" s="155">
        <f t="shared" si="23"/>
        <v>0.24097861874295806</v>
      </c>
      <c r="L196" s="1">
        <v>0.1</v>
      </c>
      <c r="M196" s="155">
        <f t="shared" si="24"/>
        <v>0.26499930078846212</v>
      </c>
      <c r="N196" s="155">
        <f t="shared" si="25"/>
        <v>0.24097861874295806</v>
      </c>
      <c r="O196" s="155">
        <f t="shared" si="26"/>
        <v>0.28649067627843999</v>
      </c>
      <c r="Q196" s="51">
        <f t="shared" si="27"/>
        <v>-8.1172302666551871E-2</v>
      </c>
      <c r="R196" s="155">
        <f t="shared" si="28"/>
        <v>0.15980631607640619</v>
      </c>
      <c r="S196" s="51">
        <f t="shared" si="29"/>
        <v>0.15980631607640619</v>
      </c>
      <c r="T196" s="133">
        <f>'Price Deck'!F190</f>
        <v>76.964657681801114</v>
      </c>
      <c r="U196" s="85">
        <f t="shared" si="30"/>
        <v>64806.727491388905</v>
      </c>
      <c r="V196" s="85">
        <f t="shared" si="31"/>
        <v>10356.524377366417</v>
      </c>
      <c r="W196" s="85">
        <f t="shared" si="32"/>
        <v>12.299438412210312</v>
      </c>
    </row>
    <row r="197" spans="1:23">
      <c r="A197" t="str">
        <f>'Price Deck'!A191</f>
        <v>10/2033</v>
      </c>
      <c r="B197" s="51" t="e">
        <f>'[1]Oil Production'!#REF!</f>
        <v>#REF!</v>
      </c>
      <c r="C197" s="51">
        <f>'[1]Oil Production'!A193</f>
        <v>187</v>
      </c>
      <c r="D197" s="51">
        <f>'[1]Oil Production'!B193</f>
        <v>27.621529300354531</v>
      </c>
      <c r="E197" s="51">
        <f>'[1]Oil Production'!C193</f>
        <v>840.1548495524504</v>
      </c>
      <c r="F197" s="51">
        <f>'[1]Oil Production'!D193</f>
        <v>260827.98177543902</v>
      </c>
      <c r="I197" s="51">
        <f t="shared" si="22"/>
        <v>133.57387826610619</v>
      </c>
      <c r="J197" s="133">
        <f>'Price Deck'!F191*$B$2</f>
        <v>484.09338139220017</v>
      </c>
      <c r="K197" s="155">
        <f t="shared" si="23"/>
        <v>0.24097861874295806</v>
      </c>
      <c r="L197" s="1">
        <v>0.1</v>
      </c>
      <c r="M197" s="155">
        <f t="shared" si="24"/>
        <v>0.26499930078846212</v>
      </c>
      <c r="N197" s="155">
        <f t="shared" si="25"/>
        <v>0.24097861874295806</v>
      </c>
      <c r="O197" s="155">
        <f t="shared" si="26"/>
        <v>0.28649067627843999</v>
      </c>
      <c r="Q197" s="51">
        <f t="shared" si="27"/>
        <v>-8.157526434075664E-2</v>
      </c>
      <c r="R197" s="155">
        <f t="shared" si="28"/>
        <v>0.15940335440220144</v>
      </c>
      <c r="S197" s="51">
        <f t="shared" si="29"/>
        <v>0.15940335440220144</v>
      </c>
      <c r="T197" s="133">
        <f>'Price Deck'!F191</f>
        <v>76.964657681801114</v>
      </c>
      <c r="U197" s="85">
        <f t="shared" si="30"/>
        <v>64662.230395509461</v>
      </c>
      <c r="V197" s="85">
        <f t="shared" si="31"/>
        <v>10307.376428172196</v>
      </c>
      <c r="W197" s="85">
        <f t="shared" si="32"/>
        <v>12.268424604896257</v>
      </c>
    </row>
    <row r="198" spans="1:23">
      <c r="A198" t="str">
        <f>'Price Deck'!A192</f>
        <v>11/2033</v>
      </c>
      <c r="B198" s="51" t="e">
        <f>'[1]Oil Production'!#REF!</f>
        <v>#REF!</v>
      </c>
      <c r="C198" s="51">
        <f>'[1]Oil Production'!A194</f>
        <v>188</v>
      </c>
      <c r="D198" s="51">
        <f>'[1]Oil Production'!B194</f>
        <v>27.560270726157547</v>
      </c>
      <c r="E198" s="51">
        <f>'[1]Oil Production'!C194</f>
        <v>838.29156792062543</v>
      </c>
      <c r="F198" s="51">
        <f>'[1]Oil Production'!D194</f>
        <v>261666.27334335964</v>
      </c>
      <c r="I198" s="51">
        <f t="shared" si="22"/>
        <v>133.27764031187974</v>
      </c>
      <c r="J198" s="133">
        <f>'Price Deck'!F192*$B$2</f>
        <v>484.09338139220017</v>
      </c>
      <c r="K198" s="155">
        <f t="shared" si="23"/>
        <v>0.24097861874295806</v>
      </c>
      <c r="L198" s="1">
        <v>0.1</v>
      </c>
      <c r="M198" s="155">
        <f t="shared" si="24"/>
        <v>0.26499930078846212</v>
      </c>
      <c r="N198" s="155">
        <f t="shared" si="25"/>
        <v>0.24097861874295806</v>
      </c>
      <c r="O198" s="155">
        <f t="shared" si="26"/>
        <v>0.28649067627843999</v>
      </c>
      <c r="Q198" s="51">
        <f t="shared" si="27"/>
        <v>-8.1975185578962356E-2</v>
      </c>
      <c r="R198" s="155">
        <f t="shared" si="28"/>
        <v>0.15900343316399571</v>
      </c>
      <c r="S198" s="51">
        <f t="shared" si="29"/>
        <v>0.15900343316399571</v>
      </c>
      <c r="T198" s="133">
        <f>'Price Deck'!F192</f>
        <v>76.964657681801114</v>
      </c>
      <c r="U198" s="85">
        <f t="shared" si="30"/>
        <v>64518.823562551261</v>
      </c>
      <c r="V198" s="85">
        <f t="shared" si="31"/>
        <v>10258.714450147751</v>
      </c>
      <c r="W198" s="85">
        <f t="shared" si="32"/>
        <v>12.237644803698071</v>
      </c>
    </row>
    <row r="199" spans="1:23">
      <c r="A199" t="str">
        <f>'Price Deck'!A193</f>
        <v>01/2033</v>
      </c>
      <c r="B199" s="51" t="e">
        <f>'[1]Oil Production'!#REF!</f>
        <v>#REF!</v>
      </c>
      <c r="C199" s="51">
        <f>'[1]Oil Production'!A195</f>
        <v>189</v>
      </c>
      <c r="D199" s="51">
        <f>'[1]Oil Production'!B195</f>
        <v>27.499471912257896</v>
      </c>
      <c r="E199" s="51">
        <f>'[1]Oil Production'!C195</f>
        <v>836.44227066451106</v>
      </c>
      <c r="F199" s="51">
        <f>'[1]Oil Production'!D195</f>
        <v>262502.71561402414</v>
      </c>
      <c r="I199" s="51">
        <f t="shared" si="22"/>
        <v>132.98362569457714</v>
      </c>
      <c r="J199" s="133">
        <f>'Price Deck'!F193*$B$2</f>
        <v>484.09338139220017</v>
      </c>
      <c r="K199" s="155">
        <f t="shared" si="23"/>
        <v>0.24097861874295806</v>
      </c>
      <c r="L199" s="1">
        <v>0.1</v>
      </c>
      <c r="M199" s="155">
        <f t="shared" si="24"/>
        <v>0.26499930078846212</v>
      </c>
      <c r="N199" s="155">
        <f t="shared" si="25"/>
        <v>0.24097861874295806</v>
      </c>
      <c r="O199" s="155">
        <f t="shared" si="26"/>
        <v>0.28649067627843999</v>
      </c>
      <c r="Q199" s="51">
        <f t="shared" si="27"/>
        <v>-8.2372105312320865E-2</v>
      </c>
      <c r="R199" s="155">
        <f t="shared" si="28"/>
        <v>0.1586065134306372</v>
      </c>
      <c r="S199" s="51">
        <f t="shared" si="29"/>
        <v>0.1586065134306372</v>
      </c>
      <c r="T199" s="133">
        <f>'Price Deck'!F193</f>
        <v>76.964657681801114</v>
      </c>
      <c r="U199" s="85">
        <f t="shared" si="30"/>
        <v>64376.493032282531</v>
      </c>
      <c r="V199" s="85">
        <f t="shared" si="31"/>
        <v>10210.531106742041</v>
      </c>
      <c r="W199" s="85">
        <f t="shared" si="32"/>
        <v>12.207096012292983</v>
      </c>
    </row>
    <row r="200" spans="1:23">
      <c r="A200" t="str">
        <f>'Price Deck'!A194</f>
        <v>02/2033</v>
      </c>
      <c r="B200" s="51" t="e">
        <f>'[1]Oil Production'!#REF!</f>
        <v>#REF!</v>
      </c>
      <c r="C200" s="51">
        <f>'[1]Oil Production'!A196</f>
        <v>190</v>
      </c>
      <c r="D200" s="51">
        <f>'[1]Oil Production'!B196</f>
        <v>27.439127002703756</v>
      </c>
      <c r="E200" s="51">
        <f>'[1]Oil Production'!C196</f>
        <v>834.60677966557262</v>
      </c>
      <c r="F200" s="51">
        <f>'[1]Oil Production'!D196</f>
        <v>263337.32239368971</v>
      </c>
      <c r="I200" s="51">
        <f t="shared" si="22"/>
        <v>132.691806095629</v>
      </c>
      <c r="J200" s="133">
        <f>'Price Deck'!F194*$B$2</f>
        <v>484.09338139220017</v>
      </c>
      <c r="K200" s="155">
        <f t="shared" si="23"/>
        <v>0.24097861874295806</v>
      </c>
      <c r="L200" s="1">
        <v>0.1</v>
      </c>
      <c r="M200" s="155">
        <f t="shared" si="24"/>
        <v>0.26499930078846212</v>
      </c>
      <c r="N200" s="155">
        <f t="shared" si="25"/>
        <v>0.24097861874295806</v>
      </c>
      <c r="O200" s="155">
        <f t="shared" si="26"/>
        <v>0.28649067627843999</v>
      </c>
      <c r="Q200" s="51">
        <f t="shared" si="27"/>
        <v>-8.2766061770900845E-2</v>
      </c>
      <c r="R200" s="155">
        <f t="shared" si="28"/>
        <v>0.15821255697205722</v>
      </c>
      <c r="S200" s="51">
        <f t="shared" si="29"/>
        <v>0.15821255697205722</v>
      </c>
      <c r="T200" s="133">
        <f>'Price Deck'!F194</f>
        <v>76.964657681801114</v>
      </c>
      <c r="U200" s="85">
        <f t="shared" si="30"/>
        <v>64235.225095871203</v>
      </c>
      <c r="V200" s="85">
        <f t="shared" si="31"/>
        <v>10162.819210093443</v>
      </c>
      <c r="W200" s="85">
        <f t="shared" si="32"/>
        <v>12.17677528831684</v>
      </c>
    </row>
    <row r="201" spans="1:23">
      <c r="A201" t="str">
        <f>'Price Deck'!A195</f>
        <v>03/2033</v>
      </c>
      <c r="B201" s="51" t="e">
        <f>'[1]Oil Production'!#REF!</f>
        <v>#REF!</v>
      </c>
      <c r="C201" s="51">
        <f>'[1]Oil Production'!A197</f>
        <v>191</v>
      </c>
      <c r="D201" s="51">
        <f>'[1]Oil Production'!B197</f>
        <v>27.379230246445868</v>
      </c>
      <c r="E201" s="51">
        <f>'[1]Oil Production'!C197</f>
        <v>832.78491999606183</v>
      </c>
      <c r="F201" s="51">
        <f>'[1]Oil Production'!D197</f>
        <v>264170.10731368576</v>
      </c>
      <c r="I201" s="51">
        <f t="shared" si="22"/>
        <v>132.40215370376006</v>
      </c>
      <c r="J201" s="133">
        <f>'Price Deck'!F195*$B$2</f>
        <v>491.35478211308316</v>
      </c>
      <c r="K201" s="155">
        <f t="shared" si="23"/>
        <v>0.24381056502410242</v>
      </c>
      <c r="L201" s="1">
        <v>0.1</v>
      </c>
      <c r="M201" s="155">
        <f t="shared" si="24"/>
        <v>0.27015489530028902</v>
      </c>
      <c r="N201" s="155">
        <f t="shared" si="25"/>
        <v>0.24381056502410242</v>
      </c>
      <c r="O201" s="155">
        <f t="shared" si="26"/>
        <v>0.28794295642261658</v>
      </c>
      <c r="Q201" s="51">
        <f t="shared" si="27"/>
        <v>-8.3157092499923924E-2</v>
      </c>
      <c r="R201" s="155">
        <f t="shared" si="28"/>
        <v>0.1606534725241785</v>
      </c>
      <c r="S201" s="51">
        <f t="shared" si="29"/>
        <v>0.1606534725241785</v>
      </c>
      <c r="T201" s="133">
        <f>'Price Deck'!F195</f>
        <v>78.119127547028128</v>
      </c>
      <c r="U201" s="85">
        <f t="shared" si="30"/>
        <v>65056.431384413969</v>
      </c>
      <c r="V201" s="85">
        <f t="shared" si="31"/>
        <v>10451.541611937053</v>
      </c>
      <c r="W201" s="85">
        <f t="shared" si="32"/>
        <v>12.550109110989279</v>
      </c>
    </row>
    <row r="202" spans="1:23">
      <c r="A202" t="str">
        <f>'Price Deck'!A196</f>
        <v>04/2033</v>
      </c>
      <c r="B202" s="51" t="e">
        <f>'[1]Oil Production'!#REF!</f>
        <v>#REF!</v>
      </c>
      <c r="C202" s="51">
        <f>'[1]Oil Production'!A198</f>
        <v>192</v>
      </c>
      <c r="D202" s="51">
        <f>'[1]Oil Production'!B198</f>
        <v>27.31977599492096</v>
      </c>
      <c r="E202" s="51">
        <f>'[1]Oil Production'!C198</f>
        <v>830.9765198455126</v>
      </c>
      <c r="F202" s="51">
        <f>'[1]Oil Production'!D198</f>
        <v>265001.08383353124</v>
      </c>
      <c r="I202" s="51">
        <f t="shared" si="22"/>
        <v>132.11464120330308</v>
      </c>
      <c r="J202" s="133">
        <f>'Price Deck'!F196*$B$2</f>
        <v>491.35478211308316</v>
      </c>
      <c r="K202" s="155">
        <f t="shared" si="23"/>
        <v>0.24381056502410242</v>
      </c>
      <c r="L202" s="1">
        <v>0.1</v>
      </c>
      <c r="M202" s="155">
        <f t="shared" si="24"/>
        <v>0.27015489530028902</v>
      </c>
      <c r="N202" s="155">
        <f t="shared" si="25"/>
        <v>0.24381056502410242</v>
      </c>
      <c r="O202" s="155">
        <f t="shared" si="26"/>
        <v>0.28794295642261658</v>
      </c>
      <c r="Q202" s="51">
        <f t="shared" si="27"/>
        <v>-8.3545234375540844E-2</v>
      </c>
      <c r="R202" s="155">
        <f t="shared" si="28"/>
        <v>0.16026533064856158</v>
      </c>
      <c r="S202" s="51">
        <f t="shared" si="29"/>
        <v>0.16026533064856158</v>
      </c>
      <c r="T202" s="133">
        <f>'Price Deck'!F196</f>
        <v>78.119127547028128</v>
      </c>
      <c r="U202" s="85">
        <f t="shared" si="30"/>
        <v>64915.160742397151</v>
      </c>
      <c r="V202" s="85">
        <f t="shared" si="31"/>
        <v>10403.649700484804</v>
      </c>
      <c r="W202" s="85">
        <f t="shared" si="32"/>
        <v>12.51978780630162</v>
      </c>
    </row>
    <row r="203" spans="1:23">
      <c r="A203" t="str">
        <f>'Price Deck'!A197</f>
        <v>05/2033</v>
      </c>
      <c r="B203" s="51" t="e">
        <f>'[1]Oil Production'!#REF!</f>
        <v>#REF!</v>
      </c>
      <c r="C203" s="51">
        <f>'[1]Oil Production'!A199</f>
        <v>193</v>
      </c>
      <c r="D203" s="51">
        <f>'[1]Oil Production'!B199</f>
        <v>27.260758699703075</v>
      </c>
      <c r="E203" s="51">
        <f>'[1]Oil Production'!C199</f>
        <v>829.18141044930189</v>
      </c>
      <c r="F203" s="51">
        <f>'[1]Oil Production'!D199</f>
        <v>265830.26524398057</v>
      </c>
      <c r="I203" s="51">
        <f t="shared" ref="I203:I250" si="33">E203/$B$2</f>
        <v>131.82924176284098</v>
      </c>
      <c r="J203" s="133">
        <f>'Price Deck'!F197*$B$2</f>
        <v>491.35478211308316</v>
      </c>
      <c r="K203" s="155">
        <f t="shared" ref="K203:K250" si="34">MIN(IF(J203&gt;$G$3,O203,IF(J203&gt;$F$3,N203,IF(J203&gt;$E$3,M203,L203))),0.4)</f>
        <v>0.24381056502410242</v>
      </c>
      <c r="L203" s="1">
        <v>0.1</v>
      </c>
      <c r="M203" s="155">
        <f t="shared" ref="M203:M250" si="35">((J203-$E$3)*0.00071+0.1)</f>
        <v>0.27015489530028902</v>
      </c>
      <c r="N203" s="155">
        <f t="shared" ref="N203:N250" si="36">((J203-$F$3)*0.00039+0.2117)</f>
        <v>0.24381056502410242</v>
      </c>
      <c r="O203" s="155">
        <f t="shared" ref="O203:O250" si="37">((J203-$G$3)*0.0002+0.3344)</f>
        <v>0.28794295642261658</v>
      </c>
      <c r="Q203" s="51">
        <f t="shared" si="27"/>
        <v>-8.3930523620164676E-2</v>
      </c>
      <c r="R203" s="155">
        <f t="shared" si="28"/>
        <v>0.15988004140393774</v>
      </c>
      <c r="S203" s="51">
        <f t="shared" si="29"/>
        <v>0.15988004140393774</v>
      </c>
      <c r="T203" s="133">
        <f>'Price Deck'!F197</f>
        <v>78.119127547028128</v>
      </c>
      <c r="U203" s="85">
        <f t="shared" si="30"/>
        <v>64774.928362513696</v>
      </c>
      <c r="V203" s="85">
        <f t="shared" si="31"/>
        <v>10356.21822853579</v>
      </c>
      <c r="W203" s="85">
        <f t="shared" si="32"/>
        <v>12.48968934665835</v>
      </c>
    </row>
    <row r="204" spans="1:23">
      <c r="A204" t="str">
        <f>'Price Deck'!A198</f>
        <v>06/2033</v>
      </c>
      <c r="B204" s="51" t="e">
        <f>'[1]Oil Production'!#REF!</f>
        <v>#REF!</v>
      </c>
      <c r="C204" s="51">
        <f>'[1]Oil Production'!A200</f>
        <v>194</v>
      </c>
      <c r="D204" s="51">
        <f>'[1]Oil Production'!B200</f>
        <v>27.20217291022049</v>
      </c>
      <c r="E204" s="51">
        <f>'[1]Oil Production'!C200</f>
        <v>827.39942601920666</v>
      </c>
      <c r="F204" s="51">
        <f>'[1]Oil Production'!D200</f>
        <v>266657.66466999979</v>
      </c>
      <c r="I204" s="51">
        <f t="shared" si="33"/>
        <v>131.54592902416616</v>
      </c>
      <c r="J204" s="133">
        <f>'Price Deck'!F198*$B$2</f>
        <v>491.35478211308316</v>
      </c>
      <c r="K204" s="155">
        <f t="shared" si="34"/>
        <v>0.24381056502410242</v>
      </c>
      <c r="L204" s="1">
        <v>0.1</v>
      </c>
      <c r="M204" s="155">
        <f t="shared" si="35"/>
        <v>0.27015489530028902</v>
      </c>
      <c r="N204" s="155">
        <f t="shared" si="36"/>
        <v>0.24381056502410242</v>
      </c>
      <c r="O204" s="155">
        <f t="shared" si="37"/>
        <v>0.28794295642261658</v>
      </c>
      <c r="Q204" s="51">
        <f t="shared" ref="Q204:Q250" si="38">IF(I204&lt;$D$2,(I204-$D$2)*0.00135,0)</f>
        <v>-8.4312995817375697E-2</v>
      </c>
      <c r="R204" s="155">
        <f t="shared" ref="R204:R250" si="39">MAX(0.05,Q204+K204)</f>
        <v>0.15949756920672672</v>
      </c>
      <c r="S204" s="51">
        <f t="shared" ref="S204:S250" si="40">IF(C204&gt;$A$5,R204,0.05)</f>
        <v>0.15949756920672672</v>
      </c>
      <c r="T204" s="133">
        <f>'Price Deck'!F198</f>
        <v>78.119127547028128</v>
      </c>
      <c r="U204" s="85">
        <f t="shared" ref="U204:U250" si="41">T204*E204</f>
        <v>64635.721293532268</v>
      </c>
      <c r="V204" s="85">
        <f t="shared" ref="V204:V250" si="42">U204*S204</f>
        <v>10309.240430241864</v>
      </c>
      <c r="W204" s="85">
        <f t="shared" ref="W204:W250" si="43">V204/E204</f>
        <v>12.459810952301231</v>
      </c>
    </row>
    <row r="205" spans="1:23">
      <c r="A205" t="str">
        <f>'Price Deck'!A199</f>
        <v>07/2033</v>
      </c>
      <c r="B205" s="51" t="e">
        <f>'[1]Oil Production'!#REF!</f>
        <v>#REF!</v>
      </c>
      <c r="C205" s="51">
        <f>'[1]Oil Production'!A201</f>
        <v>195</v>
      </c>
      <c r="D205" s="51">
        <f>'[1]Oil Production'!B201</f>
        <v>27.14401327153627</v>
      </c>
      <c r="E205" s="51">
        <f>'[1]Oil Production'!C201</f>
        <v>825.63040367589497</v>
      </c>
      <c r="F205" s="51">
        <f>'[1]Oil Production'!D201</f>
        <v>267483.29507367569</v>
      </c>
      <c r="I205" s="51">
        <f t="shared" si="33"/>
        <v>131.26467709154753</v>
      </c>
      <c r="J205" s="133">
        <f>'Price Deck'!F199*$B$2</f>
        <v>491.35478211308316</v>
      </c>
      <c r="K205" s="155">
        <f t="shared" si="34"/>
        <v>0.24381056502410242</v>
      </c>
      <c r="L205" s="1">
        <v>0.1</v>
      </c>
      <c r="M205" s="155">
        <f t="shared" si="35"/>
        <v>0.27015489530028902</v>
      </c>
      <c r="N205" s="155">
        <f t="shared" si="36"/>
        <v>0.24381056502410242</v>
      </c>
      <c r="O205" s="155">
        <f t="shared" si="37"/>
        <v>0.28794295642261658</v>
      </c>
      <c r="Q205" s="51">
        <f t="shared" si="38"/>
        <v>-8.4692685926410841E-2</v>
      </c>
      <c r="R205" s="155">
        <f t="shared" si="39"/>
        <v>0.15911787909769159</v>
      </c>
      <c r="S205" s="51">
        <f t="shared" si="40"/>
        <v>0.15911787909769159</v>
      </c>
      <c r="T205" s="133">
        <f>'Price Deck'!F199</f>
        <v>78.119127547028128</v>
      </c>
      <c r="U205" s="85">
        <f t="shared" si="41"/>
        <v>64497.526811461561</v>
      </c>
      <c r="V205" s="85">
        <f t="shared" si="42"/>
        <v>10262.709673286263</v>
      </c>
      <c r="W205" s="85">
        <f t="shared" si="43"/>
        <v>12.43014989224517</v>
      </c>
    </row>
    <row r="206" spans="1:23">
      <c r="A206" t="str">
        <f>'Price Deck'!A200</f>
        <v>08/2033</v>
      </c>
      <c r="B206" s="51" t="e">
        <f>'[1]Oil Production'!#REF!</f>
        <v>#REF!</v>
      </c>
      <c r="C206" s="51">
        <f>'[1]Oil Production'!A202</f>
        <v>196</v>
      </c>
      <c r="D206" s="51">
        <f>'[1]Oil Production'!B202</f>
        <v>27.086274522190212</v>
      </c>
      <c r="E206" s="51">
        <f>'[1]Oil Production'!C202</f>
        <v>823.87418338328564</v>
      </c>
      <c r="F206" s="51">
        <f>'[1]Oil Production'!D202</f>
        <v>268307.16925705899</v>
      </c>
      <c r="I206" s="51">
        <f t="shared" si="33"/>
        <v>130.98546052129453</v>
      </c>
      <c r="J206" s="133">
        <f>'Price Deck'!F200*$B$2</f>
        <v>491.35478211308316</v>
      </c>
      <c r="K206" s="155">
        <f t="shared" si="34"/>
        <v>0.24381056502410242</v>
      </c>
      <c r="L206" s="1">
        <v>0.1</v>
      </c>
      <c r="M206" s="155">
        <f t="shared" si="35"/>
        <v>0.27015489530028902</v>
      </c>
      <c r="N206" s="155">
        <f t="shared" si="36"/>
        <v>0.24381056502410242</v>
      </c>
      <c r="O206" s="155">
        <f t="shared" si="37"/>
        <v>0.28794295642261658</v>
      </c>
      <c r="Q206" s="51">
        <f t="shared" si="38"/>
        <v>-8.5069628296252392E-2</v>
      </c>
      <c r="R206" s="155">
        <f t="shared" si="39"/>
        <v>0.15874093672785003</v>
      </c>
      <c r="S206" s="51">
        <f t="shared" si="40"/>
        <v>0.15874093672785003</v>
      </c>
      <c r="T206" s="133">
        <f>'Price Deck'!F200</f>
        <v>78.119127547028128</v>
      </c>
      <c r="U206" s="85">
        <f t="shared" si="41"/>
        <v>64360.332414422533</v>
      </c>
      <c r="V206" s="85">
        <f t="shared" si="42"/>
        <v>10216.619455581244</v>
      </c>
      <c r="W206" s="85">
        <f t="shared" si="43"/>
        <v>12.40070348317764</v>
      </c>
    </row>
    <row r="207" spans="1:23">
      <c r="A207" t="str">
        <f>'Price Deck'!A201</f>
        <v>09/2033</v>
      </c>
      <c r="B207" s="51" t="e">
        <f>'[1]Oil Production'!#REF!</f>
        <v>#REF!</v>
      </c>
      <c r="C207" s="51">
        <f>'[1]Oil Production'!A203</f>
        <v>197</v>
      </c>
      <c r="D207" s="51">
        <f>'[1]Oil Production'!B203</f>
        <v>27.028951492100052</v>
      </c>
      <c r="E207" s="51">
        <f>'[1]Oil Production'!C203</f>
        <v>822.13060788471</v>
      </c>
      <c r="F207" s="51">
        <f>'[1]Oil Production'!D203</f>
        <v>269129.29986494372</v>
      </c>
      <c r="I207" s="51">
        <f t="shared" si="33"/>
        <v>130.70825431160762</v>
      </c>
      <c r="J207" s="133">
        <f>'Price Deck'!F201*$B$2</f>
        <v>491.35478211308316</v>
      </c>
      <c r="K207" s="155">
        <f t="shared" si="34"/>
        <v>0.24381056502410242</v>
      </c>
      <c r="L207" s="1">
        <v>0.1</v>
      </c>
      <c r="M207" s="155">
        <f t="shared" si="35"/>
        <v>0.27015489530028902</v>
      </c>
      <c r="N207" s="155">
        <f t="shared" si="36"/>
        <v>0.24381056502410242</v>
      </c>
      <c r="O207" s="155">
        <f t="shared" si="37"/>
        <v>0.28794295642261658</v>
      </c>
      <c r="Q207" s="51">
        <f t="shared" si="38"/>
        <v>-8.5443856679329716E-2</v>
      </c>
      <c r="R207" s="155">
        <f t="shared" si="39"/>
        <v>0.15836670834477271</v>
      </c>
      <c r="S207" s="51">
        <f t="shared" si="40"/>
        <v>0.15836670834477271</v>
      </c>
      <c r="T207" s="133">
        <f>'Price Deck'!F201</f>
        <v>78.119127547028128</v>
      </c>
      <c r="U207" s="85">
        <f t="shared" si="41"/>
        <v>64224.125817661428</v>
      </c>
      <c r="V207" s="85">
        <f t="shared" si="42"/>
        <v>10170.963402063575</v>
      </c>
      <c r="W207" s="85">
        <f t="shared" si="43"/>
        <v>12.371469088388304</v>
      </c>
    </row>
    <row r="208" spans="1:23">
      <c r="A208" t="str">
        <f>'Price Deck'!A202</f>
        <v>10/2033</v>
      </c>
      <c r="B208" s="51" t="e">
        <f>'[1]Oil Production'!#REF!</f>
        <v>#REF!</v>
      </c>
      <c r="C208" s="51">
        <f>'[1]Oil Production'!A204</f>
        <v>198</v>
      </c>
      <c r="D208" s="51">
        <f>'[1]Oil Production'!B204</f>
        <v>26.972039100520465</v>
      </c>
      <c r="E208" s="51">
        <f>'[1]Oil Production'!C204</f>
        <v>820.39952264083081</v>
      </c>
      <c r="F208" s="51">
        <f>'[1]Oil Production'!D204</f>
        <v>269949.69938758458</v>
      </c>
      <c r="I208" s="51">
        <f t="shared" si="33"/>
        <v>130.43303389270824</v>
      </c>
      <c r="J208" s="133">
        <f>'Price Deck'!F202*$B$2</f>
        <v>491.35478211308316</v>
      </c>
      <c r="K208" s="155">
        <f t="shared" si="34"/>
        <v>0.24381056502410242</v>
      </c>
      <c r="L208" s="1">
        <v>0.1</v>
      </c>
      <c r="M208" s="155">
        <f t="shared" si="35"/>
        <v>0.27015489530028902</v>
      </c>
      <c r="N208" s="155">
        <f t="shared" si="36"/>
        <v>0.24381056502410242</v>
      </c>
      <c r="O208" s="155">
        <f t="shared" si="37"/>
        <v>0.28794295642261658</v>
      </c>
      <c r="Q208" s="51">
        <f t="shared" si="38"/>
        <v>-8.5815404244843879E-2</v>
      </c>
      <c r="R208" s="155">
        <f t="shared" si="39"/>
        <v>0.15799516077925854</v>
      </c>
      <c r="S208" s="51">
        <f t="shared" si="40"/>
        <v>0.15799516077925854</v>
      </c>
      <c r="T208" s="133">
        <f>'Price Deck'!F202</f>
        <v>78.119127547028128</v>
      </c>
      <c r="U208" s="85">
        <f t="shared" si="41"/>
        <v>64088.89494870005</v>
      </c>
      <c r="V208" s="85">
        <f t="shared" si="42"/>
        <v>10125.735261584876</v>
      </c>
      <c r="W208" s="85">
        <f t="shared" si="43"/>
        <v>12.342444116728114</v>
      </c>
    </row>
    <row r="209" spans="1:23">
      <c r="A209" t="str">
        <f>'Price Deck'!A203</f>
        <v>11/2033</v>
      </c>
      <c r="B209" s="51" t="e">
        <f>'[1]Oil Production'!#REF!</f>
        <v>#REF!</v>
      </c>
      <c r="C209" s="51">
        <f>'[1]Oil Production'!A205</f>
        <v>199</v>
      </c>
      <c r="D209" s="51">
        <f>'[1]Oil Production'!B205</f>
        <v>26.915532354057405</v>
      </c>
      <c r="E209" s="51">
        <f>'[1]Oil Production'!C205</f>
        <v>818.68077576924611</v>
      </c>
      <c r="F209" s="51">
        <f>'[1]Oil Production'!D205</f>
        <v>270768.38016335381</v>
      </c>
      <c r="I209" s="51">
        <f t="shared" si="33"/>
        <v>130.15977511723656</v>
      </c>
      <c r="J209" s="133">
        <f>'Price Deck'!F203*$B$2</f>
        <v>491.35478211308316</v>
      </c>
      <c r="K209" s="155">
        <f t="shared" si="34"/>
        <v>0.24381056502410242</v>
      </c>
      <c r="L209" s="1">
        <v>0.1</v>
      </c>
      <c r="M209" s="155">
        <f t="shared" si="35"/>
        <v>0.27015489530028902</v>
      </c>
      <c r="N209" s="155">
        <f t="shared" si="36"/>
        <v>0.24381056502410242</v>
      </c>
      <c r="O209" s="155">
        <f t="shared" si="37"/>
        <v>0.28794295642261658</v>
      </c>
      <c r="Q209" s="51">
        <f t="shared" si="38"/>
        <v>-8.618430359173064E-2</v>
      </c>
      <c r="R209" s="155">
        <f t="shared" si="39"/>
        <v>0.15762626143237179</v>
      </c>
      <c r="S209" s="51">
        <f t="shared" si="40"/>
        <v>0.15762626143237179</v>
      </c>
      <c r="T209" s="133">
        <f>'Price Deck'!F203</f>
        <v>78.119127547028128</v>
      </c>
      <c r="U209" s="85">
        <f t="shared" si="41"/>
        <v>63954.62794261767</v>
      </c>
      <c r="V209" s="85">
        <f t="shared" si="42"/>
        <v>10080.928903893124</v>
      </c>
      <c r="W209" s="85">
        <f t="shared" si="43"/>
        <v>12.313626021596653</v>
      </c>
    </row>
    <row r="210" spans="1:23">
      <c r="A210" t="str">
        <f>'Price Deck'!A204</f>
        <v>12/2033</v>
      </c>
      <c r="B210" s="51" t="e">
        <f>'[1]Oil Production'!#REF!</f>
        <v>#REF!</v>
      </c>
      <c r="C210" s="51">
        <f>'[1]Oil Production'!A206</f>
        <v>200</v>
      </c>
      <c r="D210" s="51">
        <f>'[1]Oil Production'!B206</f>
        <v>26.859426344736523</v>
      </c>
      <c r="E210" s="51">
        <f>'[1]Oil Production'!C206</f>
        <v>816.97421798573589</v>
      </c>
      <c r="F210" s="51">
        <f>'[1]Oil Production'!D206</f>
        <v>271585.35438133957</v>
      </c>
      <c r="I210" s="51">
        <f t="shared" si="33"/>
        <v>129.88845425091043</v>
      </c>
      <c r="J210" s="133">
        <f>'Price Deck'!F204*$B$2</f>
        <v>491.35478211308316</v>
      </c>
      <c r="K210" s="155">
        <f t="shared" si="34"/>
        <v>0.24381056502410242</v>
      </c>
      <c r="L210" s="1">
        <v>0.1</v>
      </c>
      <c r="M210" s="155">
        <f t="shared" si="35"/>
        <v>0.27015489530028902</v>
      </c>
      <c r="N210" s="155">
        <f t="shared" si="36"/>
        <v>0.24381056502410242</v>
      </c>
      <c r="O210" s="155">
        <f t="shared" si="37"/>
        <v>0.28794295642261658</v>
      </c>
      <c r="Q210" s="51">
        <f t="shared" si="38"/>
        <v>-8.655058676127092E-2</v>
      </c>
      <c r="R210" s="155">
        <f t="shared" si="39"/>
        <v>0.1572599782628315</v>
      </c>
      <c r="S210" s="51">
        <f t="shared" si="40"/>
        <v>0.1572599782628315</v>
      </c>
      <c r="T210" s="133">
        <f>'Price Deck'!F204</f>
        <v>78.119127547028128</v>
      </c>
      <c r="U210" s="85">
        <f t="shared" si="41"/>
        <v>63821.313137461264</v>
      </c>
      <c r="V210" s="85">
        <f t="shared" si="42"/>
        <v>10036.538316702521</v>
      </c>
      <c r="W210" s="85">
        <f t="shared" si="43"/>
        <v>12.285012299957005</v>
      </c>
    </row>
    <row r="211" spans="1:23">
      <c r="A211" t="str">
        <f>'Price Deck'!A205</f>
        <v>01/2034</v>
      </c>
      <c r="B211" s="51" t="e">
        <f>'[1]Oil Production'!#REF!</f>
        <v>#REF!</v>
      </c>
      <c r="C211" s="51">
        <f>'[1]Oil Production'!A207</f>
        <v>201</v>
      </c>
      <c r="D211" s="51">
        <f>'[1]Oil Production'!B207</f>
        <v>26.803716248123528</v>
      </c>
      <c r="E211" s="51">
        <f>'[1]Oil Production'!C207</f>
        <v>815.27970254709066</v>
      </c>
      <c r="F211" s="51">
        <f>'[1]Oil Production'!D207</f>
        <v>272400.63408388663</v>
      </c>
      <c r="I211" s="51">
        <f t="shared" si="33"/>
        <v>129.61904796343592</v>
      </c>
      <c r="J211" s="133">
        <f>'Price Deck'!F205*$B$2</f>
        <v>491.35478211308316</v>
      </c>
      <c r="K211" s="155">
        <f t="shared" si="34"/>
        <v>0.24381056502410242</v>
      </c>
      <c r="L211" s="1">
        <v>0.1</v>
      </c>
      <c r="M211" s="155">
        <f t="shared" si="35"/>
        <v>0.27015489530028902</v>
      </c>
      <c r="N211" s="155">
        <f t="shared" si="36"/>
        <v>0.24381056502410242</v>
      </c>
      <c r="O211" s="155">
        <f t="shared" si="37"/>
        <v>0.28794295642261658</v>
      </c>
      <c r="Q211" s="51">
        <f t="shared" si="38"/>
        <v>-8.6914285249361511E-2</v>
      </c>
      <c r="R211" s="155">
        <f t="shared" si="39"/>
        <v>0.15689627977474091</v>
      </c>
      <c r="S211" s="51">
        <f t="shared" si="40"/>
        <v>0.15689627977474091</v>
      </c>
      <c r="T211" s="133">
        <f>'Price Deck'!F205</f>
        <v>78.119127547028128</v>
      </c>
      <c r="U211" s="85">
        <f t="shared" si="41"/>
        <v>63688.939069779328</v>
      </c>
      <c r="V211" s="85">
        <f t="shared" si="42"/>
        <v>9992.5576028485248</v>
      </c>
      <c r="W211" s="85">
        <f t="shared" si="43"/>
        <v>12.256600491377196</v>
      </c>
    </row>
    <row r="212" spans="1:23">
      <c r="A212" t="str">
        <f>'Price Deck'!A206</f>
        <v>02/2034</v>
      </c>
      <c r="B212" s="51" t="e">
        <f>'[1]Oil Production'!#REF!</f>
        <v>#REF!</v>
      </c>
      <c r="C212" s="51">
        <f>'[1]Oil Production'!A208</f>
        <v>202</v>
      </c>
      <c r="D212" s="51">
        <f>'[1]Oil Production'!B208</f>
        <v>26.748397321495187</v>
      </c>
      <c r="E212" s="51">
        <f>'[1]Oil Production'!C208</f>
        <v>813.5970851954786</v>
      </c>
      <c r="F212" s="51">
        <f>'[1]Oil Production'!D208</f>
        <v>273214.23116908211</v>
      </c>
      <c r="I212" s="51">
        <f t="shared" si="33"/>
        <v>129.35153331966234</v>
      </c>
      <c r="J212" s="133">
        <f>'Price Deck'!F206*$B$2</f>
        <v>498.72510384477931</v>
      </c>
      <c r="K212" s="155">
        <f t="shared" si="34"/>
        <v>0.24668499049946394</v>
      </c>
      <c r="L212" s="1">
        <v>0.1</v>
      </c>
      <c r="M212" s="155">
        <f t="shared" si="35"/>
        <v>0.27538782372979331</v>
      </c>
      <c r="N212" s="155">
        <f t="shared" si="36"/>
        <v>0.24668499049946394</v>
      </c>
      <c r="O212" s="155">
        <f t="shared" si="37"/>
        <v>0.28941702076895581</v>
      </c>
      <c r="Q212" s="51">
        <f t="shared" si="38"/>
        <v>-8.7275430018455849E-2</v>
      </c>
      <c r="R212" s="155">
        <f t="shared" si="39"/>
        <v>0.15940956048100807</v>
      </c>
      <c r="S212" s="51">
        <f t="shared" si="40"/>
        <v>0.15940956048100807</v>
      </c>
      <c r="T212" s="133">
        <f>'Price Deck'!F206</f>
        <v>79.290914460233537</v>
      </c>
      <c r="U212" s="85">
        <f t="shared" si="41"/>
        <v>64510.856887330032</v>
      </c>
      <c r="V212" s="85">
        <f t="shared" si="42"/>
        <v>10283.647342662493</v>
      </c>
      <c r="W212" s="85">
        <f t="shared" si="43"/>
        <v>12.639729824243036</v>
      </c>
    </row>
    <row r="213" spans="1:23">
      <c r="A213" t="str">
        <f>'Price Deck'!A207</f>
        <v>03/2034</v>
      </c>
      <c r="B213" s="51" t="e">
        <f>'[1]Oil Production'!#REF!</f>
        <v>#REF!</v>
      </c>
      <c r="C213" s="51">
        <f>'[1]Oil Production'!A209</f>
        <v>203</v>
      </c>
      <c r="D213" s="51">
        <f>'[1]Oil Production'!B209</f>
        <v>26.693464902059091</v>
      </c>
      <c r="E213" s="51">
        <f>'[1]Oil Production'!C209</f>
        <v>811.92622410429738</v>
      </c>
      <c r="F213" s="51">
        <f>'[1]Oil Production'!D209</f>
        <v>274026.15739318641</v>
      </c>
      <c r="I213" s="51">
        <f t="shared" si="33"/>
        <v>129.08588777097341</v>
      </c>
      <c r="J213" s="133">
        <f>'Price Deck'!F207*$B$2</f>
        <v>498.72510384477931</v>
      </c>
      <c r="K213" s="155">
        <f t="shared" si="34"/>
        <v>0.24668499049946394</v>
      </c>
      <c r="L213" s="1">
        <v>0.1</v>
      </c>
      <c r="M213" s="155">
        <f t="shared" si="35"/>
        <v>0.27538782372979331</v>
      </c>
      <c r="N213" s="155">
        <f t="shared" si="36"/>
        <v>0.24668499049946394</v>
      </c>
      <c r="O213" s="155">
        <f t="shared" si="37"/>
        <v>0.28941702076895581</v>
      </c>
      <c r="Q213" s="51">
        <f t="shared" si="38"/>
        <v>-8.7634051509185892E-2</v>
      </c>
      <c r="R213" s="155">
        <f t="shared" si="39"/>
        <v>0.15905093899027806</v>
      </c>
      <c r="S213" s="51">
        <f t="shared" si="40"/>
        <v>0.15905093899027806</v>
      </c>
      <c r="T213" s="133">
        <f>'Price Deck'!F207</f>
        <v>79.290914460233537</v>
      </c>
      <c r="U213" s="85">
        <f t="shared" si="41"/>
        <v>64378.372783474246</v>
      </c>
      <c r="V213" s="85">
        <f t="shared" si="42"/>
        <v>10239.44064187774</v>
      </c>
      <c r="W213" s="85">
        <f t="shared" si="43"/>
        <v>12.611294398297961</v>
      </c>
    </row>
    <row r="214" spans="1:23">
      <c r="A214" t="str">
        <f>'Price Deck'!A208</f>
        <v>04/2034</v>
      </c>
      <c r="B214" s="51" t="e">
        <f>'[1]Oil Production'!#REF!</f>
        <v>#REF!</v>
      </c>
      <c r="C214" s="51">
        <f>'[1]Oil Production'!A210</f>
        <v>204</v>
      </c>
      <c r="D214" s="51">
        <f>'[1]Oil Production'!B210</f>
        <v>26.638914405220739</v>
      </c>
      <c r="E214" s="51">
        <f>'[1]Oil Production'!C210</f>
        <v>810.2669798254642</v>
      </c>
      <c r="F214" s="51">
        <f>'[1]Oil Production'!D210</f>
        <v>274836.42437301186</v>
      </c>
      <c r="I214" s="51">
        <f t="shared" si="33"/>
        <v>128.82208914690708</v>
      </c>
      <c r="J214" s="133">
        <f>'Price Deck'!F208*$B$2</f>
        <v>498.72510384477931</v>
      </c>
      <c r="K214" s="155">
        <f t="shared" si="34"/>
        <v>0.24668499049946394</v>
      </c>
      <c r="L214" s="1">
        <v>0.1</v>
      </c>
      <c r="M214" s="155">
        <f t="shared" si="35"/>
        <v>0.27538782372979331</v>
      </c>
      <c r="N214" s="155">
        <f t="shared" si="36"/>
        <v>0.24668499049946394</v>
      </c>
      <c r="O214" s="155">
        <f t="shared" si="37"/>
        <v>0.28941702076895581</v>
      </c>
      <c r="Q214" s="51">
        <f t="shared" si="38"/>
        <v>-8.7990179651675451E-2</v>
      </c>
      <c r="R214" s="155">
        <f t="shared" si="39"/>
        <v>0.15869481084778847</v>
      </c>
      <c r="S214" s="51">
        <f t="shared" si="40"/>
        <v>0.15869481084778847</v>
      </c>
      <c r="T214" s="133">
        <f>'Price Deck'!F208</f>
        <v>79.290914460233537</v>
      </c>
      <c r="U214" s="85">
        <f t="shared" si="41"/>
        <v>64246.809787292659</v>
      </c>
      <c r="V214" s="85">
        <f t="shared" si="42"/>
        <v>10195.635326768253</v>
      </c>
      <c r="W214" s="85">
        <f t="shared" si="43"/>
        <v>12.583056672214937</v>
      </c>
    </row>
    <row r="215" spans="1:23">
      <c r="A215" t="str">
        <f>'Price Deck'!A209</f>
        <v>05/2034</v>
      </c>
      <c r="B215" s="51" t="e">
        <f>'[1]Oil Production'!#REF!</f>
        <v>#REF!</v>
      </c>
      <c r="C215" s="51">
        <f>'[1]Oil Production'!A211</f>
        <v>205</v>
      </c>
      <c r="D215" s="51">
        <f>'[1]Oil Production'!B211</f>
        <v>26.584741322896594</v>
      </c>
      <c r="E215" s="51">
        <f>'[1]Oil Production'!C211</f>
        <v>808.61921523810474</v>
      </c>
      <c r="F215" s="51">
        <f>'[1]Oil Production'!D211</f>
        <v>275645.04358824994</v>
      </c>
      <c r="I215" s="51">
        <f t="shared" si="33"/>
        <v>128.56011564699764</v>
      </c>
      <c r="J215" s="133">
        <f>'Price Deck'!F209*$B$2</f>
        <v>498.72510384477931</v>
      </c>
      <c r="K215" s="155">
        <f t="shared" si="34"/>
        <v>0.24668499049946394</v>
      </c>
      <c r="L215" s="1">
        <v>0.1</v>
      </c>
      <c r="M215" s="155">
        <f t="shared" si="35"/>
        <v>0.27538782372979331</v>
      </c>
      <c r="N215" s="155">
        <f t="shared" si="36"/>
        <v>0.24668499049946394</v>
      </c>
      <c r="O215" s="155">
        <f t="shared" si="37"/>
        <v>0.28941702076895581</v>
      </c>
      <c r="Q215" s="51">
        <f t="shared" si="38"/>
        <v>-8.8343843876553182E-2</v>
      </c>
      <c r="R215" s="155">
        <f t="shared" si="39"/>
        <v>0.15834114662291077</v>
      </c>
      <c r="S215" s="51">
        <f t="shared" si="40"/>
        <v>0.15834114662291077</v>
      </c>
      <c r="T215" s="133">
        <f>'Price Deck'!F209</f>
        <v>79.290914460233537</v>
      </c>
      <c r="U215" s="85">
        <f t="shared" si="41"/>
        <v>64116.157026345732</v>
      </c>
      <c r="V215" s="85">
        <f t="shared" si="42"/>
        <v>10152.22582060618</v>
      </c>
      <c r="W215" s="85">
        <f t="shared" si="43"/>
        <v>12.555014312412514</v>
      </c>
    </row>
    <row r="216" spans="1:23">
      <c r="A216" t="str">
        <f>'Price Deck'!A210</f>
        <v>06/2034</v>
      </c>
      <c r="B216" s="51" t="e">
        <f>'[1]Oil Production'!#REF!</f>
        <v>#REF!</v>
      </c>
      <c r="C216" s="51">
        <f>'[1]Oil Production'!A212</f>
        <v>206</v>
      </c>
      <c r="D216" s="51">
        <f>'[1]Oil Production'!B212</f>
        <v>26.530941221871419</v>
      </c>
      <c r="E216" s="51">
        <f>'[1]Oil Production'!C212</f>
        <v>806.98279549858898</v>
      </c>
      <c r="F216" s="51">
        <f>'[1]Oil Production'!D212</f>
        <v>276452.02638374851</v>
      </c>
      <c r="I216" s="51">
        <f t="shared" si="33"/>
        <v>128.29994583283209</v>
      </c>
      <c r="J216" s="133">
        <f>'Price Deck'!F210*$B$2</f>
        <v>498.72510384477931</v>
      </c>
      <c r="K216" s="155">
        <f t="shared" si="34"/>
        <v>0.24668499049946394</v>
      </c>
      <c r="L216" s="1">
        <v>0.1</v>
      </c>
      <c r="M216" s="155">
        <f t="shared" si="35"/>
        <v>0.27538782372979331</v>
      </c>
      <c r="N216" s="155">
        <f t="shared" si="36"/>
        <v>0.24668499049946394</v>
      </c>
      <c r="O216" s="155">
        <f t="shared" si="37"/>
        <v>0.28941702076895581</v>
      </c>
      <c r="Q216" s="51">
        <f t="shared" si="38"/>
        <v>-8.8695073125676677E-2</v>
      </c>
      <c r="R216" s="155">
        <f t="shared" si="39"/>
        <v>0.15798991737378726</v>
      </c>
      <c r="S216" s="51">
        <f t="shared" si="40"/>
        <v>0.15798991737378726</v>
      </c>
      <c r="T216" s="133">
        <f>'Price Deck'!F210</f>
        <v>79.290914460233537</v>
      </c>
      <c r="U216" s="85">
        <f t="shared" si="41"/>
        <v>63986.403808758754</v>
      </c>
      <c r="V216" s="85">
        <f t="shared" si="42"/>
        <v>10109.206650791582</v>
      </c>
      <c r="W216" s="85">
        <f t="shared" si="43"/>
        <v>12.527165024064331</v>
      </c>
    </row>
    <row r="217" spans="1:23">
      <c r="A217" t="str">
        <f>'Price Deck'!A211</f>
        <v>07/2034</v>
      </c>
      <c r="B217" s="51" t="e">
        <f>'[1]Oil Production'!#REF!</f>
        <v>#REF!</v>
      </c>
      <c r="C217" s="51">
        <f>'[1]Oil Production'!A213</f>
        <v>207</v>
      </c>
      <c r="D217" s="51">
        <f>'[1]Oil Production'!B213</f>
        <v>26.477509742198738</v>
      </c>
      <c r="E217" s="51">
        <f>'[1]Oil Production'!C213</f>
        <v>805.35758799187829</v>
      </c>
      <c r="F217" s="51">
        <f>'[1]Oil Production'!D213</f>
        <v>277257.38397174038</v>
      </c>
      <c r="I217" s="51">
        <f t="shared" si="33"/>
        <v>128.04155862031504</v>
      </c>
      <c r="J217" s="133">
        <f>'Price Deck'!F211*$B$2</f>
        <v>498.72510384477931</v>
      </c>
      <c r="K217" s="155">
        <f t="shared" si="34"/>
        <v>0.24668499049946394</v>
      </c>
      <c r="L217" s="1">
        <v>0.1</v>
      </c>
      <c r="M217" s="155">
        <f t="shared" si="35"/>
        <v>0.27538782372979331</v>
      </c>
      <c r="N217" s="155">
        <f t="shared" si="36"/>
        <v>0.24668499049946394</v>
      </c>
      <c r="O217" s="155">
        <f t="shared" si="37"/>
        <v>0.28941702076895581</v>
      </c>
      <c r="Q217" s="51">
        <f t="shared" si="38"/>
        <v>-8.904389586257469E-2</v>
      </c>
      <c r="R217" s="155">
        <f t="shared" si="39"/>
        <v>0.15764109463688925</v>
      </c>
      <c r="S217" s="51">
        <f t="shared" si="40"/>
        <v>0.15764109463688925</v>
      </c>
      <c r="T217" s="133">
        <f>'Price Deck'!F211</f>
        <v>79.290914460233537</v>
      </c>
      <c r="U217" s="85">
        <f t="shared" si="41"/>
        <v>63857.539619364026</v>
      </c>
      <c r="V217" s="85">
        <f t="shared" si="42"/>
        <v>10066.572446415068</v>
      </c>
      <c r="W217" s="85">
        <f t="shared" si="43"/>
        <v>12.499506550271164</v>
      </c>
    </row>
    <row r="218" spans="1:23">
      <c r="A218" t="str">
        <f>'Price Deck'!A212</f>
        <v>08/2034</v>
      </c>
      <c r="B218" s="51" t="e">
        <f>'[1]Oil Production'!#REF!</f>
        <v>#REF!</v>
      </c>
      <c r="C218" s="51">
        <f>'[1]Oil Production'!A214</f>
        <v>208</v>
      </c>
      <c r="D218" s="51">
        <f>'[1]Oil Production'!B214</f>
        <v>26.424442595642951</v>
      </c>
      <c r="E218" s="51">
        <f>'[1]Oil Production'!C214</f>
        <v>803.74346228413981</v>
      </c>
      <c r="F218" s="51">
        <f>'[1]Oil Production'!D214</f>
        <v>278061.12743402453</v>
      </c>
      <c r="I218" s="51">
        <f t="shared" si="33"/>
        <v>127.78493327213489</v>
      </c>
      <c r="J218" s="133">
        <f>'Price Deck'!F212*$B$2</f>
        <v>498.72510384477931</v>
      </c>
      <c r="K218" s="155">
        <f t="shared" si="34"/>
        <v>0.24668499049946394</v>
      </c>
      <c r="L218" s="1">
        <v>0.1</v>
      </c>
      <c r="M218" s="155">
        <f t="shared" si="35"/>
        <v>0.27538782372979331</v>
      </c>
      <c r="N218" s="155">
        <f t="shared" si="36"/>
        <v>0.24668499049946394</v>
      </c>
      <c r="O218" s="155">
        <f t="shared" si="37"/>
        <v>0.28941702076895581</v>
      </c>
      <c r="Q218" s="51">
        <f t="shared" si="38"/>
        <v>-8.9390340082617897E-2</v>
      </c>
      <c r="R218" s="155">
        <f t="shared" si="39"/>
        <v>0.15729465041684604</v>
      </c>
      <c r="S218" s="51">
        <f t="shared" si="40"/>
        <v>0.15729465041684604</v>
      </c>
      <c r="T218" s="133">
        <f>'Price Deck'!F212</f>
        <v>79.290914460233537</v>
      </c>
      <c r="U218" s="85">
        <f t="shared" si="41"/>
        <v>63729.554115943669</v>
      </c>
      <c r="V218" s="85">
        <f t="shared" si="42"/>
        <v>10024.31793588883</v>
      </c>
      <c r="W218" s="85">
        <f t="shared" si="43"/>
        <v>12.472036671254475</v>
      </c>
    </row>
    <row r="219" spans="1:23">
      <c r="A219" t="str">
        <f>'Price Deck'!A213</f>
        <v>09/2034</v>
      </c>
      <c r="B219" s="51" t="e">
        <f>'[1]Oil Production'!#REF!</f>
        <v>#REF!</v>
      </c>
      <c r="C219" s="51">
        <f>'[1]Oil Production'!A215</f>
        <v>209</v>
      </c>
      <c r="D219" s="51">
        <f>'[1]Oil Production'!B215</f>
        <v>26.371735564161998</v>
      </c>
      <c r="E219" s="51">
        <f>'[1]Oil Production'!C215</f>
        <v>802.14029007659417</v>
      </c>
      <c r="F219" s="51">
        <f>'[1]Oil Production'!D215</f>
        <v>278863.26772410114</v>
      </c>
      <c r="I219" s="51">
        <f t="shared" si="33"/>
        <v>127.5300493904262</v>
      </c>
      <c r="J219" s="133">
        <f>'Price Deck'!F213*$B$2</f>
        <v>498.72510384477931</v>
      </c>
      <c r="K219" s="155">
        <f t="shared" si="34"/>
        <v>0.24668499049946394</v>
      </c>
      <c r="L219" s="1">
        <v>0.1</v>
      </c>
      <c r="M219" s="155">
        <f t="shared" si="35"/>
        <v>0.27538782372979331</v>
      </c>
      <c r="N219" s="155">
        <f t="shared" si="36"/>
        <v>0.24668499049946394</v>
      </c>
      <c r="O219" s="155">
        <f t="shared" si="37"/>
        <v>0.28941702076895581</v>
      </c>
      <c r="Q219" s="51">
        <f t="shared" si="38"/>
        <v>-8.9734433322924634E-2</v>
      </c>
      <c r="R219" s="155">
        <f t="shared" si="39"/>
        <v>0.1569505571765393</v>
      </c>
      <c r="S219" s="51">
        <f t="shared" si="40"/>
        <v>0.1569505571765393</v>
      </c>
      <c r="T219" s="133">
        <f>'Price Deck'!F213</f>
        <v>79.290914460233537</v>
      </c>
      <c r="U219" s="85">
        <f t="shared" si="41"/>
        <v>63602.437125570148</v>
      </c>
      <c r="V219" s="85">
        <f t="shared" si="42"/>
        <v>9982.4379446440435</v>
      </c>
      <c r="W219" s="85">
        <f t="shared" si="43"/>
        <v>12.444753203570972</v>
      </c>
    </row>
    <row r="220" spans="1:23">
      <c r="A220" t="str">
        <f>'Price Deck'!A214</f>
        <v>10/2034</v>
      </c>
      <c r="B220" s="51" t="e">
        <f>'[1]Oil Production'!#REF!</f>
        <v>#REF!</v>
      </c>
      <c r="C220" s="51">
        <f>'[1]Oil Production'!A216</f>
        <v>210</v>
      </c>
      <c r="D220" s="51">
        <f>'[1]Oil Production'!B216</f>
        <v>26.319384498429024</v>
      </c>
      <c r="E220" s="51">
        <f>'[1]Oil Production'!C216</f>
        <v>800.54794516054949</v>
      </c>
      <c r="F220" s="51">
        <f>'[1]Oil Production'!D216</f>
        <v>279663.81566926168</v>
      </c>
      <c r="I220" s="51">
        <f t="shared" si="33"/>
        <v>127.27688690962079</v>
      </c>
      <c r="J220" s="133">
        <f>'Price Deck'!F214*$B$2</f>
        <v>498.72510384477931</v>
      </c>
      <c r="K220" s="155">
        <f t="shared" si="34"/>
        <v>0.24668499049946394</v>
      </c>
      <c r="L220" s="1">
        <v>0.1</v>
      </c>
      <c r="M220" s="155">
        <f t="shared" si="35"/>
        <v>0.27538782372979331</v>
      </c>
      <c r="N220" s="155">
        <f t="shared" si="36"/>
        <v>0.24668499049946394</v>
      </c>
      <c r="O220" s="155">
        <f t="shared" si="37"/>
        <v>0.28941702076895581</v>
      </c>
      <c r="Q220" s="51">
        <f t="shared" si="38"/>
        <v>-9.007620267201194E-2</v>
      </c>
      <c r="R220" s="155">
        <f t="shared" si="39"/>
        <v>0.156608787827452</v>
      </c>
      <c r="S220" s="51">
        <f t="shared" si="40"/>
        <v>0.156608787827452</v>
      </c>
      <c r="T220" s="133">
        <f>'Price Deck'!F214</f>
        <v>79.290914460233537</v>
      </c>
      <c r="U220" s="85">
        <f t="shared" si="41"/>
        <v>63476.17864104086</v>
      </c>
      <c r="V220" s="85">
        <f t="shared" si="42"/>
        <v>9940.9273928922084</v>
      </c>
      <c r="W220" s="85">
        <f t="shared" si="43"/>
        <v>12.41765399934736</v>
      </c>
    </row>
    <row r="221" spans="1:23">
      <c r="A221" t="str">
        <f>'Price Deck'!A215</f>
        <v>11/2034</v>
      </c>
      <c r="B221" s="51" t="e">
        <f>'[1]Oil Production'!#REF!</f>
        <v>#REF!</v>
      </c>
      <c r="C221" s="51">
        <f>'[1]Oil Production'!A217</f>
        <v>211</v>
      </c>
      <c r="D221" s="51">
        <f>'[1]Oil Production'!B217</f>
        <v>26.267385316392193</v>
      </c>
      <c r="E221" s="51">
        <f>'[1]Oil Production'!C217</f>
        <v>798.96630337359591</v>
      </c>
      <c r="F221" s="51">
        <f>'[1]Oil Production'!D217</f>
        <v>280462.78197263525</v>
      </c>
      <c r="I221" s="51">
        <f t="shared" si="33"/>
        <v>127.02542608948308</v>
      </c>
      <c r="J221" s="133">
        <f>'Price Deck'!F215*$B$2</f>
        <v>498.72510384477931</v>
      </c>
      <c r="K221" s="155">
        <f t="shared" si="34"/>
        <v>0.24668499049946394</v>
      </c>
      <c r="L221" s="1">
        <v>0.1</v>
      </c>
      <c r="M221" s="155">
        <f t="shared" si="35"/>
        <v>0.27538782372979331</v>
      </c>
      <c r="N221" s="155">
        <f t="shared" si="36"/>
        <v>0.24668499049946394</v>
      </c>
      <c r="O221" s="155">
        <f t="shared" si="37"/>
        <v>0.28941702076895581</v>
      </c>
      <c r="Q221" s="51">
        <f t="shared" si="38"/>
        <v>-9.0415674779197847E-2</v>
      </c>
      <c r="R221" s="155">
        <f t="shared" si="39"/>
        <v>0.15626931572026609</v>
      </c>
      <c r="S221" s="51">
        <f t="shared" si="40"/>
        <v>0.15626931572026609</v>
      </c>
      <c r="T221" s="133">
        <f>'Price Deck'!F215</f>
        <v>79.290914460233537</v>
      </c>
      <c r="U221" s="85">
        <f t="shared" si="41"/>
        <v>63350.768817404794</v>
      </c>
      <c r="V221" s="85">
        <f t="shared" si="42"/>
        <v>9899.7812934486174</v>
      </c>
      <c r="W221" s="85">
        <f t="shared" si="43"/>
        <v>12.390736945534847</v>
      </c>
    </row>
    <row r="222" spans="1:23">
      <c r="A222" t="str">
        <f>'Price Deck'!A216</f>
        <v>01/2034</v>
      </c>
      <c r="B222" s="51" t="e">
        <f>'[1]Oil Production'!#REF!</f>
        <v>#REF!</v>
      </c>
      <c r="C222" s="51">
        <f>'[1]Oil Production'!A218</f>
        <v>212</v>
      </c>
      <c r="D222" s="51">
        <f>'[1]Oil Production'!B218</f>
        <v>26.215734001871343</v>
      </c>
      <c r="E222" s="51">
        <f>'[1]Oil Production'!C218</f>
        <v>797.39524255692004</v>
      </c>
      <c r="F222" s="51">
        <f>'[1]Oil Production'!D218</f>
        <v>281260.17721519218</v>
      </c>
      <c r="I222" s="51">
        <f t="shared" si="33"/>
        <v>126.77564750832379</v>
      </c>
      <c r="J222" s="133">
        <f>'Price Deck'!F216*$B$2</f>
        <v>498.72510384477931</v>
      </c>
      <c r="K222" s="155">
        <f t="shared" si="34"/>
        <v>0.24668499049946394</v>
      </c>
      <c r="L222" s="1">
        <v>0.1</v>
      </c>
      <c r="M222" s="155">
        <f t="shared" si="35"/>
        <v>0.27538782372979331</v>
      </c>
      <c r="N222" s="155">
        <f t="shared" si="36"/>
        <v>0.24668499049946394</v>
      </c>
      <c r="O222" s="155">
        <f t="shared" si="37"/>
        <v>0.28941702076895581</v>
      </c>
      <c r="Q222" s="51">
        <f t="shared" si="38"/>
        <v>-9.0752875863762891E-2</v>
      </c>
      <c r="R222" s="155">
        <f t="shared" si="39"/>
        <v>0.15593211463570106</v>
      </c>
      <c r="S222" s="51">
        <f t="shared" si="40"/>
        <v>0.15593211463570106</v>
      </c>
      <c r="T222" s="133">
        <f>'Price Deck'!F216</f>
        <v>79.290914460233537</v>
      </c>
      <c r="U222" s="85">
        <f t="shared" si="41"/>
        <v>63226.197968577922</v>
      </c>
      <c r="V222" s="85">
        <f t="shared" si="42"/>
        <v>9858.994749615822</v>
      </c>
      <c r="W222" s="85">
        <f t="shared" si="43"/>
        <v>12.363999963182703</v>
      </c>
    </row>
    <row r="223" spans="1:23">
      <c r="A223" t="str">
        <f>'Price Deck'!A217</f>
        <v>02/2034</v>
      </c>
      <c r="B223" s="51" t="e">
        <f>'[1]Oil Production'!#REF!</f>
        <v>#REF!</v>
      </c>
      <c r="C223" s="51">
        <f>'[1]Oil Production'!A219</f>
        <v>213</v>
      </c>
      <c r="D223" s="51">
        <f>'[1]Oil Production'!B219</f>
        <v>26.16442660319025</v>
      </c>
      <c r="E223" s="51">
        <f>'[1]Oil Production'!C219</f>
        <v>795.83464251370344</v>
      </c>
      <c r="F223" s="51">
        <f>'[1]Oil Production'!D219</f>
        <v>282056.01185770589</v>
      </c>
      <c r="I223" s="51">
        <f t="shared" si="33"/>
        <v>126.52753205638568</v>
      </c>
      <c r="J223" s="133">
        <f>'Price Deck'!F217*$B$2</f>
        <v>498.72510384477931</v>
      </c>
      <c r="K223" s="155">
        <f t="shared" si="34"/>
        <v>0.24668499049946394</v>
      </c>
      <c r="L223" s="1">
        <v>0.1</v>
      </c>
      <c r="M223" s="155">
        <f t="shared" si="35"/>
        <v>0.27538782372979331</v>
      </c>
      <c r="N223" s="155">
        <f t="shared" si="36"/>
        <v>0.24668499049946394</v>
      </c>
      <c r="O223" s="155">
        <f t="shared" si="37"/>
        <v>0.28941702076895581</v>
      </c>
      <c r="Q223" s="51">
        <f t="shared" si="38"/>
        <v>-9.1087831723879339E-2</v>
      </c>
      <c r="R223" s="155">
        <f t="shared" si="39"/>
        <v>0.15559715877558461</v>
      </c>
      <c r="S223" s="51">
        <f t="shared" si="40"/>
        <v>0.15559715877558461</v>
      </c>
      <c r="T223" s="133">
        <f>'Price Deck'!F217</f>
        <v>79.290914460233537</v>
      </c>
      <c r="U223" s="85">
        <f t="shared" si="41"/>
        <v>63102.456564044594</v>
      </c>
      <c r="V223" s="85">
        <f t="shared" si="42"/>
        <v>9818.5629531250779</v>
      </c>
      <c r="W223" s="85">
        <f t="shared" si="43"/>
        <v>12.337441006730256</v>
      </c>
    </row>
    <row r="224" spans="1:23">
      <c r="A224" t="str">
        <f>'Price Deck'!A218</f>
        <v>03/2034</v>
      </c>
      <c r="B224" s="51" t="e">
        <f>'[1]Oil Production'!#REF!</f>
        <v>#REF!</v>
      </c>
      <c r="C224" s="51">
        <f>'[1]Oil Production'!A220</f>
        <v>214</v>
      </c>
      <c r="D224" s="51">
        <f>'[1]Oil Production'!B220</f>
        <v>26.113459231843724</v>
      </c>
      <c r="E224" s="51">
        <f>'[1]Oil Production'!C220</f>
        <v>794.28438496857996</v>
      </c>
      <c r="F224" s="51">
        <f>'[1]Oil Production'!D220</f>
        <v>282850.29624267446</v>
      </c>
      <c r="I224" s="51">
        <f t="shared" si="33"/>
        <v>126.28106092939791</v>
      </c>
      <c r="J224" s="133">
        <f>'Price Deck'!F218*$B$2</f>
        <v>506.2059804024509</v>
      </c>
      <c r="K224" s="155">
        <f t="shared" si="34"/>
        <v>0.24960253235695584</v>
      </c>
      <c r="L224" s="1">
        <v>0.1</v>
      </c>
      <c r="M224" s="155">
        <f t="shared" si="35"/>
        <v>0.28069924608574015</v>
      </c>
      <c r="N224" s="155">
        <f t="shared" si="36"/>
        <v>0.24960253235695584</v>
      </c>
      <c r="O224" s="155">
        <f t="shared" si="37"/>
        <v>0.29091319608049016</v>
      </c>
      <c r="Q224" s="51">
        <f t="shared" si="38"/>
        <v>-9.1420567745312833E-2</v>
      </c>
      <c r="R224" s="155">
        <f t="shared" si="39"/>
        <v>0.15818196461164302</v>
      </c>
      <c r="S224" s="51">
        <f t="shared" si="40"/>
        <v>0.15818196461164302</v>
      </c>
      <c r="T224" s="133">
        <f>'Price Deck'!F218</f>
        <v>80.480278177137023</v>
      </c>
      <c r="U224" s="85">
        <f t="shared" si="41"/>
        <v>63924.228254027505</v>
      </c>
      <c r="V224" s="85">
        <f t="shared" si="42"/>
        <v>10111.66001150517</v>
      </c>
      <c r="W224" s="85">
        <f t="shared" si="43"/>
        <v>12.730528514551073</v>
      </c>
    </row>
    <row r="225" spans="1:23">
      <c r="A225" t="str">
        <f>'Price Deck'!A219</f>
        <v>04/2034</v>
      </c>
      <c r="B225" s="51" t="e">
        <f>'[1]Oil Production'!#REF!</f>
        <v>#REF!</v>
      </c>
      <c r="C225" s="51">
        <f>'[1]Oil Production'!A221</f>
        <v>215</v>
      </c>
      <c r="D225" s="51">
        <f>'[1]Oil Production'!B221</f>
        <v>26.062828061198172</v>
      </c>
      <c r="E225" s="51">
        <f>'[1]Oil Production'!C221</f>
        <v>792.74435352811111</v>
      </c>
      <c r="F225" s="51">
        <f>'[1]Oil Production'!D221</f>
        <v>283643.0405962026</v>
      </c>
      <c r="I225" s="51">
        <f t="shared" si="33"/>
        <v>126.03621562229203</v>
      </c>
      <c r="J225" s="133">
        <f>'Price Deck'!F219*$B$2</f>
        <v>506.2059804024509</v>
      </c>
      <c r="K225" s="155">
        <f t="shared" si="34"/>
        <v>0.24960253235695584</v>
      </c>
      <c r="L225" s="1">
        <v>0.1</v>
      </c>
      <c r="M225" s="155">
        <f t="shared" si="35"/>
        <v>0.28069924608574015</v>
      </c>
      <c r="N225" s="155">
        <f t="shared" si="36"/>
        <v>0.24960253235695584</v>
      </c>
      <c r="O225" s="155">
        <f t="shared" si="37"/>
        <v>0.29091319608049016</v>
      </c>
      <c r="Q225" s="51">
        <f t="shared" si="38"/>
        <v>-9.175110890990576E-2</v>
      </c>
      <c r="R225" s="155">
        <f t="shared" si="39"/>
        <v>0.15785142344705008</v>
      </c>
      <c r="S225" s="51">
        <f t="shared" si="40"/>
        <v>0.15785142344705008</v>
      </c>
      <c r="T225" s="133">
        <f>'Price Deck'!F219</f>
        <v>80.480278177137023</v>
      </c>
      <c r="U225" s="85">
        <f t="shared" si="41"/>
        <v>63800.286095297037</v>
      </c>
      <c r="V225" s="85">
        <f t="shared" si="42"/>
        <v>10070.965976471674</v>
      </c>
      <c r="W225" s="85">
        <f t="shared" si="43"/>
        <v>12.70392646967564</v>
      </c>
    </row>
    <row r="226" spans="1:23">
      <c r="A226" t="str">
        <f>'Price Deck'!A220</f>
        <v>05/2034</v>
      </c>
      <c r="B226" s="51" t="e">
        <f>'[1]Oil Production'!#REF!</f>
        <v>#REF!</v>
      </c>
      <c r="C226" s="51">
        <f>'[1]Oil Production'!A222</f>
        <v>216</v>
      </c>
      <c r="D226" s="51">
        <f>'[1]Oil Production'!B222</f>
        <v>26.012529325224914</v>
      </c>
      <c r="E226" s="51">
        <f>'[1]Oil Production'!C222</f>
        <v>791.21443364225786</v>
      </c>
      <c r="F226" s="51">
        <f>'[1]Oil Production'!D222</f>
        <v>284434.25502984488</v>
      </c>
      <c r="I226" s="51">
        <f t="shared" si="33"/>
        <v>125.79297792307656</v>
      </c>
      <c r="J226" s="133">
        <f>'Price Deck'!F220*$B$2</f>
        <v>506.2059804024509</v>
      </c>
      <c r="K226" s="155">
        <f t="shared" si="34"/>
        <v>0.24960253235695584</v>
      </c>
      <c r="L226" s="1">
        <v>0.1</v>
      </c>
      <c r="M226" s="155">
        <f t="shared" si="35"/>
        <v>0.28069924608574015</v>
      </c>
      <c r="N226" s="155">
        <f t="shared" si="36"/>
        <v>0.24960253235695584</v>
      </c>
      <c r="O226" s="155">
        <f t="shared" si="37"/>
        <v>0.29091319608049016</v>
      </c>
      <c r="Q226" s="51">
        <f t="shared" si="38"/>
        <v>-9.2079479803846648E-2</v>
      </c>
      <c r="R226" s="155">
        <f t="shared" si="39"/>
        <v>0.15752305255310919</v>
      </c>
      <c r="S226" s="51">
        <f t="shared" si="40"/>
        <v>0.15752305255310919</v>
      </c>
      <c r="T226" s="133">
        <f>'Price Deck'!F220</f>
        <v>80.480278177137023</v>
      </c>
      <c r="U226" s="85">
        <f t="shared" si="41"/>
        <v>63677.157717294838</v>
      </c>
      <c r="V226" s="85">
        <f t="shared" si="42"/>
        <v>10030.620261534057</v>
      </c>
      <c r="W226" s="85">
        <f t="shared" si="43"/>
        <v>12.677499088786002</v>
      </c>
    </row>
    <row r="227" spans="1:23">
      <c r="A227" t="str">
        <f>'Price Deck'!A221</f>
        <v>06/2034</v>
      </c>
      <c r="B227" s="51" t="e">
        <f>'[1]Oil Production'!#REF!</f>
        <v>#REF!</v>
      </c>
      <c r="C227" s="51">
        <f>'[1]Oil Production'!A223</f>
        <v>217</v>
      </c>
      <c r="D227" s="51">
        <f>'[1]Oil Production'!B223</f>
        <v>25.962559317265129</v>
      </c>
      <c r="E227" s="51">
        <f>'[1]Oil Production'!C223</f>
        <v>789.69451256681441</v>
      </c>
      <c r="F227" s="51">
        <f>'[1]Oil Production'!D223</f>
        <v>285223.94954241172</v>
      </c>
      <c r="I227" s="51">
        <f t="shared" si="33"/>
        <v>125.55132990686441</v>
      </c>
      <c r="J227" s="133">
        <f>'Price Deck'!F221*$B$2</f>
        <v>506.2059804024509</v>
      </c>
      <c r="K227" s="155">
        <f t="shared" si="34"/>
        <v>0.24960253235695584</v>
      </c>
      <c r="L227" s="1">
        <v>0.1</v>
      </c>
      <c r="M227" s="155">
        <f t="shared" si="35"/>
        <v>0.28069924608574015</v>
      </c>
      <c r="N227" s="155">
        <f t="shared" si="36"/>
        <v>0.24960253235695584</v>
      </c>
      <c r="O227" s="155">
        <f t="shared" si="37"/>
        <v>0.29091319608049016</v>
      </c>
      <c r="Q227" s="51">
        <f t="shared" si="38"/>
        <v>-9.2405704625733054E-2</v>
      </c>
      <c r="R227" s="155">
        <f t="shared" si="39"/>
        <v>0.15719682773122279</v>
      </c>
      <c r="S227" s="51">
        <f t="shared" si="40"/>
        <v>0.15719682773122279</v>
      </c>
      <c r="T227" s="133">
        <f>'Price Deck'!F221</f>
        <v>80.480278177137023</v>
      </c>
      <c r="U227" s="85">
        <f t="shared" si="41"/>
        <v>63554.834046335855</v>
      </c>
      <c r="V227" s="85">
        <f t="shared" si="42"/>
        <v>9990.6182990683101</v>
      </c>
      <c r="W227" s="85">
        <f t="shared" si="43"/>
        <v>12.651244424372297</v>
      </c>
    </row>
    <row r="228" spans="1:23">
      <c r="A228" t="str">
        <f>'Price Deck'!A222</f>
        <v>07/2034</v>
      </c>
      <c r="B228" s="51" t="e">
        <f>'[1]Oil Production'!#REF!</f>
        <v>#REF!</v>
      </c>
      <c r="C228" s="51">
        <f>'[1]Oil Production'!A224</f>
        <v>218</v>
      </c>
      <c r="D228" s="51">
        <f>'[1]Oil Production'!B224</f>
        <v>25.912914388825456</v>
      </c>
      <c r="E228" s="51">
        <f>'[1]Oil Production'!C224</f>
        <v>788.18447932677429</v>
      </c>
      <c r="F228" s="51">
        <f>'[1]Oil Production'!D224</f>
        <v>286012.13402173849</v>
      </c>
      <c r="I228" s="51">
        <f t="shared" si="33"/>
        <v>125.31125393004854</v>
      </c>
      <c r="J228" s="133">
        <f>'Price Deck'!F222*$B$2</f>
        <v>506.2059804024509</v>
      </c>
      <c r="K228" s="155">
        <f t="shared" si="34"/>
        <v>0.24960253235695584</v>
      </c>
      <c r="L228" s="1">
        <v>0.1</v>
      </c>
      <c r="M228" s="155">
        <f t="shared" si="35"/>
        <v>0.28069924608574015</v>
      </c>
      <c r="N228" s="155">
        <f t="shared" si="36"/>
        <v>0.24960253235695584</v>
      </c>
      <c r="O228" s="155">
        <f t="shared" si="37"/>
        <v>0.29091319608049016</v>
      </c>
      <c r="Q228" s="51">
        <f t="shared" si="38"/>
        <v>-9.272980719443448E-2</v>
      </c>
      <c r="R228" s="155">
        <f t="shared" si="39"/>
        <v>0.15687272516252138</v>
      </c>
      <c r="S228" s="51">
        <f t="shared" si="40"/>
        <v>0.15687272516252138</v>
      </c>
      <c r="T228" s="133">
        <f>'Price Deck'!F222</f>
        <v>80.480278177137023</v>
      </c>
      <c r="U228" s="85">
        <f t="shared" si="41"/>
        <v>63433.306151120698</v>
      </c>
      <c r="V228" s="85">
        <f t="shared" si="42"/>
        <v>9950.9556019948341</v>
      </c>
      <c r="W228" s="85">
        <f t="shared" si="43"/>
        <v>12.625160559485282</v>
      </c>
    </row>
    <row r="229" spans="1:23">
      <c r="A229" t="str">
        <f>'Price Deck'!A223</f>
        <v>08/2034</v>
      </c>
      <c r="B229" s="51" t="e">
        <f>'[1]Oil Production'!#REF!</f>
        <v>#REF!</v>
      </c>
      <c r="C229" s="51">
        <f>'[1]Oil Production'!A225</f>
        <v>219</v>
      </c>
      <c r="D229" s="51">
        <f>'[1]Oil Production'!B225</f>
        <v>25.863590948403452</v>
      </c>
      <c r="E229" s="51">
        <f>'[1]Oil Production'!C225</f>
        <v>786.68422468060498</v>
      </c>
      <c r="F229" s="51">
        <f>'[1]Oil Production'!D225</f>
        <v>286798.81824641908</v>
      </c>
      <c r="I229" s="51">
        <f t="shared" si="33"/>
        <v>125.07273262462213</v>
      </c>
      <c r="J229" s="133">
        <f>'Price Deck'!F223*$B$2</f>
        <v>506.2059804024509</v>
      </c>
      <c r="K229" s="155">
        <f t="shared" si="34"/>
        <v>0.24960253235695584</v>
      </c>
      <c r="L229" s="1">
        <v>0.1</v>
      </c>
      <c r="M229" s="155">
        <f t="shared" si="35"/>
        <v>0.28069924608574015</v>
      </c>
      <c r="N229" s="155">
        <f t="shared" si="36"/>
        <v>0.24960253235695584</v>
      </c>
      <c r="O229" s="155">
        <f t="shared" si="37"/>
        <v>0.29091319608049016</v>
      </c>
      <c r="Q229" s="51">
        <f t="shared" si="38"/>
        <v>-9.3051810956760128E-2</v>
      </c>
      <c r="R229" s="155">
        <f t="shared" si="39"/>
        <v>0.15655072140019571</v>
      </c>
      <c r="S229" s="51">
        <f t="shared" si="40"/>
        <v>0.15655072140019571</v>
      </c>
      <c r="T229" s="133">
        <f>'Price Deck'!F223</f>
        <v>80.480278177137023</v>
      </c>
      <c r="U229" s="85">
        <f t="shared" si="41"/>
        <v>63312.565239860451</v>
      </c>
      <c r="V229" s="85">
        <f t="shared" si="42"/>
        <v>9911.6277619971079</v>
      </c>
      <c r="W229" s="85">
        <f t="shared" si="43"/>
        <v>12.599245607119228</v>
      </c>
    </row>
    <row r="230" spans="1:23">
      <c r="A230" t="str">
        <f>'Price Deck'!A224</f>
        <v>09/2034</v>
      </c>
      <c r="B230" s="51" t="e">
        <f>'[1]Oil Production'!#REF!</f>
        <v>#REF!</v>
      </c>
      <c r="C230" s="51">
        <f>'[1]Oil Production'!A226</f>
        <v>220</v>
      </c>
      <c r="D230" s="51">
        <f>'[1]Oil Production'!B226</f>
        <v>25.81458546034213</v>
      </c>
      <c r="E230" s="51">
        <f>'[1]Oil Production'!C226</f>
        <v>785.19364108540651</v>
      </c>
      <c r="F230" s="51">
        <f>'[1]Oil Production'!D226</f>
        <v>287584.01188750449</v>
      </c>
      <c r="I230" s="51">
        <f t="shared" si="33"/>
        <v>124.8357488926392</v>
      </c>
      <c r="J230" s="133">
        <f>'Price Deck'!F224*$B$2</f>
        <v>506.2059804024509</v>
      </c>
      <c r="K230" s="155">
        <f t="shared" si="34"/>
        <v>0.24960253235695584</v>
      </c>
      <c r="L230" s="1">
        <v>0.1</v>
      </c>
      <c r="M230" s="155">
        <f t="shared" si="35"/>
        <v>0.28069924608574015</v>
      </c>
      <c r="N230" s="155">
        <f t="shared" si="36"/>
        <v>0.24960253235695584</v>
      </c>
      <c r="O230" s="155">
        <f t="shared" si="37"/>
        <v>0.29091319608049016</v>
      </c>
      <c r="Q230" s="51">
        <f t="shared" si="38"/>
        <v>-9.3371738994937087E-2</v>
      </c>
      <c r="R230" s="155">
        <f t="shared" si="39"/>
        <v>0.15623079336201875</v>
      </c>
      <c r="S230" s="51">
        <f t="shared" si="40"/>
        <v>0.15623079336201875</v>
      </c>
      <c r="T230" s="133">
        <f>'Price Deck'!F224</f>
        <v>80.480278177137023</v>
      </c>
      <c r="U230" s="85">
        <f t="shared" si="41"/>
        <v>63192.602657472606</v>
      </c>
      <c r="V230" s="85">
        <f t="shared" si="42"/>
        <v>9872.6304477877602</v>
      </c>
      <c r="W230" s="85">
        <f t="shared" si="43"/>
        <v>12.573497709610082</v>
      </c>
    </row>
    <row r="231" spans="1:23">
      <c r="A231" t="str">
        <f>'Price Deck'!A225</f>
        <v>10/2034</v>
      </c>
      <c r="B231" s="51" t="e">
        <f>'[1]Oil Production'!#REF!</f>
        <v>#REF!</v>
      </c>
      <c r="C231" s="51">
        <f>'[1]Oil Production'!A227</f>
        <v>221</v>
      </c>
      <c r="D231" s="51">
        <f>'[1]Oil Production'!B227</f>
        <v>25.765894443712401</v>
      </c>
      <c r="E231" s="51">
        <f>'[1]Oil Production'!C227</f>
        <v>783.71262266291887</v>
      </c>
      <c r="F231" s="51">
        <f>'[1]Oil Production'!D227</f>
        <v>288367.72451016738</v>
      </c>
      <c r="I231" s="51">
        <f t="shared" si="33"/>
        <v>124.60028590081025</v>
      </c>
      <c r="J231" s="133">
        <f>'Price Deck'!F225*$B$2</f>
        <v>506.2059804024509</v>
      </c>
      <c r="K231" s="155">
        <f t="shared" si="34"/>
        <v>0.24960253235695584</v>
      </c>
      <c r="L231" s="1">
        <v>0.1</v>
      </c>
      <c r="M231" s="155">
        <f t="shared" si="35"/>
        <v>0.28069924608574015</v>
      </c>
      <c r="N231" s="155">
        <f t="shared" si="36"/>
        <v>0.24960253235695584</v>
      </c>
      <c r="O231" s="155">
        <f t="shared" si="37"/>
        <v>0.29091319608049016</v>
      </c>
      <c r="Q231" s="51">
        <f t="shared" si="38"/>
        <v>-9.3689614033906174E-2</v>
      </c>
      <c r="R231" s="155">
        <f t="shared" si="39"/>
        <v>0.15591291832304965</v>
      </c>
      <c r="S231" s="51">
        <f t="shared" si="40"/>
        <v>0.15591291832304965</v>
      </c>
      <c r="T231" s="133">
        <f>'Price Deck'!F225</f>
        <v>80.480278177137023</v>
      </c>
      <c r="U231" s="85">
        <f t="shared" si="41"/>
        <v>63073.409882845335</v>
      </c>
      <c r="V231" s="85">
        <f t="shared" si="42"/>
        <v>9833.9594034202983</v>
      </c>
      <c r="W231" s="85">
        <f t="shared" si="43"/>
        <v>12.547915038048282</v>
      </c>
    </row>
    <row r="232" spans="1:23">
      <c r="A232" t="str">
        <f>'Price Deck'!A226</f>
        <v>11/2034</v>
      </c>
      <c r="B232" s="51" t="e">
        <f>'[1]Oil Production'!#REF!</f>
        <v>#REF!</v>
      </c>
      <c r="C232" s="51">
        <f>'[1]Oil Production'!A228</f>
        <v>222</v>
      </c>
      <c r="D232" s="51">
        <f>'[1]Oil Production'!B228</f>
        <v>25.71751447122297</v>
      </c>
      <c r="E232" s="51">
        <f>'[1]Oil Production'!C228</f>
        <v>782.24106516636539</v>
      </c>
      <c r="F232" s="51">
        <f>'[1]Oil Production'!D228</f>
        <v>289149.96557533374</v>
      </c>
      <c r="I232" s="51">
        <f t="shared" si="33"/>
        <v>124.36632707523074</v>
      </c>
      <c r="J232" s="133">
        <f>'Price Deck'!F226*$B$2</f>
        <v>506.2059804024509</v>
      </c>
      <c r="K232" s="155">
        <f t="shared" si="34"/>
        <v>0.24960253235695584</v>
      </c>
      <c r="L232" s="1">
        <v>0.1</v>
      </c>
      <c r="M232" s="155">
        <f t="shared" si="35"/>
        <v>0.28069924608574015</v>
      </c>
      <c r="N232" s="155">
        <f t="shared" si="36"/>
        <v>0.24960253235695584</v>
      </c>
      <c r="O232" s="155">
        <f t="shared" si="37"/>
        <v>0.29091319608049016</v>
      </c>
      <c r="Q232" s="51">
        <f t="shared" si="38"/>
        <v>-9.4005458448438509E-2</v>
      </c>
      <c r="R232" s="155">
        <f t="shared" si="39"/>
        <v>0.15559707390851735</v>
      </c>
      <c r="S232" s="51">
        <f t="shared" si="40"/>
        <v>0.15559707390851735</v>
      </c>
      <c r="T232" s="133">
        <f>'Price Deck'!F226</f>
        <v>80.480278177137023</v>
      </c>
      <c r="U232" s="85">
        <f t="shared" si="41"/>
        <v>62954.978526169056</v>
      </c>
      <c r="V232" s="85">
        <f t="shared" si="42"/>
        <v>9795.610446645449</v>
      </c>
      <c r="W232" s="85">
        <f t="shared" si="43"/>
        <v>12.522495791706024</v>
      </c>
    </row>
    <row r="233" spans="1:23">
      <c r="A233" t="str">
        <f>'Price Deck'!A227</f>
        <v>12/2034</v>
      </c>
      <c r="B233" s="51" t="e">
        <f>'[1]Oil Production'!#REF!</f>
        <v>#REF!</v>
      </c>
      <c r="C233" s="51">
        <f>'[1]Oil Production'!A229</f>
        <v>223</v>
      </c>
      <c r="D233" s="51">
        <f>'[1]Oil Production'!B229</f>
        <v>25.669442168156689</v>
      </c>
      <c r="E233" s="51">
        <f>'[1]Oil Production'!C229</f>
        <v>780.77886594809934</v>
      </c>
      <c r="F233" s="51">
        <f>'[1]Oil Production'!D229</f>
        <v>289930.74444128183</v>
      </c>
      <c r="I233" s="51">
        <f t="shared" si="33"/>
        <v>124.13385609623741</v>
      </c>
      <c r="J233" s="133">
        <f>'Price Deck'!F227*$B$2</f>
        <v>506.2059804024509</v>
      </c>
      <c r="K233" s="155">
        <f t="shared" si="34"/>
        <v>0.24960253235695584</v>
      </c>
      <c r="L233" s="1">
        <v>0.1</v>
      </c>
      <c r="M233" s="155">
        <f t="shared" si="35"/>
        <v>0.28069924608574015</v>
      </c>
      <c r="N233" s="155">
        <f t="shared" si="36"/>
        <v>0.24960253235695584</v>
      </c>
      <c r="O233" s="155">
        <f t="shared" si="37"/>
        <v>0.29091319608049016</v>
      </c>
      <c r="Q233" s="51">
        <f t="shared" si="38"/>
        <v>-9.4319294270079498E-2</v>
      </c>
      <c r="R233" s="155">
        <f t="shared" si="39"/>
        <v>0.15528323808687633</v>
      </c>
      <c r="S233" s="51">
        <f t="shared" si="40"/>
        <v>0.15528323808687633</v>
      </c>
      <c r="T233" s="133">
        <f>'Price Deck'!F227</f>
        <v>80.480278177137023</v>
      </c>
      <c r="U233" s="85">
        <f t="shared" si="41"/>
        <v>62837.30032633261</v>
      </c>
      <c r="V233" s="85">
        <f t="shared" si="42"/>
        <v>9757.5794673104592</v>
      </c>
      <c r="W233" s="85">
        <f t="shared" si="43"/>
        <v>12.497238197478406</v>
      </c>
    </row>
    <row r="234" spans="1:23">
      <c r="A234" t="str">
        <f>'Price Deck'!A228</f>
        <v>01/2035</v>
      </c>
      <c r="B234" s="51" t="e">
        <f>'[1]Oil Production'!#REF!</f>
        <v>#REF!</v>
      </c>
      <c r="C234" s="51">
        <f>'[1]Oil Production'!A230</f>
        <v>224</v>
      </c>
      <c r="D234" s="51">
        <f>'[1]Oil Production'!B230</f>
        <v>25.621674211332671</v>
      </c>
      <c r="E234" s="51">
        <f>'[1]Oil Production'!C230</f>
        <v>779.32592392803542</v>
      </c>
      <c r="F234" s="51">
        <f>'[1]Oil Production'!D230</f>
        <v>290710.07036520989</v>
      </c>
      <c r="I234" s="51">
        <f t="shared" si="33"/>
        <v>123.90285689338913</v>
      </c>
      <c r="J234" s="133">
        <f>'Price Deck'!F228*$B$2</f>
        <v>506.2059804024509</v>
      </c>
      <c r="K234" s="155">
        <f t="shared" si="34"/>
        <v>0.24960253235695584</v>
      </c>
      <c r="L234" s="1">
        <v>0.1</v>
      </c>
      <c r="M234" s="155">
        <f t="shared" si="35"/>
        <v>0.28069924608574015</v>
      </c>
      <c r="N234" s="155">
        <f t="shared" si="36"/>
        <v>0.24960253235695584</v>
      </c>
      <c r="O234" s="155">
        <f t="shared" si="37"/>
        <v>0.29091319608049016</v>
      </c>
      <c r="Q234" s="51">
        <f t="shared" si="38"/>
        <v>-9.4631143193924683E-2</v>
      </c>
      <c r="R234" s="155">
        <f t="shared" si="39"/>
        <v>0.15497138916303116</v>
      </c>
      <c r="S234" s="51">
        <f t="shared" si="40"/>
        <v>0.15497138916303116</v>
      </c>
      <c r="T234" s="133">
        <f>'Price Deck'!F228</f>
        <v>80.480278177137023</v>
      </c>
      <c r="U234" s="85">
        <f t="shared" si="41"/>
        <v>62720.367148382618</v>
      </c>
      <c r="V234" s="85">
        <f t="shared" si="42"/>
        <v>9719.8624258001983</v>
      </c>
      <c r="W234" s="85">
        <f t="shared" si="43"/>
        <v>12.472140509338107</v>
      </c>
    </row>
    <row r="235" spans="1:23">
      <c r="A235" t="str">
        <f>'Price Deck'!A229</f>
        <v>02/2035</v>
      </c>
      <c r="B235" s="51" t="e">
        <f>'[1]Oil Production'!#REF!</f>
        <v>#REF!</v>
      </c>
      <c r="C235" s="51">
        <f>'[1]Oil Production'!A231</f>
        <v>225</v>
      </c>
      <c r="D235" s="51">
        <f>'[1]Oil Production'!B231</f>
        <v>25.574207328093379</v>
      </c>
      <c r="E235" s="51">
        <f>'[1]Oil Production'!C231</f>
        <v>777.88213956284028</v>
      </c>
      <c r="F235" s="51">
        <f>'[1]Oil Production'!D231</f>
        <v>291487.95250477275</v>
      </c>
      <c r="I235" s="51">
        <f t="shared" si="33"/>
        <v>123.67331364056875</v>
      </c>
      <c r="J235" s="133">
        <f>'Price Deck'!F229*$B$2</f>
        <v>513.79907010848763</v>
      </c>
      <c r="K235" s="155">
        <f t="shared" si="34"/>
        <v>0.25256383734231019</v>
      </c>
      <c r="L235" s="1">
        <v>0.1</v>
      </c>
      <c r="M235" s="155">
        <f t="shared" si="35"/>
        <v>0.28609033977702625</v>
      </c>
      <c r="N235" s="155">
        <f t="shared" si="36"/>
        <v>0.25256383734231019</v>
      </c>
      <c r="O235" s="155">
        <f t="shared" si="37"/>
        <v>0.29243181402169749</v>
      </c>
      <c r="Q235" s="51">
        <f t="shared" si="38"/>
        <v>-9.4941026585232194E-2</v>
      </c>
      <c r="R235" s="155">
        <f t="shared" si="39"/>
        <v>0.15762281075707801</v>
      </c>
      <c r="S235" s="51">
        <f t="shared" si="40"/>
        <v>0.15762281075707801</v>
      </c>
      <c r="T235" s="133">
        <f>'Price Deck'!F229</f>
        <v>81.687482349794067</v>
      </c>
      <c r="U235" s="85">
        <f t="shared" si="41"/>
        <v>63543.233545759562</v>
      </c>
      <c r="V235" s="85">
        <f t="shared" si="42"/>
        <v>10015.863076076072</v>
      </c>
      <c r="W235" s="85">
        <f t="shared" si="43"/>
        <v>12.875810571643742</v>
      </c>
    </row>
    <row r="236" spans="1:23">
      <c r="A236" t="str">
        <f>'Price Deck'!A230</f>
        <v>03/2035</v>
      </c>
      <c r="B236" s="51" t="e">
        <f>'[1]Oil Production'!#REF!</f>
        <v>#REF!</v>
      </c>
      <c r="C236" s="51">
        <f>'[1]Oil Production'!A232</f>
        <v>226</v>
      </c>
      <c r="D236" s="51">
        <f>'[1]Oil Production'!B232</f>
        <v>25.527038295316128</v>
      </c>
      <c r="E236" s="51">
        <f>'[1]Oil Production'!C232</f>
        <v>776.44741481586561</v>
      </c>
      <c r="F236" s="51">
        <f>'[1]Oil Production'!D232</f>
        <v>292264.39991958864</v>
      </c>
      <c r="I236" s="51">
        <f t="shared" si="33"/>
        <v>123.44521075120277</v>
      </c>
      <c r="J236" s="133">
        <f>'Price Deck'!F230*$B$2</f>
        <v>513.79907010848763</v>
      </c>
      <c r="K236" s="155">
        <f t="shared" si="34"/>
        <v>0.25256383734231019</v>
      </c>
      <c r="L236" s="1">
        <v>0.1</v>
      </c>
      <c r="M236" s="155">
        <f t="shared" si="35"/>
        <v>0.28609033977702625</v>
      </c>
      <c r="N236" s="155">
        <f t="shared" si="36"/>
        <v>0.25256383734231019</v>
      </c>
      <c r="O236" s="155">
        <f t="shared" si="37"/>
        <v>0.29243181402169749</v>
      </c>
      <c r="Q236" s="51">
        <f t="shared" si="38"/>
        <v>-9.5248965485876275E-2</v>
      </c>
      <c r="R236" s="155">
        <f t="shared" si="39"/>
        <v>0.15731487185643392</v>
      </c>
      <c r="S236" s="51">
        <f t="shared" si="40"/>
        <v>0.15731487185643392</v>
      </c>
      <c r="T236" s="133">
        <f>'Price Deck'!F230</f>
        <v>81.687482349794067</v>
      </c>
      <c r="U236" s="85">
        <f t="shared" si="41"/>
        <v>63426.034493314255</v>
      </c>
      <c r="V236" s="85">
        <f t="shared" si="42"/>
        <v>9977.8584886774897</v>
      </c>
      <c r="W236" s="85">
        <f t="shared" si="43"/>
        <v>12.850655818132561</v>
      </c>
    </row>
    <row r="237" spans="1:23">
      <c r="A237" t="str">
        <f>'Price Deck'!A231</f>
        <v>04/2035</v>
      </c>
      <c r="B237" s="51" t="e">
        <f>'[1]Oil Production'!#REF!</f>
        <v>#REF!</v>
      </c>
      <c r="C237" s="51">
        <f>'[1]Oil Production'!A233</f>
        <v>227</v>
      </c>
      <c r="D237" s="51">
        <f>'[1]Oil Production'!B233</f>
        <v>25.480163938448101</v>
      </c>
      <c r="E237" s="51">
        <f>'[1]Oil Production'!C233</f>
        <v>775.02165312779641</v>
      </c>
      <c r="F237" s="51">
        <f>'[1]Oil Production'!D233</f>
        <v>293039.42157271644</v>
      </c>
      <c r="I237" s="51">
        <f t="shared" si="33"/>
        <v>123.21853287359474</v>
      </c>
      <c r="J237" s="133">
        <f>'Price Deck'!F231*$B$2</f>
        <v>513.79907010848763</v>
      </c>
      <c r="K237" s="155">
        <f t="shared" si="34"/>
        <v>0.25256383734231019</v>
      </c>
      <c r="L237" s="1">
        <v>0.1</v>
      </c>
      <c r="M237" s="155">
        <f t="shared" si="35"/>
        <v>0.28609033977702625</v>
      </c>
      <c r="N237" s="155">
        <f t="shared" si="36"/>
        <v>0.25256383734231019</v>
      </c>
      <c r="O237" s="155">
        <f t="shared" si="37"/>
        <v>0.29243181402169749</v>
      </c>
      <c r="Q237" s="51">
        <f t="shared" si="38"/>
        <v>-9.5554980620647101E-2</v>
      </c>
      <c r="R237" s="155">
        <f t="shared" si="39"/>
        <v>0.15700885672166309</v>
      </c>
      <c r="S237" s="51">
        <f t="shared" si="40"/>
        <v>0.15700885672166309</v>
      </c>
      <c r="T237" s="133">
        <f>'Price Deck'!F231</f>
        <v>81.687482349794067</v>
      </c>
      <c r="U237" s="85">
        <f t="shared" si="41"/>
        <v>63309.567610585087</v>
      </c>
      <c r="V237" s="85">
        <f t="shared" si="42"/>
        <v>9940.162830080797</v>
      </c>
      <c r="W237" s="85">
        <f t="shared" si="43"/>
        <v>12.8256582122122</v>
      </c>
    </row>
    <row r="238" spans="1:23">
      <c r="A238" t="str">
        <f>'Price Deck'!A232</f>
        <v>05/2035</v>
      </c>
      <c r="B238" s="51" t="e">
        <f>'[1]Oil Production'!#REF!</f>
        <v>#REF!</v>
      </c>
      <c r="C238" s="51">
        <f>'[1]Oil Production'!A234</f>
        <v>228</v>
      </c>
      <c r="D238" s="51">
        <f>'[1]Oil Production'!B234</f>
        <v>25.433581130564338</v>
      </c>
      <c r="E238" s="51">
        <f>'[1]Oil Production'!C234</f>
        <v>773.60475938799868</v>
      </c>
      <c r="F238" s="51">
        <f>'[1]Oil Production'!D234</f>
        <v>293813.02633210446</v>
      </c>
      <c r="I238" s="51">
        <f t="shared" si="33"/>
        <v>122.99326488637004</v>
      </c>
      <c r="J238" s="133">
        <f>'Price Deck'!F232*$B$2</f>
        <v>513.79907010848763</v>
      </c>
      <c r="K238" s="155">
        <f t="shared" si="34"/>
        <v>0.25256383734231019</v>
      </c>
      <c r="L238" s="1">
        <v>0.1</v>
      </c>
      <c r="M238" s="155">
        <f t="shared" si="35"/>
        <v>0.28609033977702625</v>
      </c>
      <c r="N238" s="155">
        <f t="shared" si="36"/>
        <v>0.25256383734231019</v>
      </c>
      <c r="O238" s="155">
        <f t="shared" si="37"/>
        <v>0.29243181402169749</v>
      </c>
      <c r="Q238" s="51">
        <f t="shared" si="38"/>
        <v>-9.5859092403400445E-2</v>
      </c>
      <c r="R238" s="155">
        <f t="shared" si="39"/>
        <v>0.15670474493890973</v>
      </c>
      <c r="S238" s="51">
        <f t="shared" si="40"/>
        <v>0.15670474493890973</v>
      </c>
      <c r="T238" s="133">
        <f>'Price Deck'!F232</f>
        <v>81.687482349794067</v>
      </c>
      <c r="U238" s="85">
        <f t="shared" si="41"/>
        <v>63193.825128223827</v>
      </c>
      <c r="V238" s="85">
        <f t="shared" si="42"/>
        <v>9902.7722484323804</v>
      </c>
      <c r="W238" s="85">
        <f t="shared" si="43"/>
        <v>12.80081608632617</v>
      </c>
    </row>
    <row r="239" spans="1:23">
      <c r="A239" t="str">
        <f>'Price Deck'!A233</f>
        <v>06/2035</v>
      </c>
      <c r="B239" s="51" t="e">
        <f>'[1]Oil Production'!#REF!</f>
        <v>#REF!</v>
      </c>
      <c r="C239" s="51">
        <f>'[1]Oil Production'!A235</f>
        <v>229</v>
      </c>
      <c r="D239" s="51">
        <f>'[1]Oil Production'!B235</f>
        <v>25.387286791448069</v>
      </c>
      <c r="E239" s="51">
        <f>'[1]Oil Production'!C235</f>
        <v>772.19663990654544</v>
      </c>
      <c r="F239" s="51">
        <f>'[1]Oil Production'!D235</f>
        <v>294585.22297201102</v>
      </c>
      <c r="I239" s="51">
        <f t="shared" si="33"/>
        <v>122.76939189402826</v>
      </c>
      <c r="J239" s="133">
        <f>'Price Deck'!F233*$B$2</f>
        <v>513.79907010848763</v>
      </c>
      <c r="K239" s="155">
        <f t="shared" si="34"/>
        <v>0.25256383734231019</v>
      </c>
      <c r="L239" s="1">
        <v>0.1</v>
      </c>
      <c r="M239" s="155">
        <f t="shared" si="35"/>
        <v>0.28609033977702625</v>
      </c>
      <c r="N239" s="155">
        <f t="shared" si="36"/>
        <v>0.25256383734231019</v>
      </c>
      <c r="O239" s="155">
        <f t="shared" si="37"/>
        <v>0.29243181402169749</v>
      </c>
      <c r="Q239" s="51">
        <f t="shared" si="38"/>
        <v>-9.6161320943061859E-2</v>
      </c>
      <c r="R239" s="155">
        <f t="shared" si="39"/>
        <v>0.15640251639924835</v>
      </c>
      <c r="S239" s="51">
        <f t="shared" si="40"/>
        <v>0.15640251639924835</v>
      </c>
      <c r="T239" s="133">
        <f>'Price Deck'!F233</f>
        <v>81.687482349794067</v>
      </c>
      <c r="U239" s="85">
        <f t="shared" si="41"/>
        <v>63078.799392936213</v>
      </c>
      <c r="V239" s="85">
        <f t="shared" si="42"/>
        <v>9865.6829564986019</v>
      </c>
      <c r="W239" s="85">
        <f t="shared" si="43"/>
        <v>12.776127797826975</v>
      </c>
    </row>
    <row r="240" spans="1:23">
      <c r="A240" t="str">
        <f>'Price Deck'!A234</f>
        <v>07/2035</v>
      </c>
      <c r="B240" s="51" t="e">
        <f>'[1]Oil Production'!#REF!</f>
        <v>#REF!</v>
      </c>
      <c r="C240" s="51">
        <f>'[1]Oil Production'!A236</f>
        <v>230</v>
      </c>
      <c r="D240" s="51">
        <f>'[1]Oil Production'!B236</f>
        <v>25.341277886692719</v>
      </c>
      <c r="E240" s="51">
        <f>'[1]Oil Production'!C236</f>
        <v>770.79720238690356</v>
      </c>
      <c r="F240" s="51">
        <f>'[1]Oil Production'!D236</f>
        <v>295356.02017439791</v>
      </c>
      <c r="I240" s="51">
        <f t="shared" si="33"/>
        <v>122.5468992226008</v>
      </c>
      <c r="J240" s="133">
        <f>'Price Deck'!F234*$B$2</f>
        <v>513.79907010848763</v>
      </c>
      <c r="K240" s="155">
        <f t="shared" si="34"/>
        <v>0.25256383734231019</v>
      </c>
      <c r="L240" s="1">
        <v>0.1</v>
      </c>
      <c r="M240" s="155">
        <f t="shared" si="35"/>
        <v>0.28609033977702625</v>
      </c>
      <c r="N240" s="155">
        <f t="shared" si="36"/>
        <v>0.25256383734231019</v>
      </c>
      <c r="O240" s="155">
        <f t="shared" si="37"/>
        <v>0.29243181402169749</v>
      </c>
      <c r="Q240" s="51">
        <f t="shared" si="38"/>
        <v>-9.6461686049488932E-2</v>
      </c>
      <c r="R240" s="155">
        <f t="shared" si="39"/>
        <v>0.15610215129282126</v>
      </c>
      <c r="S240" s="51">
        <f t="shared" si="40"/>
        <v>0.15610215129282126</v>
      </c>
      <c r="T240" s="133">
        <f>'Price Deck'!F234</f>
        <v>81.687482349794067</v>
      </c>
      <c r="U240" s="85">
        <f t="shared" si="41"/>
        <v>62964.482865250829</v>
      </c>
      <c r="V240" s="85">
        <f t="shared" si="42"/>
        <v>9828.8912303056368</v>
      </c>
      <c r="W240" s="85">
        <f t="shared" si="43"/>
        <v>12.751591728497219</v>
      </c>
    </row>
    <row r="241" spans="1:23">
      <c r="A241" t="str">
        <f>'Price Deck'!A235</f>
        <v>08/2035</v>
      </c>
      <c r="B241" s="51" t="e">
        <f>'[1]Oil Production'!#REF!</f>
        <v>#REF!</v>
      </c>
      <c r="C241" s="51">
        <f>'[1]Oil Production'!A237</f>
        <v>231</v>
      </c>
      <c r="D241" s="51">
        <f>'[1]Oil Production'!B237</f>
        <v>25.295551426824961</v>
      </c>
      <c r="E241" s="51">
        <f>'[1]Oil Production'!C237</f>
        <v>769.40635589925921</v>
      </c>
      <c r="F241" s="51">
        <f>'[1]Oil Production'!D237</f>
        <v>296125.42653029715</v>
      </c>
      <c r="I241" s="51">
        <f t="shared" si="33"/>
        <v>122.32577241540994</v>
      </c>
      <c r="J241" s="133">
        <f>'Price Deck'!F235*$B$2</f>
        <v>513.79907010848763</v>
      </c>
      <c r="K241" s="155">
        <f t="shared" si="34"/>
        <v>0.25256383734231019</v>
      </c>
      <c r="L241" s="1">
        <v>0.1</v>
      </c>
      <c r="M241" s="155">
        <f t="shared" si="35"/>
        <v>0.28609033977702625</v>
      </c>
      <c r="N241" s="155">
        <f t="shared" si="36"/>
        <v>0.25256383734231019</v>
      </c>
      <c r="O241" s="155">
        <f t="shared" si="37"/>
        <v>0.29243181402169749</v>
      </c>
      <c r="Q241" s="51">
        <f t="shared" si="38"/>
        <v>-9.676020723919658E-2</v>
      </c>
      <c r="R241" s="155">
        <f t="shared" si="39"/>
        <v>0.1558036301031136</v>
      </c>
      <c r="S241" s="51">
        <f t="shared" si="40"/>
        <v>0.1558036301031136</v>
      </c>
      <c r="T241" s="133">
        <f>'Price Deck'!F235</f>
        <v>81.687482349794067</v>
      </c>
      <c r="U241" s="85">
        <f t="shared" si="41"/>
        <v>62850.868117340106</v>
      </c>
      <c r="V241" s="85">
        <f t="shared" si="42"/>
        <v>9792.3934078136335</v>
      </c>
      <c r="W241" s="85">
        <f t="shared" si="43"/>
        <v>12.727206284081936</v>
      </c>
    </row>
    <row r="242" spans="1:23">
      <c r="A242" t="str">
        <f>'Price Deck'!A236</f>
        <v>09/2035</v>
      </c>
      <c r="B242" s="51" t="e">
        <f>'[1]Oil Production'!#REF!</f>
        <v>#REF!</v>
      </c>
      <c r="C242" s="51">
        <f>'[1]Oil Production'!A238</f>
        <v>232</v>
      </c>
      <c r="D242" s="51">
        <f>'[1]Oil Production'!B238</f>
        <v>25.250104466448349</v>
      </c>
      <c r="E242" s="51">
        <f>'[1]Oil Production'!C238</f>
        <v>768.02401085447059</v>
      </c>
      <c r="F242" s="51">
        <f>'[1]Oil Production'!D238</f>
        <v>296893.45054115163</v>
      </c>
      <c r="I242" s="51">
        <f t="shared" si="33"/>
        <v>122.10599722892769</v>
      </c>
      <c r="J242" s="133">
        <f>'Price Deck'!F236*$B$2</f>
        <v>513.79907010848763</v>
      </c>
      <c r="K242" s="155">
        <f t="shared" si="34"/>
        <v>0.25256383734231019</v>
      </c>
      <c r="L242" s="1">
        <v>0.1</v>
      </c>
      <c r="M242" s="155">
        <f t="shared" si="35"/>
        <v>0.28609033977702625</v>
      </c>
      <c r="N242" s="155">
        <f t="shared" si="36"/>
        <v>0.25256383734231019</v>
      </c>
      <c r="O242" s="155">
        <f t="shared" si="37"/>
        <v>0.29243181402169749</v>
      </c>
      <c r="Q242" s="51">
        <f t="shared" si="38"/>
        <v>-9.7056903740947623E-2</v>
      </c>
      <c r="R242" s="155">
        <f t="shared" si="39"/>
        <v>0.15550693360136258</v>
      </c>
      <c r="S242" s="51">
        <f t="shared" si="40"/>
        <v>0.15550693360136258</v>
      </c>
      <c r="T242" s="133">
        <f>'Price Deck'!F236</f>
        <v>81.687482349794067</v>
      </c>
      <c r="U242" s="85">
        <f t="shared" si="41"/>
        <v>62737.947830892612</v>
      </c>
      <c r="V242" s="85">
        <f t="shared" si="42"/>
        <v>9756.1858876243678</v>
      </c>
      <c r="W242" s="85">
        <f t="shared" si="43"/>
        <v>12.702969893831904</v>
      </c>
    </row>
    <row r="243" spans="1:23">
      <c r="A243" t="str">
        <f>'Price Deck'!A237</f>
        <v>10/2035</v>
      </c>
      <c r="B243" s="51" t="e">
        <f>'[1]Oil Production'!#REF!</f>
        <v>#REF!</v>
      </c>
      <c r="C243" s="51">
        <f>'[1]Oil Production'!A239</f>
        <v>233</v>
      </c>
      <c r="D243" s="51">
        <f>'[1]Oil Production'!B239</f>
        <v>25.204934103406767</v>
      </c>
      <c r="E243" s="51">
        <f>'[1]Oil Production'!C239</f>
        <v>766.65007897862256</v>
      </c>
      <c r="F243" s="51">
        <f>'[1]Oil Production'!D239</f>
        <v>297660.10062013025</v>
      </c>
      <c r="I243" s="51">
        <f t="shared" si="33"/>
        <v>121.88755962873029</v>
      </c>
      <c r="J243" s="133">
        <f>'Price Deck'!F237*$B$2</f>
        <v>513.79907010848763</v>
      </c>
      <c r="K243" s="155">
        <f t="shared" si="34"/>
        <v>0.25256383734231019</v>
      </c>
      <c r="L243" s="1">
        <v>0.1</v>
      </c>
      <c r="M243" s="155">
        <f t="shared" si="35"/>
        <v>0.28609033977702625</v>
      </c>
      <c r="N243" s="155">
        <f t="shared" si="36"/>
        <v>0.25256383734231019</v>
      </c>
      <c r="O243" s="155">
        <f t="shared" si="37"/>
        <v>0.29243181402169749</v>
      </c>
      <c r="Q243" s="51">
        <f t="shared" si="38"/>
        <v>-9.7351794501214117E-2</v>
      </c>
      <c r="R243" s="155">
        <f t="shared" si="39"/>
        <v>0.15521204284109608</v>
      </c>
      <c r="S243" s="51">
        <f t="shared" si="40"/>
        <v>0.15521204284109608</v>
      </c>
      <c r="T243" s="133">
        <f>'Price Deck'!F237</f>
        <v>81.687482349794067</v>
      </c>
      <c r="U243" s="85">
        <f t="shared" si="41"/>
        <v>62625.714795034459</v>
      </c>
      <c r="V243" s="85">
        <f t="shared" si="42"/>
        <v>9720.2651277211535</v>
      </c>
      <c r="W243" s="85">
        <f t="shared" si="43"/>
        <v>12.678881010057518</v>
      </c>
    </row>
    <row r="244" spans="1:23">
      <c r="A244" t="str">
        <f>'Price Deck'!A238</f>
        <v>11/2035</v>
      </c>
      <c r="B244" s="51" t="e">
        <f>'[1]Oil Production'!#REF!</f>
        <v>#REF!</v>
      </c>
      <c r="C244" s="51">
        <f>'[1]Oil Production'!A240</f>
        <v>234</v>
      </c>
      <c r="D244" s="51">
        <f>'[1]Oil Production'!B240</f>
        <v>25.160037477967364</v>
      </c>
      <c r="E244" s="51">
        <f>'[1]Oil Production'!C240</f>
        <v>765.28447328817401</v>
      </c>
      <c r="F244" s="51">
        <f>'[1]Oil Production'!D240</f>
        <v>298425.38509341842</v>
      </c>
      <c r="I244" s="51">
        <f t="shared" si="33"/>
        <v>121.67044578554692</v>
      </c>
      <c r="J244" s="133">
        <f>'Price Deck'!F238*$B$2</f>
        <v>513.79907010848763</v>
      </c>
      <c r="K244" s="155">
        <f t="shared" si="34"/>
        <v>0.25256383734231019</v>
      </c>
      <c r="L244" s="1">
        <v>0.1</v>
      </c>
      <c r="M244" s="155">
        <f t="shared" si="35"/>
        <v>0.28609033977702625</v>
      </c>
      <c r="N244" s="155">
        <f t="shared" si="36"/>
        <v>0.25256383734231019</v>
      </c>
      <c r="O244" s="155">
        <f t="shared" si="37"/>
        <v>0.29243181402169749</v>
      </c>
      <c r="Q244" s="51">
        <f t="shared" si="38"/>
        <v>-9.7644898189511664E-2</v>
      </c>
      <c r="R244" s="155">
        <f t="shared" si="39"/>
        <v>0.15491893915279853</v>
      </c>
      <c r="S244" s="51">
        <f t="shared" si="40"/>
        <v>0.15491893915279853</v>
      </c>
      <c r="T244" s="133">
        <f>'Price Deck'!F238</f>
        <v>81.687482349794067</v>
      </c>
      <c r="U244" s="85">
        <f t="shared" si="41"/>
        <v>62514.161904299166</v>
      </c>
      <c r="V244" s="85">
        <f t="shared" si="42"/>
        <v>9684.6276442403177</v>
      </c>
      <c r="W244" s="85">
        <f t="shared" si="43"/>
        <v>12.65493810769305</v>
      </c>
    </row>
    <row r="245" spans="1:23">
      <c r="A245" t="str">
        <f>'Price Deck'!A239</f>
        <v>01/2035</v>
      </c>
      <c r="B245" s="51" t="e">
        <f>'[1]Oil Production'!#REF!</f>
        <v>#REF!</v>
      </c>
      <c r="C245" s="51">
        <f>'[1]Oil Production'!A241</f>
        <v>235</v>
      </c>
      <c r="D245" s="51">
        <f>'[1]Oil Production'!B241</f>
        <v>25.115411772022323</v>
      </c>
      <c r="E245" s="51">
        <f>'[1]Oil Production'!C241</f>
        <v>763.92710806567902</v>
      </c>
      <c r="F245" s="51">
        <f>'[1]Oil Production'!D241</f>
        <v>299189.31220148411</v>
      </c>
      <c r="I245" s="51">
        <f t="shared" si="33"/>
        <v>121.45464207139973</v>
      </c>
      <c r="J245" s="133">
        <f>'Price Deck'!F239*$B$2</f>
        <v>513.79907010848763</v>
      </c>
      <c r="K245" s="155">
        <f t="shared" si="34"/>
        <v>0.25256383734231019</v>
      </c>
      <c r="L245" s="1">
        <v>0.1</v>
      </c>
      <c r="M245" s="155">
        <f t="shared" si="35"/>
        <v>0.28609033977702625</v>
      </c>
      <c r="N245" s="155">
        <f t="shared" si="36"/>
        <v>0.25256383734231019</v>
      </c>
      <c r="O245" s="155">
        <f t="shared" si="37"/>
        <v>0.29243181402169749</v>
      </c>
      <c r="Q245" s="51">
        <f t="shared" si="38"/>
        <v>-9.7936233203610362E-2</v>
      </c>
      <c r="R245" s="155">
        <f t="shared" si="39"/>
        <v>0.15462760413869983</v>
      </c>
      <c r="S245" s="51">
        <f t="shared" si="40"/>
        <v>0.15462760413869983</v>
      </c>
      <c r="T245" s="133">
        <f>'Price Deck'!F239</f>
        <v>81.687482349794067</v>
      </c>
      <c r="U245" s="85">
        <f t="shared" si="41"/>
        <v>62403.282156644382</v>
      </c>
      <c r="V245" s="85">
        <f t="shared" si="42"/>
        <v>9649.2700102731978</v>
      </c>
      <c r="W245" s="85">
        <f t="shared" si="43"/>
        <v>12.631139683870986</v>
      </c>
    </row>
    <row r="246" spans="1:23">
      <c r="A246" t="str">
        <f>'Price Deck'!A240</f>
        <v>02/2035</v>
      </c>
      <c r="B246" s="51" t="e">
        <f>'[1]Oil Production'!#REF!</f>
        <v>#REF!</v>
      </c>
      <c r="C246" s="51">
        <f>'[1]Oil Production'!A242</f>
        <v>236</v>
      </c>
      <c r="D246" s="51">
        <f>'[1]Oil Production'!B242</f>
        <v>25.071054208308915</v>
      </c>
      <c r="E246" s="51">
        <f>'[1]Oil Production'!C242</f>
        <v>762.5778988360629</v>
      </c>
      <c r="F246" s="51">
        <f>'[1]Oil Production'!D242</f>
        <v>299951.89010032016</v>
      </c>
      <c r="I246" s="51">
        <f t="shared" si="33"/>
        <v>121.240135055832</v>
      </c>
      <c r="J246" s="133">
        <f>'Price Deck'!F240*$B$2</f>
        <v>513.79907010848763</v>
      </c>
      <c r="K246" s="155">
        <f t="shared" si="34"/>
        <v>0.25256383734231019</v>
      </c>
      <c r="L246" s="1">
        <v>0.1</v>
      </c>
      <c r="M246" s="155">
        <f t="shared" si="35"/>
        <v>0.28609033977702625</v>
      </c>
      <c r="N246" s="155">
        <f t="shared" si="36"/>
        <v>0.25256383734231019</v>
      </c>
      <c r="O246" s="155">
        <f t="shared" si="37"/>
        <v>0.29243181402169749</v>
      </c>
      <c r="Q246" s="51">
        <f t="shared" si="38"/>
        <v>-9.8225817674626806E-2</v>
      </c>
      <c r="R246" s="155">
        <f t="shared" si="39"/>
        <v>0.1543380196676834</v>
      </c>
      <c r="S246" s="51">
        <f t="shared" si="40"/>
        <v>0.1543380196676834</v>
      </c>
      <c r="T246" s="133">
        <f>'Price Deck'!F240</f>
        <v>81.687482349794067</v>
      </c>
      <c r="U246" s="85">
        <f t="shared" si="41"/>
        <v>62293.068651513931</v>
      </c>
      <c r="V246" s="85">
        <f t="shared" si="42"/>
        <v>9614.1888546977098</v>
      </c>
      <c r="W246" s="85">
        <f t="shared" si="43"/>
        <v>12.607484257506057</v>
      </c>
    </row>
    <row r="247" spans="1:23">
      <c r="A247" t="str">
        <f>'Price Deck'!A241</f>
        <v>03/2035</v>
      </c>
      <c r="B247" s="51" t="e">
        <f>'[1]Oil Production'!#REF!</f>
        <v>#REF!</v>
      </c>
      <c r="C247" s="51">
        <f>'[1]Oil Production'!A243</f>
        <v>237</v>
      </c>
      <c r="D247" s="51">
        <f>'[1]Oil Production'!B243</f>
        <v>25.026962049647484</v>
      </c>
      <c r="E247" s="51">
        <f>'[1]Oil Production'!C243</f>
        <v>761.2367623434443</v>
      </c>
      <c r="F247" s="51">
        <f>'[1]Oil Production'!D243</f>
        <v>300713.1268626636</v>
      </c>
      <c r="I247" s="51">
        <f t="shared" si="33"/>
        <v>121.02691150222317</v>
      </c>
      <c r="J247" s="133">
        <f>'Price Deck'!F241*$B$2</f>
        <v>521.50605616011489</v>
      </c>
      <c r="K247" s="155">
        <f t="shared" si="34"/>
        <v>0.25556956190244484</v>
      </c>
      <c r="L247" s="1">
        <v>0.1</v>
      </c>
      <c r="M247" s="155">
        <f t="shared" si="35"/>
        <v>0.2915622998736816</v>
      </c>
      <c r="N247" s="155">
        <f t="shared" si="36"/>
        <v>0.25556956190244484</v>
      </c>
      <c r="O247" s="155">
        <f t="shared" si="37"/>
        <v>0.29397321123202297</v>
      </c>
      <c r="Q247" s="51">
        <f t="shared" si="38"/>
        <v>-9.851366947199873E-2</v>
      </c>
      <c r="R247" s="155">
        <f t="shared" si="39"/>
        <v>0.1570558924304461</v>
      </c>
      <c r="S247" s="51">
        <f t="shared" si="40"/>
        <v>0.1570558924304461</v>
      </c>
      <c r="T247" s="133">
        <f>'Price Deck'!F241</f>
        <v>82.91279458504097</v>
      </c>
      <c r="U247" s="85">
        <f t="shared" si="41"/>
        <v>63116.26730676365</v>
      </c>
      <c r="V247" s="85">
        <f t="shared" si="42"/>
        <v>9912.7816887423542</v>
      </c>
      <c r="W247" s="85">
        <f t="shared" si="43"/>
        <v>13.021942947455869</v>
      </c>
    </row>
    <row r="248" spans="1:23">
      <c r="A248" t="str">
        <f>'Price Deck'!A242</f>
        <v>04/2035</v>
      </c>
      <c r="B248" s="51" t="e">
        <f>'[1]Oil Production'!#REF!</f>
        <v>#REF!</v>
      </c>
      <c r="C248" s="51">
        <f>'[1]Oil Production'!A244</f>
        <v>238</v>
      </c>
      <c r="D248" s="51">
        <f>'[1]Oil Production'!B244</f>
        <v>24.983132598196729</v>
      </c>
      <c r="E248" s="51">
        <f>'[1]Oil Production'!C244</f>
        <v>759.90361652848389</v>
      </c>
      <c r="F248" s="51">
        <f>'[1]Oil Production'!D244</f>
        <v>301473.03047919209</v>
      </c>
      <c r="I248" s="51">
        <f t="shared" si="33"/>
        <v>120.81495836418755</v>
      </c>
      <c r="J248" s="133">
        <f>'Price Deck'!F242*$B$2</f>
        <v>521.50605616011489</v>
      </c>
      <c r="K248" s="155">
        <f t="shared" si="34"/>
        <v>0.25556956190244484</v>
      </c>
      <c r="L248" s="1">
        <v>0.1</v>
      </c>
      <c r="M248" s="155">
        <f t="shared" si="35"/>
        <v>0.2915622998736816</v>
      </c>
      <c r="N248" s="155">
        <f t="shared" si="36"/>
        <v>0.25556956190244484</v>
      </c>
      <c r="O248" s="155">
        <f t="shared" si="37"/>
        <v>0.29397321123202297</v>
      </c>
      <c r="Q248" s="51">
        <f t="shared" si="38"/>
        <v>-9.8799806208346816E-2</v>
      </c>
      <c r="R248" s="155">
        <f t="shared" si="39"/>
        <v>0.15676975569409801</v>
      </c>
      <c r="S248" s="51">
        <f t="shared" si="40"/>
        <v>0.15676975569409801</v>
      </c>
      <c r="T248" s="133">
        <f>'Price Deck'!F242</f>
        <v>82.91279458504097</v>
      </c>
      <c r="U248" s="85">
        <f t="shared" si="41"/>
        <v>63005.732461655927</v>
      </c>
      <c r="V248" s="85">
        <f t="shared" si="42"/>
        <v>9877.3932853415008</v>
      </c>
      <c r="W248" s="85">
        <f t="shared" si="43"/>
        <v>12.998218551011806</v>
      </c>
    </row>
    <row r="249" spans="1:23">
      <c r="A249" t="str">
        <f>'Price Deck'!A243</f>
        <v>05/2035</v>
      </c>
      <c r="B249" s="51" t="e">
        <f>'[1]Oil Production'!#REF!</f>
        <v>#REF!</v>
      </c>
      <c r="C249" s="51">
        <f>'[1]Oil Production'!A245</f>
        <v>239</v>
      </c>
      <c r="D249" s="51">
        <f>'[1]Oil Production'!B245</f>
        <v>24.93956319472591</v>
      </c>
      <c r="E249" s="51">
        <f>'[1]Oil Production'!C245</f>
        <v>758.5783805062465</v>
      </c>
      <c r="F249" s="51">
        <f>'[1]Oil Production'!D245</f>
        <v>302231.60885969835</v>
      </c>
      <c r="I249" s="51">
        <f t="shared" si="33"/>
        <v>120.60426278205469</v>
      </c>
      <c r="J249" s="133">
        <f>'Price Deck'!F243*$B$2</f>
        <v>521.50605616011489</v>
      </c>
      <c r="K249" s="155">
        <f t="shared" si="34"/>
        <v>0.25556956190244484</v>
      </c>
      <c r="L249" s="1">
        <v>0.1</v>
      </c>
      <c r="M249" s="155">
        <f t="shared" si="35"/>
        <v>0.2915622998736816</v>
      </c>
      <c r="N249" s="155">
        <f t="shared" si="36"/>
        <v>0.25556956190244484</v>
      </c>
      <c r="O249" s="155">
        <f t="shared" si="37"/>
        <v>0.29397321123202297</v>
      </c>
      <c r="Q249" s="51">
        <f t="shared" si="38"/>
        <v>-9.9084245244226168E-2</v>
      </c>
      <c r="R249" s="155">
        <f t="shared" si="39"/>
        <v>0.15648531665821869</v>
      </c>
      <c r="S249" s="51">
        <f t="shared" si="40"/>
        <v>0.15648531665821869</v>
      </c>
      <c r="T249" s="133">
        <f>'Price Deck'!F243</f>
        <v>82.91279458504097</v>
      </c>
      <c r="U249" s="85">
        <f t="shared" si="41"/>
        <v>62895.853439567465</v>
      </c>
      <c r="V249" s="85">
        <f t="shared" si="42"/>
        <v>9842.2775419796271</v>
      </c>
      <c r="W249" s="85">
        <f t="shared" si="43"/>
        <v>12.974634915657976</v>
      </c>
    </row>
    <row r="250" spans="1:23">
      <c r="A250" t="str">
        <f>'Price Deck'!A244</f>
        <v>06/2035</v>
      </c>
      <c r="B250" s="51" t="e">
        <f>'[1]Oil Production'!#REF!</f>
        <v>#REF!</v>
      </c>
      <c r="C250" s="51">
        <f>'[1]Oil Production'!A246</f>
        <v>240</v>
      </c>
      <c r="D250" s="51">
        <f>'[1]Oil Production'!B246</f>
        <v>24.896251217903544</v>
      </c>
      <c r="E250" s="51">
        <f>'[1]Oil Production'!C246</f>
        <v>757.26097454456612</v>
      </c>
      <c r="F250" s="51">
        <f>'[1]Oil Production'!D246</f>
        <v>302988.86983424291</v>
      </c>
      <c r="I250" s="51">
        <f t="shared" si="33"/>
        <v>120.39481207942971</v>
      </c>
      <c r="J250" s="133">
        <f>'Price Deck'!F244*$B$2</f>
        <v>521.50605616011489</v>
      </c>
      <c r="K250" s="155">
        <f t="shared" si="34"/>
        <v>0.25556956190244484</v>
      </c>
      <c r="L250" s="1">
        <v>0.1</v>
      </c>
      <c r="M250" s="155">
        <f t="shared" si="35"/>
        <v>0.2915622998736816</v>
      </c>
      <c r="N250" s="155">
        <f t="shared" si="36"/>
        <v>0.25556956190244484</v>
      </c>
      <c r="O250" s="155">
        <f t="shared" si="37"/>
        <v>0.29397321123202297</v>
      </c>
      <c r="Q250" s="51">
        <f t="shared" si="38"/>
        <v>-9.9367003692769892E-2</v>
      </c>
      <c r="R250" s="155">
        <f t="shared" si="39"/>
        <v>0.15620255820967494</v>
      </c>
      <c r="S250" s="51">
        <f t="shared" si="40"/>
        <v>0.15620255820967494</v>
      </c>
      <c r="T250" s="133">
        <f>'Price Deck'!F244</f>
        <v>82.91279458504097</v>
      </c>
      <c r="U250" s="85">
        <f t="shared" si="41"/>
        <v>62786.623629681548</v>
      </c>
      <c r="V250" s="85">
        <f t="shared" si="42"/>
        <v>9807.4312323042832</v>
      </c>
      <c r="W250" s="85">
        <f t="shared" si="43"/>
        <v>12.951190622496682</v>
      </c>
    </row>
  </sheetData>
  <mergeCells count="3">
    <mergeCell ref="E1:G1"/>
    <mergeCell ref="I1:M1"/>
    <mergeCell ref="L9:O9"/>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AB262"/>
  <sheetViews>
    <sheetView topLeftCell="N1" zoomScale="85" zoomScaleNormal="85" workbookViewId="0">
      <selection activeCell="AF17" sqref="AF17"/>
    </sheetView>
  </sheetViews>
  <sheetFormatPr defaultColWidth="11" defaultRowHeight="15.9"/>
  <cols>
    <col min="1" max="1" width="18.35546875" bestFit="1" customWidth="1"/>
    <col min="2" max="2" width="5.7109375" bestFit="1" customWidth="1"/>
    <col min="3" max="3" width="13.7109375" bestFit="1" customWidth="1"/>
    <col min="4" max="4" width="22.85546875" bestFit="1" customWidth="1"/>
    <col min="5" max="5" width="24.140625" bestFit="1" customWidth="1"/>
    <col min="6" max="6" width="24.35546875" bestFit="1" customWidth="1"/>
    <col min="8" max="8" width="14.35546875" bestFit="1" customWidth="1"/>
    <col min="9" max="9" width="7.7109375" customWidth="1"/>
    <col min="10" max="10" width="11.5" bestFit="1" customWidth="1"/>
    <col min="11" max="11" width="24.640625" bestFit="1" customWidth="1"/>
    <col min="12" max="12" width="27.5" customWidth="1"/>
    <col min="13" max="13" width="24.640625" bestFit="1" customWidth="1"/>
    <col min="19" max="19" width="25.2109375" bestFit="1" customWidth="1"/>
    <col min="20" max="20" width="25.2109375" customWidth="1"/>
    <col min="21" max="21" width="14.35546875" customWidth="1"/>
    <col min="22" max="22" width="18.35546875" bestFit="1" customWidth="1"/>
    <col min="25" max="25" width="14.35546875" bestFit="1" customWidth="1"/>
    <col min="26" max="26" width="7.85546875" customWidth="1"/>
    <col min="27" max="27" width="15.85546875" bestFit="1" customWidth="1"/>
    <col min="28" max="28" width="18.2109375" bestFit="1" customWidth="1"/>
  </cols>
  <sheetData>
    <row r="1" spans="1:28">
      <c r="A1" s="71" t="s">
        <v>704</v>
      </c>
      <c r="C1" s="246" t="s">
        <v>852</v>
      </c>
      <c r="D1" s="149" t="s">
        <v>823</v>
      </c>
      <c r="E1" s="149" t="s">
        <v>835</v>
      </c>
      <c r="F1" s="315" t="s">
        <v>803</v>
      </c>
      <c r="G1" s="315"/>
      <c r="H1" s="315"/>
      <c r="J1" s="315" t="s">
        <v>803</v>
      </c>
      <c r="K1" s="315"/>
      <c r="L1" s="315"/>
      <c r="M1" s="315"/>
      <c r="P1" s="35" t="s">
        <v>847</v>
      </c>
      <c r="U1" s="35"/>
      <c r="V1" s="35"/>
    </row>
    <row r="2" spans="1:28">
      <c r="A2" s="2">
        <f>'Capital Cost Calculation'!B9</f>
        <v>6354768.5</v>
      </c>
      <c r="C2" s="247">
        <v>345.5</v>
      </c>
      <c r="D2" s="252">
        <v>2.8316999999999998E-2</v>
      </c>
      <c r="E2" s="253">
        <f>0.0373</f>
        <v>3.73E-2</v>
      </c>
      <c r="F2" s="85" t="s">
        <v>800</v>
      </c>
      <c r="G2" s="85" t="s">
        <v>801</v>
      </c>
      <c r="H2" s="85" t="s">
        <v>802</v>
      </c>
      <c r="J2" s="1" t="s">
        <v>824</v>
      </c>
      <c r="K2" s="1" t="s">
        <v>825</v>
      </c>
      <c r="L2" s="1" t="s">
        <v>826</v>
      </c>
      <c r="M2" s="1" t="s">
        <v>827</v>
      </c>
      <c r="N2" s="247" t="s">
        <v>812</v>
      </c>
      <c r="P2" s="157">
        <f>947.8171/1000</f>
        <v>0.94781709999999997</v>
      </c>
      <c r="U2" s="2"/>
    </row>
    <row r="3" spans="1:28">
      <c r="F3" s="255">
        <v>2.4</v>
      </c>
      <c r="G3" s="255">
        <v>3</v>
      </c>
      <c r="H3" s="255">
        <v>6.75</v>
      </c>
      <c r="J3" s="12">
        <v>0.05</v>
      </c>
      <c r="K3" t="s">
        <v>828</v>
      </c>
      <c r="L3" t="s">
        <v>829</v>
      </c>
      <c r="M3" t="s">
        <v>830</v>
      </c>
      <c r="N3" s="254">
        <v>0.36</v>
      </c>
    </row>
    <row r="4" spans="1:28">
      <c r="A4" s="246" t="s">
        <v>854</v>
      </c>
      <c r="J4">
        <v>2.4</v>
      </c>
      <c r="K4">
        <v>2.4</v>
      </c>
      <c r="L4">
        <v>3</v>
      </c>
      <c r="M4">
        <v>6.75</v>
      </c>
    </row>
    <row r="5" spans="1:28">
      <c r="A5" s="265">
        <f>'Capital Cost Calculation'!B10</f>
        <v>24</v>
      </c>
    </row>
    <row r="9" spans="1:28" ht="31.75">
      <c r="B9" s="35" t="str">
        <f>'Gas Type Curve'!A17</f>
        <v>Years</v>
      </c>
      <c r="C9" s="35" t="str">
        <f>'Gas Type Curve'!B17</f>
        <v>Months</v>
      </c>
      <c r="D9" s="35" t="str">
        <f>'Gas Type Curve'!C17</f>
        <v>Daily production (Mcf/d)</v>
      </c>
      <c r="E9" s="35" t="str">
        <f>'Gas Type Curve'!D17</f>
        <v>Monthly production (Mcf)</v>
      </c>
      <c r="F9" s="35" t="str">
        <f>'Gas Type Curve'!E17</f>
        <v>Cumulative Production (Mcf)</v>
      </c>
      <c r="H9" t="s">
        <v>831</v>
      </c>
      <c r="I9" s="160" t="s">
        <v>832</v>
      </c>
      <c r="J9" t="s">
        <v>833</v>
      </c>
      <c r="K9" t="s">
        <v>834</v>
      </c>
      <c r="M9" s="247" t="s">
        <v>817</v>
      </c>
      <c r="N9" s="318" t="s">
        <v>837</v>
      </c>
      <c r="O9" s="318"/>
      <c r="P9" s="318"/>
      <c r="Q9" s="318"/>
      <c r="S9" t="s">
        <v>848</v>
      </c>
      <c r="T9" t="s">
        <v>853</v>
      </c>
      <c r="V9" t="s">
        <v>842</v>
      </c>
      <c r="W9" t="s">
        <v>842</v>
      </c>
      <c r="Y9" t="s">
        <v>849</v>
      </c>
      <c r="Z9" t="s">
        <v>850</v>
      </c>
      <c r="AA9" t="s">
        <v>851</v>
      </c>
      <c r="AB9" t="s">
        <v>855</v>
      </c>
    </row>
    <row r="10" spans="1:28">
      <c r="N10" t="s">
        <v>838</v>
      </c>
      <c r="O10" t="s">
        <v>839</v>
      </c>
      <c r="P10" t="s">
        <v>840</v>
      </c>
      <c r="Q10" t="s">
        <v>841</v>
      </c>
      <c r="V10" t="s">
        <v>843</v>
      </c>
      <c r="W10" t="s">
        <v>844</v>
      </c>
    </row>
    <row r="11" spans="1:28">
      <c r="A11" s="164" t="str">
        <f>'Price Deck'!A5</f>
        <v>03/2019</v>
      </c>
      <c r="B11" s="51">
        <f>'Gas Type Curve'!A18</f>
        <v>-2.6444412022197335E-4</v>
      </c>
      <c r="C11" s="51">
        <f>'Gas Type Curve'!B18</f>
        <v>-3.1733294426636799E-3</v>
      </c>
      <c r="D11" s="51">
        <f>'Gas Type Curve'!C18</f>
        <v>823.76453242824095</v>
      </c>
      <c r="E11" s="51">
        <f>'Gas Type Curve'!D18</f>
        <v>25056.171194692331</v>
      </c>
      <c r="F11" s="51">
        <f>'Gas Type Curve'!E18</f>
        <v>25056.171194692331</v>
      </c>
      <c r="G11" s="164"/>
      <c r="H11" s="51">
        <f>E11*1000*$D$2</f>
        <v>709515.59972010273</v>
      </c>
      <c r="I11" s="164">
        <f>H11/1000</f>
        <v>709.51559972010273</v>
      </c>
      <c r="J11" s="164">
        <f t="shared" ref="J11:J74" si="0">H11*$E$2</f>
        <v>26464.93186955983</v>
      </c>
      <c r="K11" s="169">
        <f>W11</f>
        <v>2.2126296233159808</v>
      </c>
      <c r="L11" s="164"/>
      <c r="M11" s="170">
        <f>MIN(IF(K11&gt;$M$4,Q11,IF(K11&gt;$L$4,P11,IF(K11&gt;$K$4,O11,N11))),0.36)</f>
        <v>0.05</v>
      </c>
      <c r="N11" s="164">
        <v>0.05</v>
      </c>
      <c r="O11" s="155">
        <f>((K11-$K$4)*0.06+0.05)</f>
        <v>3.8757777398958859E-2</v>
      </c>
      <c r="P11" s="155">
        <f>((K11-$L$4)*0.0425+0.086)</f>
        <v>5.2536758990929175E-2</v>
      </c>
      <c r="Q11" s="155">
        <f>((K11-$M$4)*0.0225+0.24538)</f>
        <v>0.14328916652460955</v>
      </c>
      <c r="R11" s="164"/>
      <c r="S11" s="164">
        <f t="shared" ref="S11:S74" si="1">IF(I11&gt;$C$2,0, ((I11-$C$2)*0.0004937))</f>
        <v>0</v>
      </c>
      <c r="T11" s="170">
        <f>MAX(S11+M11,0.05)</f>
        <v>0.05</v>
      </c>
      <c r="U11" s="164"/>
      <c r="V11" s="171">
        <f>'Price Deck'!K5</f>
        <v>2.3344478837910616</v>
      </c>
      <c r="W11" s="169">
        <f>V11*$P$2</f>
        <v>2.2126296233159808</v>
      </c>
      <c r="X11" s="164"/>
      <c r="Y11" s="169">
        <f>V11*E11</f>
        <v>58492.325821356069</v>
      </c>
      <c r="Z11" s="164">
        <f>IF(C11&lt;$A$5,0.05,T11)</f>
        <v>0.05</v>
      </c>
      <c r="AA11" s="169">
        <f>+Z11*Y11</f>
        <v>2924.6162910678036</v>
      </c>
      <c r="AB11" s="169">
        <f>AA11/E11</f>
        <v>0.11672239418955309</v>
      </c>
    </row>
    <row r="12" spans="1:28">
      <c r="A12" s="164" t="str">
        <f>'Price Deck'!A6</f>
        <v>04/2019</v>
      </c>
      <c r="B12" s="51">
        <f>'Gas Type Curve'!A19</f>
        <v>2.3523368349381998E-2</v>
      </c>
      <c r="C12" s="51">
        <f>'Gas Type Curve'!B19</f>
        <v>0.28228042019258398</v>
      </c>
      <c r="D12" s="51">
        <f>'Gas Type Curve'!C19</f>
        <v>778.53162962849501</v>
      </c>
      <c r="E12" s="51">
        <f>'Gas Type Curve'!D19</f>
        <v>23680.337067866723</v>
      </c>
      <c r="F12" s="51">
        <f>'Gas Type Curve'!E19</f>
        <v>48736.508262559058</v>
      </c>
      <c r="G12" s="164"/>
      <c r="H12" s="51">
        <f t="shared" ref="H12:H75" si="2">E12*1000*$D$2</f>
        <v>670556.10475078202</v>
      </c>
      <c r="I12" s="164">
        <f t="shared" ref="I12:I75" si="3">H12/1000</f>
        <v>670.55610475078197</v>
      </c>
      <c r="J12" s="164">
        <f t="shared" si="0"/>
        <v>25011.742707204168</v>
      </c>
      <c r="K12" s="169">
        <f t="shared" ref="K12:K75" si="4">W12</f>
        <v>2.2494430348348127</v>
      </c>
      <c r="L12" s="164"/>
      <c r="M12" s="170">
        <f t="shared" ref="M12:M75" si="5">MIN(IF(K12&gt;$M$4,Q12,IF(K12&gt;$L$4,P12,IF(K12&gt;$K$4,O12,N12))),0.36)</f>
        <v>0.05</v>
      </c>
      <c r="N12" s="164">
        <v>0.05</v>
      </c>
      <c r="O12" s="155">
        <f t="shared" ref="O12:O75" si="6">((K12-$K$4)*0.06+0.05)</f>
        <v>4.0966582090088771E-2</v>
      </c>
      <c r="P12" s="155">
        <f t="shared" ref="P12:P75" si="7">((K12-$L$4)*0.0425+0.086)</f>
        <v>5.4101328980479528E-2</v>
      </c>
      <c r="Q12" s="155">
        <f t="shared" ref="Q12:Q75" si="8">((K12-$M$4)*0.0225+0.24538)</f>
        <v>0.14411746828378327</v>
      </c>
      <c r="R12" s="164"/>
      <c r="S12" s="164">
        <f t="shared" si="1"/>
        <v>0</v>
      </c>
      <c r="T12" s="170">
        <f t="shared" ref="T12:T75" si="9">MAX(S12+M12,0.05)</f>
        <v>0.05</v>
      </c>
      <c r="U12" s="164"/>
      <c r="V12" s="171">
        <f>'Price Deck'!K6</f>
        <v>2.3732880899013247</v>
      </c>
      <c r="W12" s="169">
        <f t="shared" ref="W12:W75" si="10">V12*$P$2</f>
        <v>2.2494430348348127</v>
      </c>
      <c r="X12" s="164"/>
      <c r="Y12" s="169">
        <f t="shared" ref="Y12:Y75" si="11">V12*E12</f>
        <v>56200.261928016953</v>
      </c>
      <c r="Z12" s="247">
        <f t="shared" ref="Z12:Z75" si="12">IF(C12&lt;$A$5,0.05,T12)</f>
        <v>0.05</v>
      </c>
      <c r="AA12" s="169">
        <f t="shared" ref="AA12:AA75" si="13">+Z12*Y12</f>
        <v>2810.0130964008476</v>
      </c>
      <c r="AB12" s="169">
        <f t="shared" ref="AB12:AB75" si="14">AA12/E12</f>
        <v>0.11866440449506624</v>
      </c>
    </row>
    <row r="13" spans="1:28">
      <c r="A13" s="164" t="str">
        <f>'Price Deck'!A7</f>
        <v>05/2019</v>
      </c>
      <c r="B13" s="51">
        <f>'Gas Type Curve'!A20</f>
        <v>5.9086543137826748E-2</v>
      </c>
      <c r="C13" s="51">
        <f>'Gas Type Curve'!B20</f>
        <v>0.70903851765392101</v>
      </c>
      <c r="D13" s="51">
        <f>'Gas Type Curve'!C20</f>
        <v>754.16829204613407</v>
      </c>
      <c r="E13" s="51">
        <f>'Gas Type Curve'!D20</f>
        <v>22939.285549736578</v>
      </c>
      <c r="F13" s="51">
        <f>'Gas Type Curve'!E20</f>
        <v>71675.79381229564</v>
      </c>
      <c r="G13" s="164"/>
      <c r="H13" s="51">
        <f t="shared" si="2"/>
        <v>649571.74891189067</v>
      </c>
      <c r="I13" s="164">
        <f t="shared" si="3"/>
        <v>649.57174891189072</v>
      </c>
      <c r="J13" s="164">
        <f t="shared" si="0"/>
        <v>24229.026234413523</v>
      </c>
      <c r="K13" s="169">
        <f t="shared" si="4"/>
        <v>2.2799093064366049</v>
      </c>
      <c r="L13" s="164"/>
      <c r="M13" s="170">
        <f t="shared" si="5"/>
        <v>0.05</v>
      </c>
      <c r="N13" s="164">
        <v>0.05</v>
      </c>
      <c r="O13" s="155">
        <f t="shared" si="6"/>
        <v>4.2794558386196307E-2</v>
      </c>
      <c r="P13" s="155">
        <f t="shared" si="7"/>
        <v>5.53961455235557E-2</v>
      </c>
      <c r="Q13" s="155">
        <f t="shared" si="8"/>
        <v>0.1448029593948236</v>
      </c>
      <c r="R13" s="164"/>
      <c r="S13" s="164">
        <f t="shared" si="1"/>
        <v>0</v>
      </c>
      <c r="T13" s="170">
        <f t="shared" si="9"/>
        <v>0.05</v>
      </c>
      <c r="U13" s="164"/>
      <c r="V13" s="171">
        <f>'Price Deck'!K7</f>
        <v>2.4054317087511978</v>
      </c>
      <c r="W13" s="169">
        <f t="shared" si="10"/>
        <v>2.2799093064366049</v>
      </c>
      <c r="X13" s="164"/>
      <c r="Y13" s="169">
        <f t="shared" si="11"/>
        <v>55178.884837434518</v>
      </c>
      <c r="Z13" s="247">
        <f t="shared" si="12"/>
        <v>0.05</v>
      </c>
      <c r="AA13" s="169">
        <f t="shared" si="13"/>
        <v>2758.9442418717263</v>
      </c>
      <c r="AB13" s="169">
        <f t="shared" si="14"/>
        <v>0.12027158543755991</v>
      </c>
    </row>
    <row r="14" spans="1:28">
      <c r="A14" s="164" t="str">
        <f>'Price Deck'!A8</f>
        <v>06/2019</v>
      </c>
      <c r="B14" s="51">
        <f>'Gas Type Curve'!A21</f>
        <v>9.4452144733001675E-2</v>
      </c>
      <c r="C14" s="51">
        <f>'Gas Type Curve'!B21</f>
        <v>1.1334257367960201</v>
      </c>
      <c r="D14" s="51">
        <f>'Gas Type Curve'!C21</f>
        <v>772.6134566062085</v>
      </c>
      <c r="E14" s="51">
        <f>'Gas Type Curve'!D21</f>
        <v>23500.325971772178</v>
      </c>
      <c r="F14" s="51">
        <f>'Gas Type Curve'!E21</f>
        <v>95176.119784067821</v>
      </c>
      <c r="G14" s="164"/>
      <c r="H14" s="51">
        <f t="shared" si="2"/>
        <v>665458.7305426728</v>
      </c>
      <c r="I14" s="164">
        <f t="shared" si="3"/>
        <v>665.45873054267281</v>
      </c>
      <c r="J14" s="164">
        <f t="shared" si="0"/>
        <v>24821.610649241695</v>
      </c>
      <c r="K14" s="169">
        <f t="shared" si="4"/>
        <v>2.3395724216567806</v>
      </c>
      <c r="L14" s="164"/>
      <c r="M14" s="170">
        <f t="shared" si="5"/>
        <v>0.05</v>
      </c>
      <c r="N14" s="164">
        <v>0.05</v>
      </c>
      <c r="O14" s="155">
        <f t="shared" si="6"/>
        <v>4.6374345299406844E-2</v>
      </c>
      <c r="P14" s="155">
        <f t="shared" si="7"/>
        <v>5.7931827920413168E-2</v>
      </c>
      <c r="Q14" s="155">
        <f t="shared" si="8"/>
        <v>0.14614537948727757</v>
      </c>
      <c r="R14" s="164"/>
      <c r="S14" s="164">
        <f t="shared" si="1"/>
        <v>0</v>
      </c>
      <c r="T14" s="170">
        <f t="shared" si="9"/>
        <v>0.05</v>
      </c>
      <c r="U14" s="164"/>
      <c r="V14" s="171">
        <f>'Price Deck'!K8</f>
        <v>2.4683796289988655</v>
      </c>
      <c r="W14" s="169">
        <f t="shared" si="10"/>
        <v>2.3395724216567806</v>
      </c>
      <c r="X14" s="164"/>
      <c r="Y14" s="169">
        <f t="shared" si="11"/>
        <v>58007.725903555409</v>
      </c>
      <c r="Z14" s="247">
        <f t="shared" si="12"/>
        <v>0.05</v>
      </c>
      <c r="AA14" s="169">
        <f t="shared" si="13"/>
        <v>2900.3862951777705</v>
      </c>
      <c r="AB14" s="169">
        <f t="shared" si="14"/>
        <v>0.12341898144994327</v>
      </c>
    </row>
    <row r="15" spans="1:28">
      <c r="A15" s="164" t="str">
        <f>'Price Deck'!A9</f>
        <v>07/2019</v>
      </c>
      <c r="B15" s="51">
        <f>'Gas Type Curve'!A22</f>
        <v>0.17699822488084749</v>
      </c>
      <c r="C15" s="51">
        <f>'Gas Type Curve'!B22</f>
        <v>2.1239786985701699</v>
      </c>
      <c r="D15" s="51">
        <f>'Gas Type Curve'!C22</f>
        <v>774.95123861594277</v>
      </c>
      <c r="E15" s="51">
        <f>'Gas Type Curve'!D22</f>
        <v>23571.433507901595</v>
      </c>
      <c r="F15" s="51">
        <f>'Gas Type Curve'!E22</f>
        <v>118747.55329196941</v>
      </c>
      <c r="G15" s="164"/>
      <c r="H15" s="51">
        <f t="shared" si="2"/>
        <v>667472.28264324937</v>
      </c>
      <c r="I15" s="164">
        <f t="shared" si="3"/>
        <v>667.4722826432494</v>
      </c>
      <c r="J15" s="164">
        <f t="shared" si="0"/>
        <v>24896.716142593203</v>
      </c>
      <c r="K15" s="169">
        <f t="shared" si="4"/>
        <v>2.4030438208271803</v>
      </c>
      <c r="L15" s="164"/>
      <c r="M15" s="170">
        <f t="shared" si="5"/>
        <v>5.0182629249630822E-2</v>
      </c>
      <c r="N15" s="164">
        <v>0.05</v>
      </c>
      <c r="O15" s="155">
        <f t="shared" si="6"/>
        <v>5.0182629249630822E-2</v>
      </c>
      <c r="P15" s="155">
        <f t="shared" si="7"/>
        <v>6.062936238515515E-2</v>
      </c>
      <c r="Q15" s="155">
        <f t="shared" si="8"/>
        <v>0.14757348596861156</v>
      </c>
      <c r="R15" s="164"/>
      <c r="S15" s="164">
        <f t="shared" si="1"/>
        <v>0</v>
      </c>
      <c r="T15" s="170">
        <f t="shared" si="9"/>
        <v>5.0182629249630822E-2</v>
      </c>
      <c r="U15" s="164"/>
      <c r="V15" s="171">
        <f>'Price Deck'!K9</f>
        <v>2.5353455016027673</v>
      </c>
      <c r="W15" s="169">
        <f t="shared" si="10"/>
        <v>2.4030438208271803</v>
      </c>
      <c r="X15" s="164"/>
      <c r="Y15" s="169">
        <f t="shared" si="11"/>
        <v>59761.727910587048</v>
      </c>
      <c r="Z15" s="247">
        <f t="shared" si="12"/>
        <v>0.05</v>
      </c>
      <c r="AA15" s="169">
        <f t="shared" si="13"/>
        <v>2988.0863955293526</v>
      </c>
      <c r="AB15" s="169">
        <f t="shared" si="14"/>
        <v>0.12676727508013838</v>
      </c>
    </row>
    <row r="16" spans="1:28">
      <c r="A16" s="164" t="str">
        <f>'Price Deck'!A10</f>
        <v>08/2019</v>
      </c>
      <c r="B16" s="51">
        <f>'Gas Type Curve'!A23</f>
        <v>0.20651565995525667</v>
      </c>
      <c r="C16" s="51">
        <f>'Gas Type Curve'!B23</f>
        <v>2.47818791946308</v>
      </c>
      <c r="D16" s="51">
        <f>'Gas Type Curve'!C23</f>
        <v>785.34271190084746</v>
      </c>
      <c r="E16" s="51">
        <f>'Gas Type Curve'!D23</f>
        <v>23887.507486984112</v>
      </c>
      <c r="F16" s="51">
        <f>'Gas Type Curve'!E23</f>
        <v>142635.06077895351</v>
      </c>
      <c r="G16" s="164"/>
      <c r="H16" s="51">
        <f t="shared" si="2"/>
        <v>676422.54950892902</v>
      </c>
      <c r="I16" s="164">
        <f t="shared" si="3"/>
        <v>676.42254950892902</v>
      </c>
      <c r="J16" s="164">
        <f t="shared" si="0"/>
        <v>25230.561096683054</v>
      </c>
      <c r="K16" s="169">
        <f t="shared" si="4"/>
        <v>2.424624096545116</v>
      </c>
      <c r="L16" s="164"/>
      <c r="M16" s="170">
        <f t="shared" si="5"/>
        <v>5.1477445792706966E-2</v>
      </c>
      <c r="N16" s="164">
        <v>0.05</v>
      </c>
      <c r="O16" s="155">
        <f t="shared" si="6"/>
        <v>5.1477445792706966E-2</v>
      </c>
      <c r="P16" s="155">
        <f t="shared" si="7"/>
        <v>6.1546524103167424E-2</v>
      </c>
      <c r="Q16" s="155">
        <f t="shared" si="8"/>
        <v>0.14805904217226512</v>
      </c>
      <c r="R16" s="164"/>
      <c r="S16" s="164">
        <f t="shared" si="1"/>
        <v>0</v>
      </c>
      <c r="T16" s="170">
        <f t="shared" si="9"/>
        <v>5.1477445792706966E-2</v>
      </c>
      <c r="U16" s="164"/>
      <c r="V16" s="171">
        <f>'Price Deck'!K10</f>
        <v>2.5581138982880938</v>
      </c>
      <c r="W16" s="169">
        <f t="shared" si="10"/>
        <v>2.424624096545116</v>
      </c>
      <c r="X16" s="164"/>
      <c r="Y16" s="169">
        <f t="shared" si="11"/>
        <v>61106.96489791495</v>
      </c>
      <c r="Z16" s="247">
        <f t="shared" si="12"/>
        <v>0.05</v>
      </c>
      <c r="AA16" s="169">
        <f t="shared" si="13"/>
        <v>3055.3482448957475</v>
      </c>
      <c r="AB16" s="169">
        <f t="shared" si="14"/>
        <v>0.12790569491440468</v>
      </c>
    </row>
    <row r="17" spans="1:28">
      <c r="A17" s="164" t="str">
        <f>'Price Deck'!A11</f>
        <v>09/2019</v>
      </c>
      <c r="B17" s="51">
        <f>'Gas Type Curve'!A24</f>
        <v>0.25954430502869336</v>
      </c>
      <c r="C17" s="51">
        <f>'Gas Type Curve'!B24</f>
        <v>3.1145316603443201</v>
      </c>
      <c r="D17" s="51">
        <f>'Gas Type Curve'!C24</f>
        <v>793.35309385222683</v>
      </c>
      <c r="E17" s="51">
        <f>'Gas Type Curve'!D24</f>
        <v>24131.156604671902</v>
      </c>
      <c r="F17" s="51">
        <f>'Gas Type Curve'!E24</f>
        <v>166766.21738362542</v>
      </c>
      <c r="G17" s="164"/>
      <c r="H17" s="51">
        <f t="shared" si="2"/>
        <v>683321.96157449426</v>
      </c>
      <c r="I17" s="164">
        <f t="shared" si="3"/>
        <v>683.32196157449425</v>
      </c>
      <c r="J17" s="164">
        <f t="shared" si="0"/>
        <v>25487.909166728634</v>
      </c>
      <c r="K17" s="169">
        <f t="shared" si="4"/>
        <v>2.4081215327608123</v>
      </c>
      <c r="L17" s="164"/>
      <c r="M17" s="170">
        <f t="shared" si="5"/>
        <v>5.0487291965648745E-2</v>
      </c>
      <c r="N17" s="164">
        <v>0.05</v>
      </c>
      <c r="O17" s="155">
        <f t="shared" si="6"/>
        <v>5.0487291965648745E-2</v>
      </c>
      <c r="P17" s="155">
        <f t="shared" si="7"/>
        <v>6.0845165142334512E-2</v>
      </c>
      <c r="Q17" s="155">
        <f t="shared" si="8"/>
        <v>0.14768773448711828</v>
      </c>
      <c r="R17" s="164"/>
      <c r="S17" s="164">
        <f t="shared" si="1"/>
        <v>0</v>
      </c>
      <c r="T17" s="170">
        <f t="shared" si="9"/>
        <v>5.0487291965648745E-2</v>
      </c>
      <c r="U17" s="164"/>
      <c r="V17" s="171">
        <f>'Price Deck'!K11</f>
        <v>2.5407027714110795</v>
      </c>
      <c r="W17" s="169">
        <f t="shared" si="10"/>
        <v>2.4081215327608123</v>
      </c>
      <c r="X17" s="164"/>
      <c r="Y17" s="169">
        <f t="shared" si="11"/>
        <v>61310.096462844675</v>
      </c>
      <c r="Z17" s="247">
        <f t="shared" si="12"/>
        <v>0.05</v>
      </c>
      <c r="AA17" s="169">
        <f t="shared" si="13"/>
        <v>3065.5048231422338</v>
      </c>
      <c r="AB17" s="169">
        <f t="shared" si="14"/>
        <v>0.12703513857055398</v>
      </c>
    </row>
    <row r="18" spans="1:28">
      <c r="A18" s="164" t="str">
        <f>'Price Deck'!A12</f>
        <v>10/2019</v>
      </c>
      <c r="B18" s="51">
        <f>'Gas Type Curve'!A25</f>
        <v>0.30672478358136335</v>
      </c>
      <c r="C18" s="51">
        <f>'Gas Type Curve'!B25</f>
        <v>3.6806974029763602</v>
      </c>
      <c r="D18" s="51">
        <f>'Gas Type Curve'!C25</f>
        <v>824.61413235452267</v>
      </c>
      <c r="E18" s="51">
        <f>'Gas Type Curve'!D25</f>
        <v>25082.013192450064</v>
      </c>
      <c r="F18" s="51">
        <f>'Gas Type Curve'!E25</f>
        <v>191848.2305760755</v>
      </c>
      <c r="G18" s="164"/>
      <c r="H18" s="51">
        <f t="shared" si="2"/>
        <v>710247.36757060851</v>
      </c>
      <c r="I18" s="164">
        <f t="shared" si="3"/>
        <v>710.2473675706085</v>
      </c>
      <c r="J18" s="164">
        <f t="shared" si="0"/>
        <v>26492.226810383698</v>
      </c>
      <c r="K18" s="169">
        <f t="shared" si="4"/>
        <v>2.42843238049534</v>
      </c>
      <c r="L18" s="164"/>
      <c r="M18" s="170">
        <f t="shared" si="5"/>
        <v>5.1705942829720408E-2</v>
      </c>
      <c r="N18" s="164">
        <v>0.05</v>
      </c>
      <c r="O18" s="155">
        <f t="shared" si="6"/>
        <v>5.1705942829720408E-2</v>
      </c>
      <c r="P18" s="155">
        <f t="shared" si="7"/>
        <v>6.1708376171051946E-2</v>
      </c>
      <c r="Q18" s="155">
        <f t="shared" si="8"/>
        <v>0.14814472856114513</v>
      </c>
      <c r="R18" s="164"/>
      <c r="S18" s="164">
        <f t="shared" si="1"/>
        <v>0</v>
      </c>
      <c r="T18" s="170">
        <f t="shared" si="9"/>
        <v>5.1705942829720408E-2</v>
      </c>
      <c r="U18" s="164"/>
      <c r="V18" s="171">
        <f>'Price Deck'!K12</f>
        <v>2.5621318506443278</v>
      </c>
      <c r="W18" s="169">
        <f t="shared" si="10"/>
        <v>2.42843238049534</v>
      </c>
      <c r="X18" s="164"/>
      <c r="Y18" s="169">
        <f t="shared" si="11"/>
        <v>64263.424878657526</v>
      </c>
      <c r="Z18" s="247">
        <f t="shared" si="12"/>
        <v>0.05</v>
      </c>
      <c r="AA18" s="169">
        <f t="shared" si="13"/>
        <v>3213.1712439328767</v>
      </c>
      <c r="AB18" s="169">
        <f t="shared" si="14"/>
        <v>0.1281065925322164</v>
      </c>
    </row>
    <row r="19" spans="1:28">
      <c r="A19" s="164" t="str">
        <f>'Price Deck'!A13</f>
        <v>11/2019</v>
      </c>
      <c r="B19" s="51">
        <f>'Gas Type Curve'!A26</f>
        <v>0.35394477677268665</v>
      </c>
      <c r="C19" s="51">
        <f>'Gas Type Curve'!B26</f>
        <v>4.2473373212722398</v>
      </c>
      <c r="D19" s="51">
        <f>'Gas Type Curve'!C26</f>
        <v>826.95191436425762</v>
      </c>
      <c r="E19" s="51">
        <f>'Gas Type Curve'!D26</f>
        <v>25153.120728579503</v>
      </c>
      <c r="F19" s="51">
        <f>'Gas Type Curve'!E26</f>
        <v>217001.35130465499</v>
      </c>
      <c r="G19" s="164"/>
      <c r="H19" s="51">
        <f t="shared" si="2"/>
        <v>712260.91967118578</v>
      </c>
      <c r="I19" s="164">
        <f t="shared" si="3"/>
        <v>712.26091967118577</v>
      </c>
      <c r="J19" s="164">
        <f t="shared" si="0"/>
        <v>26567.332303735231</v>
      </c>
      <c r="K19" s="169">
        <f t="shared" si="4"/>
        <v>2.4868260677321072</v>
      </c>
      <c r="L19" s="164"/>
      <c r="M19" s="170">
        <f t="shared" si="5"/>
        <v>5.5209564063926443E-2</v>
      </c>
      <c r="N19" s="164">
        <v>0.05</v>
      </c>
      <c r="O19" s="155">
        <f t="shared" si="6"/>
        <v>5.5209564063926443E-2</v>
      </c>
      <c r="P19" s="155">
        <f t="shared" si="7"/>
        <v>6.4190107878614552E-2</v>
      </c>
      <c r="Q19" s="155">
        <f t="shared" si="8"/>
        <v>0.1494585865239724</v>
      </c>
      <c r="R19" s="164"/>
      <c r="S19" s="164">
        <f t="shared" si="1"/>
        <v>0</v>
      </c>
      <c r="T19" s="170">
        <f t="shared" si="9"/>
        <v>5.5209564063926443E-2</v>
      </c>
      <c r="U19" s="164"/>
      <c r="V19" s="171">
        <f>'Price Deck'!K13</f>
        <v>2.6237404534399174</v>
      </c>
      <c r="W19" s="169">
        <f t="shared" si="10"/>
        <v>2.4868260677321072</v>
      </c>
      <c r="X19" s="164"/>
      <c r="Y19" s="169">
        <f t="shared" si="11"/>
        <v>65995.260385832167</v>
      </c>
      <c r="Z19" s="247">
        <f t="shared" si="12"/>
        <v>0.05</v>
      </c>
      <c r="AA19" s="169">
        <f t="shared" si="13"/>
        <v>3299.7630192916085</v>
      </c>
      <c r="AB19" s="169">
        <f t="shared" si="14"/>
        <v>0.13118702267199586</v>
      </c>
    </row>
    <row r="20" spans="1:28">
      <c r="A20" s="164" t="str">
        <f>'Price Deck'!A14</f>
        <v>12/2019</v>
      </c>
      <c r="B20" s="51">
        <f>'Gas Type Curve'!A27</f>
        <v>0.40701293648477749</v>
      </c>
      <c r="C20" s="51">
        <f>'Gas Type Curve'!B27</f>
        <v>4.8841552378173301</v>
      </c>
      <c r="D20" s="51">
        <f>'Gas Type Curve'!C27</f>
        <v>834.80334188257018</v>
      </c>
      <c r="E20" s="51">
        <f>'Gas Type Curve'!D27</f>
        <v>25391.934982261511</v>
      </c>
      <c r="F20" s="51">
        <f>'Gas Type Curve'!E27</f>
        <v>242393.2862869165</v>
      </c>
      <c r="G20" s="164"/>
      <c r="H20" s="51">
        <f t="shared" si="2"/>
        <v>719023.42289269925</v>
      </c>
      <c r="I20" s="164">
        <f t="shared" si="3"/>
        <v>719.02342289269927</v>
      </c>
      <c r="J20" s="164">
        <f t="shared" si="0"/>
        <v>26819.573673897681</v>
      </c>
      <c r="K20" s="169">
        <f t="shared" si="4"/>
        <v>2.658198845492187</v>
      </c>
      <c r="L20" s="164"/>
      <c r="M20" s="170">
        <f t="shared" si="5"/>
        <v>6.5491930729531231E-2</v>
      </c>
      <c r="N20" s="164">
        <v>0.05</v>
      </c>
      <c r="O20" s="155">
        <f t="shared" si="6"/>
        <v>6.5491930729531231E-2</v>
      </c>
      <c r="P20" s="155">
        <f t="shared" si="7"/>
        <v>7.1473450933417934E-2</v>
      </c>
      <c r="Q20" s="155">
        <f t="shared" si="8"/>
        <v>0.1533144740235742</v>
      </c>
      <c r="R20" s="164"/>
      <c r="S20" s="164">
        <f t="shared" si="1"/>
        <v>0</v>
      </c>
      <c r="T20" s="170">
        <f t="shared" si="9"/>
        <v>6.5491930729531231E-2</v>
      </c>
      <c r="U20" s="164"/>
      <c r="V20" s="171">
        <f>'Price Deck'!K14</f>
        <v>2.8045483094704529</v>
      </c>
      <c r="W20" s="169">
        <f t="shared" si="10"/>
        <v>2.658198845492187</v>
      </c>
      <c r="X20" s="164"/>
      <c r="Y20" s="169">
        <f t="shared" si="11"/>
        <v>71212.908328685182</v>
      </c>
      <c r="Z20" s="247">
        <f t="shared" si="12"/>
        <v>0.05</v>
      </c>
      <c r="AA20" s="169">
        <f t="shared" si="13"/>
        <v>3560.6454164342595</v>
      </c>
      <c r="AB20" s="169">
        <f t="shared" si="14"/>
        <v>0.14022741547352266</v>
      </c>
    </row>
    <row r="21" spans="1:28">
      <c r="A21" s="164" t="str">
        <f>'Price Deck'!A15</f>
        <v>01/2020</v>
      </c>
      <c r="B21" s="51">
        <f>'Gas Type Curve'!A28</f>
        <v>0.44245756735726083</v>
      </c>
      <c r="C21" s="51">
        <f>'Gas Type Curve'!B28</f>
        <v>5.3094908082871299</v>
      </c>
      <c r="D21" s="51">
        <f>'Gas Type Curve'!C28</f>
        <v>858.01068910970207</v>
      </c>
      <c r="E21" s="51">
        <f>'Gas Type Curve'!D28</f>
        <v>26097.825127086773</v>
      </c>
      <c r="F21" s="51">
        <f>'Gas Type Curve'!E28</f>
        <v>268491.11141400324</v>
      </c>
      <c r="G21" s="164"/>
      <c r="H21" s="51">
        <f t="shared" si="2"/>
        <v>739012.11412371614</v>
      </c>
      <c r="I21" s="164">
        <f t="shared" si="3"/>
        <v>739.01211412371617</v>
      </c>
      <c r="J21" s="164">
        <f t="shared" si="0"/>
        <v>27565.151856814613</v>
      </c>
      <c r="K21" s="169">
        <f t="shared" si="4"/>
        <v>2.6998728312831948</v>
      </c>
      <c r="L21" s="164"/>
      <c r="M21" s="170">
        <f t="shared" si="5"/>
        <v>6.7992369876991698E-2</v>
      </c>
      <c r="N21" s="164">
        <v>0.05</v>
      </c>
      <c r="O21" s="155">
        <f t="shared" si="6"/>
        <v>6.7992369876991698E-2</v>
      </c>
      <c r="P21" s="155">
        <f t="shared" si="7"/>
        <v>7.3244595329535769E-2</v>
      </c>
      <c r="Q21" s="155">
        <f t="shared" si="8"/>
        <v>0.15425213870387186</v>
      </c>
      <c r="R21" s="164"/>
      <c r="S21" s="164">
        <f t="shared" si="1"/>
        <v>0</v>
      </c>
      <c r="T21" s="170">
        <f t="shared" si="9"/>
        <v>6.7992369876991698E-2</v>
      </c>
      <c r="U21" s="164"/>
      <c r="V21" s="171">
        <f>'Price Deck'!K15</f>
        <v>2.8485166930235746</v>
      </c>
      <c r="W21" s="169">
        <f t="shared" si="10"/>
        <v>2.6998728312831948</v>
      </c>
      <c r="X21" s="164"/>
      <c r="Y21" s="169">
        <f t="shared" si="11"/>
        <v>74340.090526116765</v>
      </c>
      <c r="Z21" s="247">
        <f t="shared" si="12"/>
        <v>0.05</v>
      </c>
      <c r="AA21" s="169">
        <f t="shared" si="13"/>
        <v>3717.0045263058382</v>
      </c>
      <c r="AB21" s="169">
        <f t="shared" si="14"/>
        <v>0.14242583465117872</v>
      </c>
    </row>
    <row r="22" spans="1:28">
      <c r="A22" s="164" t="str">
        <f>'Price Deck'!A16</f>
        <v>02/2020</v>
      </c>
      <c r="B22" s="51">
        <f>'Gas Type Curve'!A29</f>
        <v>0.54246911779009743</v>
      </c>
      <c r="C22" s="51">
        <f>'Gas Type Curve'!B29</f>
        <v>6.5096294134811696</v>
      </c>
      <c r="D22" s="51">
        <f>'Gas Type Curve'!C29</f>
        <v>905.69701902845225</v>
      </c>
      <c r="E22" s="51">
        <f>'Gas Type Curve'!D29</f>
        <v>27548.284328782091</v>
      </c>
      <c r="F22" s="51">
        <f>'Gas Type Curve'!E29</f>
        <v>296039.39574278536</v>
      </c>
      <c r="G22" s="164"/>
      <c r="H22" s="51">
        <f t="shared" si="2"/>
        <v>780084.76733812236</v>
      </c>
      <c r="I22" s="164">
        <f t="shared" si="3"/>
        <v>780.08476733812233</v>
      </c>
      <c r="J22" s="164">
        <f t="shared" si="0"/>
        <v>29097.161821711965</v>
      </c>
      <c r="K22" s="169">
        <f t="shared" si="4"/>
        <v>2.6230879191160774</v>
      </c>
      <c r="L22" s="164"/>
      <c r="M22" s="170">
        <f t="shared" si="5"/>
        <v>6.3385275146964654E-2</v>
      </c>
      <c r="N22" s="164">
        <v>0.05</v>
      </c>
      <c r="O22" s="155">
        <f t="shared" si="6"/>
        <v>6.3385275146964654E-2</v>
      </c>
      <c r="P22" s="155">
        <f t="shared" si="7"/>
        <v>6.9981236562433283E-2</v>
      </c>
      <c r="Q22" s="155">
        <f t="shared" si="8"/>
        <v>0.15252447818011172</v>
      </c>
      <c r="R22" s="164"/>
      <c r="S22" s="164">
        <f t="shared" si="1"/>
        <v>0</v>
      </c>
      <c r="T22" s="170">
        <f t="shared" si="9"/>
        <v>6.3385275146964654E-2</v>
      </c>
      <c r="U22" s="164"/>
      <c r="V22" s="171">
        <f>'Price Deck'!K16</f>
        <v>2.7675043203125131</v>
      </c>
      <c r="W22" s="169">
        <f t="shared" si="10"/>
        <v>2.6230879191160774</v>
      </c>
      <c r="X22" s="164"/>
      <c r="Y22" s="169">
        <f t="shared" si="11"/>
        <v>76239.995897101937</v>
      </c>
      <c r="Z22" s="247">
        <f t="shared" si="12"/>
        <v>0.05</v>
      </c>
      <c r="AA22" s="169">
        <f t="shared" si="13"/>
        <v>3811.9997948550972</v>
      </c>
      <c r="AB22" s="169">
        <f t="shared" si="14"/>
        <v>0.13837521601562566</v>
      </c>
    </row>
    <row r="23" spans="1:28">
      <c r="A23" s="164" t="str">
        <f>'Price Deck'!A17</f>
        <v>03/2020</v>
      </c>
      <c r="B23" s="51">
        <f>'Gas Type Curve'!A30</f>
        <v>0.58380142982200078</v>
      </c>
      <c r="C23" s="51">
        <f>'Gas Type Curve'!B30</f>
        <v>7.0056171578640098</v>
      </c>
      <c r="D23" s="51">
        <f>'Gas Type Curve'!C30</f>
        <v>939.33914886428636</v>
      </c>
      <c r="E23" s="51">
        <f>'Gas Type Curve'!D30</f>
        <v>28571.565777955377</v>
      </c>
      <c r="F23" s="51">
        <f>'Gas Type Curve'!E30</f>
        <v>324610.96152074076</v>
      </c>
      <c r="G23" s="164"/>
      <c r="H23" s="51">
        <f t="shared" si="2"/>
        <v>809061.02813436231</v>
      </c>
      <c r="I23" s="164">
        <f t="shared" si="3"/>
        <v>809.06102813436235</v>
      </c>
      <c r="J23" s="164">
        <f t="shared" si="0"/>
        <v>30177.976349411714</v>
      </c>
      <c r="K23" s="169">
        <f t="shared" si="4"/>
        <v>2.4831412243598789</v>
      </c>
      <c r="L23" s="164"/>
      <c r="M23" s="170">
        <f t="shared" si="5"/>
        <v>5.4988473461592746E-2</v>
      </c>
      <c r="N23" s="164">
        <v>0.05</v>
      </c>
      <c r="O23" s="155">
        <f t="shared" si="6"/>
        <v>5.4988473461592746E-2</v>
      </c>
      <c r="P23" s="155">
        <f t="shared" si="7"/>
        <v>6.4033502035294843E-2</v>
      </c>
      <c r="Q23" s="155">
        <f t="shared" si="8"/>
        <v>0.14937567754809727</v>
      </c>
      <c r="R23" s="164"/>
      <c r="S23" s="164">
        <f t="shared" si="1"/>
        <v>0</v>
      </c>
      <c r="T23" s="170">
        <f t="shared" si="9"/>
        <v>5.4988473461592746E-2</v>
      </c>
      <c r="U23" s="164"/>
      <c r="V23" s="171">
        <f>'Price Deck'!K17</f>
        <v>2.6198527377907395</v>
      </c>
      <c r="W23" s="169">
        <f t="shared" si="10"/>
        <v>2.4831412243598789</v>
      </c>
      <c r="X23" s="164"/>
      <c r="Y23" s="169">
        <f t="shared" si="11"/>
        <v>74853.294826344587</v>
      </c>
      <c r="Z23" s="247">
        <f t="shared" si="12"/>
        <v>0.05</v>
      </c>
      <c r="AA23" s="169">
        <f t="shared" si="13"/>
        <v>3742.6647413172295</v>
      </c>
      <c r="AB23" s="169">
        <f t="shared" si="14"/>
        <v>0.13099263688953697</v>
      </c>
    </row>
    <row r="24" spans="1:28">
      <c r="A24" s="164" t="str">
        <f>'Price Deck'!A18</f>
        <v>04/2020</v>
      </c>
      <c r="B24" s="51">
        <f>'Gas Type Curve'!A31</f>
        <v>0.60751021301429753</v>
      </c>
      <c r="C24" s="51">
        <f>'Gas Type Curve'!B31</f>
        <v>7.2901225561715703</v>
      </c>
      <c r="D24" s="51">
        <f>'Gas Type Curve'!C31</f>
        <v>967.4676331915299</v>
      </c>
      <c r="E24" s="51">
        <f>'Gas Type Curve'!D31</f>
        <v>29427.140509575704</v>
      </c>
      <c r="F24" s="51">
        <f>'Gas Type Curve'!E31</f>
        <v>354038.10203031648</v>
      </c>
      <c r="G24" s="164"/>
      <c r="H24" s="51">
        <f t="shared" si="2"/>
        <v>833288.33780965512</v>
      </c>
      <c r="I24" s="164">
        <f t="shared" si="3"/>
        <v>833.2883378096551</v>
      </c>
      <c r="J24" s="164">
        <f t="shared" si="0"/>
        <v>31081.655000300136</v>
      </c>
      <c r="K24" s="169">
        <f t="shared" si="4"/>
        <v>2.0967397308737383</v>
      </c>
      <c r="L24" s="164"/>
      <c r="M24" s="170">
        <f t="shared" si="5"/>
        <v>0.05</v>
      </c>
      <c r="N24" s="164">
        <v>0.05</v>
      </c>
      <c r="O24" s="155">
        <f t="shared" si="6"/>
        <v>3.1804383852424303E-2</v>
      </c>
      <c r="P24" s="155">
        <f t="shared" si="7"/>
        <v>4.7611438562133866E-2</v>
      </c>
      <c r="Q24" s="155">
        <f t="shared" si="8"/>
        <v>0.1406816439446591</v>
      </c>
      <c r="R24" s="164"/>
      <c r="S24" s="164">
        <f t="shared" si="1"/>
        <v>0</v>
      </c>
      <c r="T24" s="170">
        <f t="shared" si="9"/>
        <v>0.05</v>
      </c>
      <c r="U24" s="164"/>
      <c r="V24" s="171">
        <f>'Price Deck'!K18</f>
        <v>2.2121775718899124</v>
      </c>
      <c r="W24" s="169">
        <f t="shared" si="10"/>
        <v>2.0967397308737383</v>
      </c>
      <c r="X24" s="164"/>
      <c r="Y24" s="169">
        <f t="shared" si="11"/>
        <v>65098.060240136459</v>
      </c>
      <c r="Z24" s="247">
        <f t="shared" si="12"/>
        <v>0.05</v>
      </c>
      <c r="AA24" s="169">
        <f t="shared" si="13"/>
        <v>3254.9030120068232</v>
      </c>
      <c r="AB24" s="169">
        <f t="shared" si="14"/>
        <v>0.11060887859449563</v>
      </c>
    </row>
    <row r="25" spans="1:28">
      <c r="A25" s="164" t="str">
        <f>'Price Deck'!A19</f>
        <v>05/2020</v>
      </c>
      <c r="B25" s="51">
        <f>'Gas Type Curve'!A32</f>
        <v>0.63714619200466827</v>
      </c>
      <c r="C25" s="51">
        <f>'Gas Type Curve'!B32</f>
        <v>7.6457543040560196</v>
      </c>
      <c r="D25" s="51">
        <f>'Gas Type Curve'!C32</f>
        <v>995.43716308571277</v>
      </c>
      <c r="E25" s="51">
        <f>'Gas Type Curve'!D32</f>
        <v>30277.880377190431</v>
      </c>
      <c r="F25" s="51">
        <f>'Gas Type Curve'!E32</f>
        <v>384315.9824075069</v>
      </c>
      <c r="G25" s="164"/>
      <c r="H25" s="51">
        <f t="shared" si="2"/>
        <v>857378.7386409014</v>
      </c>
      <c r="I25" s="164">
        <f t="shared" si="3"/>
        <v>857.37873864090136</v>
      </c>
      <c r="J25" s="164">
        <f t="shared" si="0"/>
        <v>31980.226951305624</v>
      </c>
      <c r="K25" s="169">
        <f t="shared" si="4"/>
        <v>2.0546318758143509</v>
      </c>
      <c r="L25" s="164"/>
      <c r="M25" s="170">
        <f t="shared" si="5"/>
        <v>0.05</v>
      </c>
      <c r="N25" s="164">
        <v>0.05</v>
      </c>
      <c r="O25" s="155">
        <f t="shared" si="6"/>
        <v>2.9277912548861064E-2</v>
      </c>
      <c r="P25" s="155">
        <f t="shared" si="7"/>
        <v>4.5821854722109902E-2</v>
      </c>
      <c r="Q25" s="155">
        <f t="shared" si="8"/>
        <v>0.13973421720582291</v>
      </c>
      <c r="R25" s="164"/>
      <c r="S25" s="164">
        <f t="shared" si="1"/>
        <v>0</v>
      </c>
      <c r="T25" s="170">
        <f t="shared" si="9"/>
        <v>0.05</v>
      </c>
      <c r="U25" s="164"/>
      <c r="V25" s="171">
        <f>'Price Deck'!K19</f>
        <v>2.1677514320161042</v>
      </c>
      <c r="W25" s="169">
        <f t="shared" si="10"/>
        <v>2.0546318758143509</v>
      </c>
      <c r="X25" s="164"/>
      <c r="Y25" s="169">
        <f t="shared" si="11"/>
        <v>65634.918546066852</v>
      </c>
      <c r="Z25" s="247">
        <f t="shared" si="12"/>
        <v>0.05</v>
      </c>
      <c r="AA25" s="169">
        <f t="shared" si="13"/>
        <v>3281.7459273033428</v>
      </c>
      <c r="AB25" s="169">
        <f t="shared" si="14"/>
        <v>0.1083875716008052</v>
      </c>
    </row>
    <row r="26" spans="1:28">
      <c r="A26" s="164" t="str">
        <f>'Price Deck'!A20</f>
        <v>06/2020</v>
      </c>
      <c r="B26" s="51">
        <f>'Gas Type Curve'!A33</f>
        <v>0.66682168563369248</v>
      </c>
      <c r="C26" s="51">
        <f>'Gas Type Curve'!B33</f>
        <v>8.0018602276043094</v>
      </c>
      <c r="D26" s="51">
        <f>'Gas Type Curve'!C33</f>
        <v>1015.3530017047262</v>
      </c>
      <c r="E26" s="51">
        <f>'Gas Type Curve'!D33</f>
        <v>30883.653801852091</v>
      </c>
      <c r="F26" s="51">
        <f>'Gas Type Curve'!E33</f>
        <v>415199.63620935899</v>
      </c>
      <c r="G26" s="164"/>
      <c r="H26" s="51">
        <f t="shared" si="2"/>
        <v>874532.42470704566</v>
      </c>
      <c r="I26" s="164">
        <f t="shared" si="3"/>
        <v>874.53242470704561</v>
      </c>
      <c r="J26" s="164">
        <f t="shared" si="0"/>
        <v>32620.059441572805</v>
      </c>
      <c r="K26" s="169">
        <f t="shared" si="4"/>
        <v>2.0905473992473578</v>
      </c>
      <c r="L26" s="164"/>
      <c r="M26" s="170">
        <f t="shared" si="5"/>
        <v>0.05</v>
      </c>
      <c r="N26" s="164">
        <v>0.05</v>
      </c>
      <c r="O26" s="155">
        <f t="shared" si="6"/>
        <v>3.1432843954841472E-2</v>
      </c>
      <c r="P26" s="155">
        <f t="shared" si="7"/>
        <v>4.7348264468012699E-2</v>
      </c>
      <c r="Q26" s="155">
        <f t="shared" si="8"/>
        <v>0.14054231648306553</v>
      </c>
      <c r="R26" s="164"/>
      <c r="S26" s="164">
        <f t="shared" si="1"/>
        <v>0</v>
      </c>
      <c r="T26" s="170">
        <f t="shared" si="9"/>
        <v>0.05</v>
      </c>
      <c r="U26" s="164"/>
      <c r="V26" s="171">
        <f>'Price Deck'!K20</f>
        <v>2.2056443160261172</v>
      </c>
      <c r="W26" s="169">
        <f t="shared" si="10"/>
        <v>2.0905473992473578</v>
      </c>
      <c r="X26" s="164"/>
      <c r="Y26" s="169">
        <f t="shared" si="11"/>
        <v>68118.355466173452</v>
      </c>
      <c r="Z26" s="247">
        <f t="shared" si="12"/>
        <v>0.05</v>
      </c>
      <c r="AA26" s="169">
        <f t="shared" si="13"/>
        <v>3405.9177733086726</v>
      </c>
      <c r="AB26" s="169">
        <f t="shared" si="14"/>
        <v>0.11028221580130586</v>
      </c>
    </row>
    <row r="27" spans="1:28">
      <c r="A27" s="164" t="str">
        <f>'Price Deck'!A21</f>
        <v>07/2020</v>
      </c>
      <c r="B27" s="51">
        <f>'Gas Type Curve'!A34</f>
        <v>0.71439731057290079</v>
      </c>
      <c r="C27" s="51">
        <f>'Gas Type Curve'!B34</f>
        <v>8.5727677268748099</v>
      </c>
      <c r="D27" s="51">
        <f>'Gas Type Curve'!C34</f>
        <v>979.05195583063301</v>
      </c>
      <c r="E27" s="51">
        <f>'Gas Type Curve'!D34</f>
        <v>29779.496989848423</v>
      </c>
      <c r="F27" s="51">
        <f>'Gas Type Curve'!E34</f>
        <v>444979.13319920743</v>
      </c>
      <c r="G27" s="164"/>
      <c r="H27" s="51">
        <f t="shared" si="2"/>
        <v>843266.01626153779</v>
      </c>
      <c r="I27" s="164">
        <f t="shared" si="3"/>
        <v>843.26601626153774</v>
      </c>
      <c r="J27" s="164">
        <f t="shared" si="0"/>
        <v>31453.822406555359</v>
      </c>
      <c r="K27" s="169">
        <f t="shared" si="4"/>
        <v>2.1277013890056407</v>
      </c>
      <c r="L27" s="164"/>
      <c r="M27" s="170">
        <f t="shared" si="5"/>
        <v>0.05</v>
      </c>
      <c r="N27" s="164">
        <v>0.05</v>
      </c>
      <c r="O27" s="155">
        <f t="shared" si="6"/>
        <v>3.3662083340338447E-2</v>
      </c>
      <c r="P27" s="155">
        <f t="shared" si="7"/>
        <v>4.8927309032739716E-2</v>
      </c>
      <c r="Q27" s="155">
        <f t="shared" si="8"/>
        <v>0.14137828125262691</v>
      </c>
      <c r="R27" s="164"/>
      <c r="S27" s="164">
        <f t="shared" si="1"/>
        <v>0</v>
      </c>
      <c r="T27" s="170">
        <f t="shared" si="9"/>
        <v>0.05</v>
      </c>
      <c r="U27" s="164"/>
      <c r="V27" s="171">
        <f>'Price Deck'!K21</f>
        <v>2.2448438512088891</v>
      </c>
      <c r="W27" s="169">
        <f t="shared" si="10"/>
        <v>2.1277013890056407</v>
      </c>
      <c r="X27" s="164"/>
      <c r="Y27" s="169">
        <f t="shared" si="11"/>
        <v>66850.320709754858</v>
      </c>
      <c r="Z27" s="247">
        <f t="shared" si="12"/>
        <v>0.05</v>
      </c>
      <c r="AA27" s="169">
        <f t="shared" si="13"/>
        <v>3342.516035487743</v>
      </c>
      <c r="AB27" s="169">
        <f t="shared" si="14"/>
        <v>0.11224219256044446</v>
      </c>
    </row>
    <row r="28" spans="1:28">
      <c r="A28" s="164" t="str">
        <f>'Price Deck'!A22</f>
        <v>08/2020</v>
      </c>
      <c r="B28" s="51">
        <f>'Gas Type Curve'!A35</f>
        <v>0.7322974418830851</v>
      </c>
      <c r="C28" s="51">
        <f>'Gas Type Curve'!B35</f>
        <v>8.7875693025970207</v>
      </c>
      <c r="D28" s="51">
        <f>'Gas Type Curve'!C35</f>
        <v>1001.5078402162386</v>
      </c>
      <c r="E28" s="51">
        <f>'Gas Type Curve'!D35</f>
        <v>30462.530139910592</v>
      </c>
      <c r="F28" s="51">
        <f>'Gas Type Curve'!E35</f>
        <v>475441.66333911801</v>
      </c>
      <c r="G28" s="164"/>
      <c r="H28" s="51">
        <f t="shared" si="2"/>
        <v>862607.46597184823</v>
      </c>
      <c r="I28" s="164">
        <f t="shared" si="3"/>
        <v>862.60746597184823</v>
      </c>
      <c r="J28" s="164">
        <f t="shared" si="0"/>
        <v>32175.258480749937</v>
      </c>
      <c r="K28" s="169">
        <f t="shared" si="4"/>
        <v>2.1289398553309167</v>
      </c>
      <c r="L28" s="164"/>
      <c r="M28" s="170">
        <f t="shared" si="5"/>
        <v>0.05</v>
      </c>
      <c r="N28" s="164">
        <v>0.05</v>
      </c>
      <c r="O28" s="155">
        <f t="shared" si="6"/>
        <v>3.3736391319855008E-2</v>
      </c>
      <c r="P28" s="155">
        <f t="shared" si="7"/>
        <v>4.8979943851563949E-2</v>
      </c>
      <c r="Q28" s="155">
        <f t="shared" si="8"/>
        <v>0.14140614674494562</v>
      </c>
      <c r="R28" s="164"/>
      <c r="S28" s="164">
        <f t="shared" si="1"/>
        <v>0</v>
      </c>
      <c r="T28" s="170">
        <f t="shared" si="9"/>
        <v>0.05</v>
      </c>
      <c r="U28" s="164"/>
      <c r="V28" s="171">
        <f>'Price Deck'!K22</f>
        <v>2.2461505023816479</v>
      </c>
      <c r="W28" s="169">
        <f t="shared" si="10"/>
        <v>2.1289398553309167</v>
      </c>
      <c r="X28" s="164"/>
      <c r="Y28" s="169">
        <f t="shared" si="11"/>
        <v>68423.42737757627</v>
      </c>
      <c r="Z28" s="247">
        <f t="shared" si="12"/>
        <v>0.05</v>
      </c>
      <c r="AA28" s="169">
        <f t="shared" si="13"/>
        <v>3421.1713688788136</v>
      </c>
      <c r="AB28" s="169">
        <f t="shared" si="14"/>
        <v>0.1123075251190824</v>
      </c>
    </row>
    <row r="29" spans="1:28">
      <c r="A29" s="164" t="str">
        <f>'Price Deck'!A23</f>
        <v>09/2020</v>
      </c>
      <c r="B29" s="51">
        <f>'Gas Type Curve'!A36</f>
        <v>0.77979403754498511</v>
      </c>
      <c r="C29" s="51">
        <f>'Gas Type Curve'!B36</f>
        <v>9.3575284505398209</v>
      </c>
      <c r="D29" s="51">
        <f>'Gas Type Curve'!C36</f>
        <v>978.77413112588874</v>
      </c>
      <c r="E29" s="51">
        <f>'Gas Type Curve'!D36</f>
        <v>29771.046488412452</v>
      </c>
      <c r="F29" s="51">
        <f>'Gas Type Curve'!E36</f>
        <v>505212.70982753043</v>
      </c>
      <c r="G29" s="164"/>
      <c r="H29" s="51">
        <f t="shared" si="2"/>
        <v>843026.72341237532</v>
      </c>
      <c r="I29" s="164">
        <f t="shared" si="3"/>
        <v>843.0267234123753</v>
      </c>
      <c r="J29" s="164">
        <f t="shared" si="0"/>
        <v>31444.896783281598</v>
      </c>
      <c r="K29" s="169">
        <f t="shared" si="4"/>
        <v>2.1054089951506709</v>
      </c>
      <c r="L29" s="164"/>
      <c r="M29" s="170">
        <f t="shared" si="5"/>
        <v>0.05</v>
      </c>
      <c r="N29" s="164">
        <v>0.05</v>
      </c>
      <c r="O29" s="155">
        <f t="shared" si="6"/>
        <v>3.2324539709040263E-2</v>
      </c>
      <c r="P29" s="155">
        <f t="shared" si="7"/>
        <v>4.7979882293903507E-2</v>
      </c>
      <c r="Q29" s="155">
        <f t="shared" si="8"/>
        <v>0.14087670239089009</v>
      </c>
      <c r="R29" s="164"/>
      <c r="S29" s="164">
        <f t="shared" si="1"/>
        <v>0</v>
      </c>
      <c r="T29" s="170">
        <f t="shared" si="9"/>
        <v>0.05</v>
      </c>
      <c r="U29" s="164"/>
      <c r="V29" s="171">
        <f>'Price Deck'!K23</f>
        <v>2.2213241300992257</v>
      </c>
      <c r="W29" s="169">
        <f t="shared" si="10"/>
        <v>2.1054089951506709</v>
      </c>
      <c r="X29" s="164"/>
      <c r="Y29" s="169">
        <f t="shared" si="11"/>
        <v>66131.143943016403</v>
      </c>
      <c r="Z29" s="247">
        <f t="shared" si="12"/>
        <v>0.05</v>
      </c>
      <c r="AA29" s="169">
        <f t="shared" si="13"/>
        <v>3306.5571971508202</v>
      </c>
      <c r="AB29" s="169">
        <f t="shared" si="14"/>
        <v>0.1110662065049613</v>
      </c>
    </row>
    <row r="30" spans="1:28">
      <c r="A30" s="164" t="str">
        <f>'Price Deck'!A24</f>
        <v>10/2020</v>
      </c>
      <c r="B30" s="51">
        <f>'Gas Type Curve'!A37</f>
        <v>0.80354233537593578</v>
      </c>
      <c r="C30" s="51">
        <f>'Gas Type Curve'!B37</f>
        <v>9.6425080245112298</v>
      </c>
      <c r="D30" s="51">
        <f>'Gas Type Curve'!C37</f>
        <v>1006.7436610200714</v>
      </c>
      <c r="E30" s="51">
        <f>'Gas Type Curve'!D37</f>
        <v>30621.786356027173</v>
      </c>
      <c r="F30" s="51">
        <f>'Gas Type Curve'!E37</f>
        <v>535834.49618355755</v>
      </c>
      <c r="G30" s="164"/>
      <c r="H30" s="51">
        <f t="shared" si="2"/>
        <v>867117.12424362137</v>
      </c>
      <c r="I30" s="164">
        <f t="shared" si="3"/>
        <v>867.11712424362133</v>
      </c>
      <c r="J30" s="164">
        <f t="shared" si="0"/>
        <v>32343.468734287078</v>
      </c>
      <c r="K30" s="169">
        <f t="shared" si="4"/>
        <v>2.1289398553309167</v>
      </c>
      <c r="L30" s="164"/>
      <c r="M30" s="170">
        <f t="shared" si="5"/>
        <v>0.05</v>
      </c>
      <c r="N30" s="164">
        <v>0.05</v>
      </c>
      <c r="O30" s="155">
        <f t="shared" si="6"/>
        <v>3.3736391319855008E-2</v>
      </c>
      <c r="P30" s="155">
        <f t="shared" si="7"/>
        <v>4.8979943851563949E-2</v>
      </c>
      <c r="Q30" s="155">
        <f t="shared" si="8"/>
        <v>0.14140614674494562</v>
      </c>
      <c r="R30" s="164"/>
      <c r="S30" s="164">
        <f t="shared" si="1"/>
        <v>0</v>
      </c>
      <c r="T30" s="170">
        <f t="shared" si="9"/>
        <v>0.05</v>
      </c>
      <c r="U30" s="164"/>
      <c r="V30" s="171">
        <f>'Price Deck'!K24</f>
        <v>2.2461505023816479</v>
      </c>
      <c r="W30" s="169">
        <f t="shared" si="10"/>
        <v>2.1289398553309167</v>
      </c>
      <c r="X30" s="164"/>
      <c r="Y30" s="169">
        <f t="shared" si="11"/>
        <v>68781.140807413933</v>
      </c>
      <c r="Z30" s="247">
        <f t="shared" si="12"/>
        <v>0.05</v>
      </c>
      <c r="AA30" s="169">
        <f t="shared" si="13"/>
        <v>3439.057040370697</v>
      </c>
      <c r="AB30" s="169">
        <f t="shared" si="14"/>
        <v>0.11230752511908242</v>
      </c>
    </row>
    <row r="31" spans="1:28">
      <c r="A31" s="164" t="str">
        <f>'Price Deck'!A25</f>
        <v>11/2020</v>
      </c>
      <c r="B31" s="51">
        <f>'Gas Type Curve'!A38</f>
        <v>0.83325734364361415</v>
      </c>
      <c r="C31" s="51">
        <f>'Gas Type Curve'!B38</f>
        <v>9.9990881237233697</v>
      </c>
      <c r="D31" s="51">
        <f>'Gas Type Curve'!C38</f>
        <v>1010.7110715218171</v>
      </c>
      <c r="E31" s="51">
        <f>'Gas Type Curve'!D38</f>
        <v>30742.461758788602</v>
      </c>
      <c r="F31" s="51">
        <f>'Gas Type Curve'!E38</f>
        <v>566576.95794234611</v>
      </c>
      <c r="G31" s="164"/>
      <c r="H31" s="51">
        <f t="shared" si="2"/>
        <v>870534.28962361673</v>
      </c>
      <c r="I31" s="164">
        <f t="shared" si="3"/>
        <v>870.5342896236167</v>
      </c>
      <c r="J31" s="164">
        <f t="shared" si="0"/>
        <v>32470.929002960904</v>
      </c>
      <c r="K31" s="169">
        <f t="shared" si="4"/>
        <v>2.1821939073177883</v>
      </c>
      <c r="L31" s="164"/>
      <c r="M31" s="170">
        <f t="shared" si="5"/>
        <v>0.05</v>
      </c>
      <c r="N31" s="164">
        <v>0.05</v>
      </c>
      <c r="O31" s="155">
        <f t="shared" si="6"/>
        <v>3.6931634439067308E-2</v>
      </c>
      <c r="P31" s="155">
        <f t="shared" si="7"/>
        <v>5.1243241061005994E-2</v>
      </c>
      <c r="Q31" s="155">
        <f t="shared" si="8"/>
        <v>0.14260436291465023</v>
      </c>
      <c r="R31" s="164"/>
      <c r="S31" s="164">
        <f t="shared" si="1"/>
        <v>0</v>
      </c>
      <c r="T31" s="170">
        <f t="shared" si="9"/>
        <v>0.05</v>
      </c>
      <c r="U31" s="164"/>
      <c r="V31" s="171">
        <f>'Price Deck'!K25</f>
        <v>2.3023365028102871</v>
      </c>
      <c r="W31" s="169">
        <f t="shared" si="10"/>
        <v>2.1821939073177883</v>
      </c>
      <c r="X31" s="164"/>
      <c r="Y31" s="169">
        <f t="shared" si="11"/>
        <v>70779.491893508341</v>
      </c>
      <c r="Z31" s="247">
        <f t="shared" si="12"/>
        <v>0.05</v>
      </c>
      <c r="AA31" s="169">
        <f t="shared" si="13"/>
        <v>3538.9745946754174</v>
      </c>
      <c r="AB31" s="169">
        <f t="shared" si="14"/>
        <v>0.11511682514051437</v>
      </c>
    </row>
    <row r="32" spans="1:28">
      <c r="A32" s="164" t="str">
        <f>'Price Deck'!A26</f>
        <v>12/2020</v>
      </c>
      <c r="B32" s="51">
        <f>'Gas Type Curve'!A39</f>
        <v>0.86293283727263337</v>
      </c>
      <c r="C32" s="51">
        <f>'Gas Type Curve'!B39</f>
        <v>10.355194047271601</v>
      </c>
      <c r="D32" s="51">
        <f>'Gas Type Curve'!C39</f>
        <v>1033.1669559074217</v>
      </c>
      <c r="E32" s="51">
        <f>'Gas Type Curve'!D39</f>
        <v>31425.494908850742</v>
      </c>
      <c r="F32" s="51">
        <f>'Gas Type Curve'!E39</f>
        <v>598002.45285119687</v>
      </c>
      <c r="G32" s="164"/>
      <c r="H32" s="51">
        <f t="shared" si="2"/>
        <v>889875.73933392635</v>
      </c>
      <c r="I32" s="164">
        <f t="shared" si="3"/>
        <v>889.87573933392639</v>
      </c>
      <c r="J32" s="164">
        <f t="shared" si="0"/>
        <v>33192.365077155453</v>
      </c>
      <c r="K32" s="169">
        <f t="shared" si="4"/>
        <v>2.3704407887597543</v>
      </c>
      <c r="L32" s="164"/>
      <c r="M32" s="170">
        <f t="shared" si="5"/>
        <v>0.05</v>
      </c>
      <c r="N32" s="164">
        <v>0.05</v>
      </c>
      <c r="O32" s="155">
        <f t="shared" si="6"/>
        <v>4.8226447325585266E-2</v>
      </c>
      <c r="P32" s="155">
        <f t="shared" si="7"/>
        <v>5.9243733522289552E-2</v>
      </c>
      <c r="Q32" s="155">
        <f t="shared" si="8"/>
        <v>0.14683991774709448</v>
      </c>
      <c r="R32" s="164"/>
      <c r="S32" s="164">
        <f t="shared" si="1"/>
        <v>0</v>
      </c>
      <c r="T32" s="170">
        <f t="shared" si="9"/>
        <v>0.05</v>
      </c>
      <c r="U32" s="164"/>
      <c r="V32" s="171">
        <f>'Price Deck'!K26</f>
        <v>2.5009474810696646</v>
      </c>
      <c r="W32" s="169">
        <f t="shared" si="10"/>
        <v>2.3704407887597543</v>
      </c>
      <c r="X32" s="164"/>
      <c r="Y32" s="169">
        <f t="shared" si="11"/>
        <v>78593.512333657825</v>
      </c>
      <c r="Z32" s="247">
        <f t="shared" si="12"/>
        <v>0.05</v>
      </c>
      <c r="AA32" s="169">
        <f t="shared" si="13"/>
        <v>3929.6756166828914</v>
      </c>
      <c r="AB32" s="169">
        <f t="shared" si="14"/>
        <v>0.12504737405348323</v>
      </c>
    </row>
    <row r="33" spans="1:28">
      <c r="A33" s="164" t="str">
        <f>'Price Deck'!A27</f>
        <v>01/2021</v>
      </c>
      <c r="B33" s="51">
        <f>'Gas Type Curve'!A40</f>
        <v>0.91666666666666663</v>
      </c>
      <c r="C33" s="51">
        <f>'Gas Type Curve'!B40</f>
        <v>11</v>
      </c>
      <c r="D33" s="51">
        <f>'Gas Type Curve'!C40</f>
        <v>1021.7307371131864</v>
      </c>
      <c r="E33" s="51">
        <f>'Gas Type Curve'!D40</f>
        <v>31077.64325385942</v>
      </c>
      <c r="F33" s="51">
        <f>'Gas Type Curve'!E40</f>
        <v>629080.09610505623</v>
      </c>
      <c r="G33" s="164"/>
      <c r="H33" s="51">
        <f t="shared" si="2"/>
        <v>880025.62401953712</v>
      </c>
      <c r="I33" s="164">
        <f t="shared" si="3"/>
        <v>880.02562401953708</v>
      </c>
      <c r="J33" s="164">
        <f t="shared" si="0"/>
        <v>32824.955775928735</v>
      </c>
      <c r="K33" s="169">
        <f t="shared" si="4"/>
        <v>2.5178182814676098</v>
      </c>
      <c r="L33" s="164"/>
      <c r="M33" s="170">
        <f t="shared" si="5"/>
        <v>5.7069096888056593E-2</v>
      </c>
      <c r="N33" s="164">
        <v>0.05</v>
      </c>
      <c r="O33" s="155">
        <f t="shared" si="6"/>
        <v>5.7069096888056593E-2</v>
      </c>
      <c r="P33" s="155">
        <f t="shared" si="7"/>
        <v>6.5507276962373406E-2</v>
      </c>
      <c r="Q33" s="155">
        <f t="shared" si="8"/>
        <v>0.15015591133302122</v>
      </c>
      <c r="R33" s="164"/>
      <c r="S33" s="164">
        <f t="shared" si="1"/>
        <v>0</v>
      </c>
      <c r="T33" s="170">
        <f t="shared" si="9"/>
        <v>5.7069096888056593E-2</v>
      </c>
      <c r="U33" s="164"/>
      <c r="V33" s="171">
        <f>'Price Deck'!K27</f>
        <v>2.6564389706279932</v>
      </c>
      <c r="W33" s="169">
        <f t="shared" si="10"/>
        <v>2.5178182814676098</v>
      </c>
      <c r="X33" s="164"/>
      <c r="Y33" s="169">
        <f t="shared" si="11"/>
        <v>82555.862654826313</v>
      </c>
      <c r="Z33" s="247">
        <f t="shared" si="12"/>
        <v>0.05</v>
      </c>
      <c r="AA33" s="169">
        <f t="shared" si="13"/>
        <v>4127.7931327413162</v>
      </c>
      <c r="AB33" s="169">
        <f t="shared" si="14"/>
        <v>0.13282194853139967</v>
      </c>
    </row>
    <row r="34" spans="1:28">
      <c r="A34" s="164" t="str">
        <f>'Price Deck'!A28</f>
        <v>02/2021</v>
      </c>
      <c r="B34" s="51">
        <f>'Gas Type Curve'!A41</f>
        <v>1</v>
      </c>
      <c r="C34" s="51">
        <f>'Gas Type Curve'!B41</f>
        <v>12</v>
      </c>
      <c r="D34" s="51">
        <f>'Gas Type Curve'!C41</f>
        <v>960.83410678204245</v>
      </c>
      <c r="E34" s="51">
        <f>'Gas Type Curve'!D41</f>
        <v>29225.370747953792</v>
      </c>
      <c r="F34" s="51">
        <f>'Gas Type Curve'!E41</f>
        <v>658305.46685301</v>
      </c>
      <c r="G34" s="164"/>
      <c r="H34" s="51">
        <f t="shared" si="2"/>
        <v>827574.82346980751</v>
      </c>
      <c r="I34" s="164">
        <f t="shared" si="3"/>
        <v>827.57482346980748</v>
      </c>
      <c r="J34" s="164">
        <f t="shared" si="0"/>
        <v>30868.540915423819</v>
      </c>
      <c r="K34" s="169">
        <f t="shared" si="4"/>
        <v>2.4509410999027001</v>
      </c>
      <c r="L34" s="164"/>
      <c r="M34" s="170">
        <f t="shared" si="5"/>
        <v>5.3056465994162014E-2</v>
      </c>
      <c r="N34" s="164">
        <v>0.05</v>
      </c>
      <c r="O34" s="155">
        <f t="shared" si="6"/>
        <v>5.3056465994162014E-2</v>
      </c>
      <c r="P34" s="155">
        <f t="shared" si="7"/>
        <v>6.2664996745864746E-2</v>
      </c>
      <c r="Q34" s="155">
        <f t="shared" si="8"/>
        <v>0.14865117474781073</v>
      </c>
      <c r="R34" s="164"/>
      <c r="S34" s="164">
        <f t="shared" si="1"/>
        <v>0</v>
      </c>
      <c r="T34" s="170">
        <f t="shared" si="9"/>
        <v>5.3056465994162014E-2</v>
      </c>
      <c r="U34" s="164"/>
      <c r="V34" s="171">
        <f>'Price Deck'!K28</f>
        <v>2.5858798072990035</v>
      </c>
      <c r="W34" s="169">
        <f t="shared" si="10"/>
        <v>2.4509410999027001</v>
      </c>
      <c r="X34" s="164"/>
      <c r="Y34" s="169">
        <f t="shared" si="11"/>
        <v>75573.29607796068</v>
      </c>
      <c r="Z34" s="247">
        <f t="shared" si="12"/>
        <v>0.05</v>
      </c>
      <c r="AA34" s="169">
        <f t="shared" si="13"/>
        <v>3778.6648038980343</v>
      </c>
      <c r="AB34" s="169">
        <f t="shared" si="14"/>
        <v>0.12929399036495018</v>
      </c>
    </row>
    <row r="35" spans="1:28">
      <c r="A35" s="164" t="str">
        <f>'Price Deck'!A29</f>
        <v>03/2021</v>
      </c>
      <c r="B35" s="51">
        <f>'Gas Type Curve'!A42</f>
        <v>1.0833333333333333</v>
      </c>
      <c r="C35" s="51">
        <f>'Gas Type Curve'!B42</f>
        <v>13</v>
      </c>
      <c r="D35" s="51">
        <f>'Gas Type Curve'!C42</f>
        <v>908.02496020122555</v>
      </c>
      <c r="E35" s="51">
        <f>'Gas Type Curve'!D42</f>
        <v>27619.092539453944</v>
      </c>
      <c r="F35" s="51">
        <f>'Gas Type Curve'!E42</f>
        <v>685924.559392464</v>
      </c>
      <c r="G35" s="164"/>
      <c r="H35" s="51">
        <f t="shared" si="2"/>
        <v>782089.84343971731</v>
      </c>
      <c r="I35" s="164">
        <f t="shared" si="3"/>
        <v>782.08984343971736</v>
      </c>
      <c r="J35" s="164">
        <f t="shared" si="0"/>
        <v>29171.951160301454</v>
      </c>
      <c r="K35" s="169">
        <f t="shared" si="4"/>
        <v>2.2726019490629432</v>
      </c>
      <c r="L35" s="164"/>
      <c r="M35" s="170">
        <f t="shared" si="5"/>
        <v>0.05</v>
      </c>
      <c r="N35" s="164">
        <v>0.05</v>
      </c>
      <c r="O35" s="155">
        <f t="shared" si="6"/>
        <v>4.2356116943776598E-2</v>
      </c>
      <c r="P35" s="155">
        <f t="shared" si="7"/>
        <v>5.5085582835175076E-2</v>
      </c>
      <c r="Q35" s="155">
        <f t="shared" si="8"/>
        <v>0.14463854385391622</v>
      </c>
      <c r="R35" s="164"/>
      <c r="S35" s="164">
        <f t="shared" si="1"/>
        <v>0</v>
      </c>
      <c r="T35" s="170">
        <f t="shared" si="9"/>
        <v>0.05</v>
      </c>
      <c r="U35" s="164"/>
      <c r="V35" s="171">
        <f>'Price Deck'!K29</f>
        <v>2.3977220384216991</v>
      </c>
      <c r="W35" s="169">
        <f t="shared" si="10"/>
        <v>2.2726019490629432</v>
      </c>
      <c r="X35" s="164"/>
      <c r="Y35" s="169">
        <f t="shared" si="11"/>
        <v>66222.906863057055</v>
      </c>
      <c r="Z35" s="247">
        <f t="shared" si="12"/>
        <v>0.05</v>
      </c>
      <c r="AA35" s="169">
        <f t="shared" si="13"/>
        <v>3311.145343152853</v>
      </c>
      <c r="AB35" s="169">
        <f t="shared" si="14"/>
        <v>0.11988610192108497</v>
      </c>
    </row>
    <row r="36" spans="1:28">
      <c r="A36" s="164" t="str">
        <f>'Price Deck'!A30</f>
        <v>04/2021</v>
      </c>
      <c r="B36" s="51">
        <f>'Gas Type Curve'!A43</f>
        <v>1.1666666666666665</v>
      </c>
      <c r="C36" s="51">
        <f>'Gas Type Curve'!B43</f>
        <v>13.999999999999998</v>
      </c>
      <c r="D36" s="51">
        <f>'Gas Type Curve'!C43</f>
        <v>861.72255249643035</v>
      </c>
      <c r="E36" s="51">
        <f>'Gas Type Curve'!D43</f>
        <v>26210.727638433091</v>
      </c>
      <c r="F36" s="51">
        <f>'Gas Type Curve'!E43</f>
        <v>712135.2870308971</v>
      </c>
      <c r="G36" s="164"/>
      <c r="H36" s="51">
        <f t="shared" si="2"/>
        <v>742209.1745375098</v>
      </c>
      <c r="I36" s="164">
        <f t="shared" si="3"/>
        <v>742.20917453750985</v>
      </c>
      <c r="J36" s="164">
        <f t="shared" si="0"/>
        <v>27684.402210249114</v>
      </c>
      <c r="K36" s="169">
        <f t="shared" si="4"/>
        <v>1.9580315024428163</v>
      </c>
      <c r="L36" s="164"/>
      <c r="M36" s="170">
        <f t="shared" si="5"/>
        <v>0.05</v>
      </c>
      <c r="N36" s="164">
        <v>0.05</v>
      </c>
      <c r="O36" s="155">
        <f t="shared" si="6"/>
        <v>2.3481890146568988E-2</v>
      </c>
      <c r="P36" s="155">
        <f t="shared" si="7"/>
        <v>4.171633885381968E-2</v>
      </c>
      <c r="Q36" s="155">
        <f t="shared" si="8"/>
        <v>0.13756070880496335</v>
      </c>
      <c r="R36" s="164"/>
      <c r="S36" s="164">
        <f t="shared" si="1"/>
        <v>0</v>
      </c>
      <c r="T36" s="170">
        <f t="shared" si="9"/>
        <v>0.05</v>
      </c>
      <c r="U36" s="164"/>
      <c r="V36" s="171">
        <f>'Price Deck'!K30</f>
        <v>2.065832640540898</v>
      </c>
      <c r="W36" s="169">
        <f t="shared" si="10"/>
        <v>1.9580315024428163</v>
      </c>
      <c r="X36" s="164"/>
      <c r="Y36" s="169">
        <f t="shared" si="11"/>
        <v>54146.976687802526</v>
      </c>
      <c r="Z36" s="247">
        <f t="shared" si="12"/>
        <v>0.05</v>
      </c>
      <c r="AA36" s="169">
        <f t="shared" si="13"/>
        <v>2707.3488343901263</v>
      </c>
      <c r="AB36" s="169">
        <f t="shared" si="14"/>
        <v>0.1032916320270449</v>
      </c>
    </row>
    <row r="37" spans="1:28">
      <c r="A37" s="164" t="str">
        <f>'Price Deck'!A31</f>
        <v>05/2021</v>
      </c>
      <c r="B37" s="51">
        <f>'Gas Type Curve'!A44</f>
        <v>1.2499999999999998</v>
      </c>
      <c r="C37" s="51">
        <f>'Gas Type Curve'!B44</f>
        <v>14.999999999999996</v>
      </c>
      <c r="D37" s="51">
        <f>'Gas Type Curve'!C44</f>
        <v>820.74081367340602</v>
      </c>
      <c r="E37" s="51">
        <f>'Gas Type Curve'!D44</f>
        <v>24964.199749232768</v>
      </c>
      <c r="F37" s="51">
        <f>'Gas Type Curve'!E44</f>
        <v>737099.48678012984</v>
      </c>
      <c r="G37" s="164"/>
      <c r="H37" s="51">
        <f t="shared" si="2"/>
        <v>706911.24429902423</v>
      </c>
      <c r="I37" s="164">
        <f t="shared" si="3"/>
        <v>706.91124429902425</v>
      </c>
      <c r="J37" s="164">
        <f t="shared" si="0"/>
        <v>26367.789412353603</v>
      </c>
      <c r="K37" s="169">
        <f t="shared" si="4"/>
        <v>1.9184005800339814</v>
      </c>
      <c r="L37" s="164"/>
      <c r="M37" s="170">
        <f t="shared" si="5"/>
        <v>0.05</v>
      </c>
      <c r="N37" s="164">
        <v>0.05</v>
      </c>
      <c r="O37" s="155">
        <f t="shared" si="6"/>
        <v>2.1104034802038894E-2</v>
      </c>
      <c r="P37" s="155">
        <f t="shared" si="7"/>
        <v>4.0032024651444197E-2</v>
      </c>
      <c r="Q37" s="155">
        <f t="shared" si="8"/>
        <v>0.13666901305076457</v>
      </c>
      <c r="R37" s="164"/>
      <c r="S37" s="164">
        <f t="shared" si="1"/>
        <v>0</v>
      </c>
      <c r="T37" s="170">
        <f t="shared" si="9"/>
        <v>0.05</v>
      </c>
      <c r="U37" s="164"/>
      <c r="V37" s="171">
        <f>'Price Deck'!K31</f>
        <v>2.024019803012608</v>
      </c>
      <c r="W37" s="169">
        <f t="shared" si="10"/>
        <v>1.9184005800339814</v>
      </c>
      <c r="X37" s="164"/>
      <c r="Y37" s="169">
        <f t="shared" si="11"/>
        <v>50528.034658809505</v>
      </c>
      <c r="Z37" s="247">
        <f t="shared" si="12"/>
        <v>0.05</v>
      </c>
      <c r="AA37" s="169">
        <f t="shared" si="13"/>
        <v>2526.4017329404755</v>
      </c>
      <c r="AB37" s="169">
        <f t="shared" si="14"/>
        <v>0.10120099015063042</v>
      </c>
    </row>
    <row r="38" spans="1:28">
      <c r="A38" s="164" t="str">
        <f>'Price Deck'!A32</f>
        <v>06/2021</v>
      </c>
      <c r="B38" s="51">
        <f>'Gas Type Curve'!A45</f>
        <v>1.333333333333333</v>
      </c>
      <c r="C38" s="51">
        <f>'Gas Type Curve'!B45</f>
        <v>15.999999999999996</v>
      </c>
      <c r="D38" s="51">
        <f>'Gas Type Curve'!C45</f>
        <v>784.17110587810248</v>
      </c>
      <c r="E38" s="51">
        <f>'Gas Type Curve'!D45</f>
        <v>23851.871137125618</v>
      </c>
      <c r="F38" s="51">
        <f>'Gas Type Curve'!E45</f>
        <v>760951.35791725549</v>
      </c>
      <c r="G38" s="164"/>
      <c r="H38" s="51">
        <f t="shared" si="2"/>
        <v>675413.43498998613</v>
      </c>
      <c r="I38" s="164">
        <f t="shared" si="3"/>
        <v>675.41343498998617</v>
      </c>
      <c r="J38" s="164">
        <f t="shared" si="0"/>
        <v>25192.921125126482</v>
      </c>
      <c r="K38" s="169">
        <f t="shared" si="4"/>
        <v>1.9654623003944725</v>
      </c>
      <c r="L38" s="164"/>
      <c r="M38" s="170">
        <f t="shared" si="5"/>
        <v>0.05</v>
      </c>
      <c r="N38" s="164">
        <v>0.05</v>
      </c>
      <c r="O38" s="155">
        <f t="shared" si="6"/>
        <v>2.3927738023668356E-2</v>
      </c>
      <c r="P38" s="155">
        <f t="shared" si="7"/>
        <v>4.2032147766765067E-2</v>
      </c>
      <c r="Q38" s="155">
        <f t="shared" si="8"/>
        <v>0.13772790175887561</v>
      </c>
      <c r="R38" s="164"/>
      <c r="S38" s="164">
        <f t="shared" si="1"/>
        <v>0</v>
      </c>
      <c r="T38" s="170">
        <f t="shared" si="9"/>
        <v>0.05</v>
      </c>
      <c r="U38" s="164"/>
      <c r="V38" s="171">
        <f>'Price Deck'!K32</f>
        <v>2.073672547577452</v>
      </c>
      <c r="W38" s="169">
        <f t="shared" si="10"/>
        <v>1.9654623003944725</v>
      </c>
      <c r="X38" s="164"/>
      <c r="Y38" s="169">
        <f t="shared" si="11"/>
        <v>49460.97038541238</v>
      </c>
      <c r="Z38" s="247">
        <f t="shared" si="12"/>
        <v>0.05</v>
      </c>
      <c r="AA38" s="169">
        <f t="shared" si="13"/>
        <v>2473.0485192706192</v>
      </c>
      <c r="AB38" s="169">
        <f t="shared" si="14"/>
        <v>0.10368362737887261</v>
      </c>
    </row>
    <row r="39" spans="1:28">
      <c r="A39" s="164" t="str">
        <f>'Price Deck'!A33</f>
        <v>07/2021</v>
      </c>
      <c r="B39" s="51">
        <f>'Gas Type Curve'!A46</f>
        <v>1.4166666666666663</v>
      </c>
      <c r="C39" s="51">
        <f>'Gas Type Curve'!B46</f>
        <v>16.999999999999996</v>
      </c>
      <c r="D39" s="51">
        <f>'Gas Type Curve'!C46</f>
        <v>751.30470554840667</v>
      </c>
      <c r="E39" s="51">
        <f>'Gas Type Curve'!D46</f>
        <v>22852.184793764038</v>
      </c>
      <c r="F39" s="51">
        <f>'Gas Type Curve'!E46</f>
        <v>783803.54271101952</v>
      </c>
      <c r="G39" s="164"/>
      <c r="H39" s="51">
        <f t="shared" si="2"/>
        <v>647105.31680501613</v>
      </c>
      <c r="I39" s="164">
        <f t="shared" si="3"/>
        <v>647.10531680501617</v>
      </c>
      <c r="J39" s="164">
        <f t="shared" si="0"/>
        <v>24137.028316827102</v>
      </c>
      <c r="K39" s="169">
        <f t="shared" si="4"/>
        <v>2.016239419730792</v>
      </c>
      <c r="L39" s="164"/>
      <c r="M39" s="170">
        <f t="shared" si="5"/>
        <v>0.05</v>
      </c>
      <c r="N39" s="164">
        <v>0.05</v>
      </c>
      <c r="O39" s="155">
        <f t="shared" si="6"/>
        <v>2.6974365183847531E-2</v>
      </c>
      <c r="P39" s="155">
        <f t="shared" si="7"/>
        <v>4.4190175338558652E-2</v>
      </c>
      <c r="Q39" s="155">
        <f t="shared" si="8"/>
        <v>0.13887038694394283</v>
      </c>
      <c r="R39" s="164"/>
      <c r="S39" s="164">
        <f t="shared" si="1"/>
        <v>0</v>
      </c>
      <c r="T39" s="170">
        <f t="shared" si="9"/>
        <v>0.05</v>
      </c>
      <c r="U39" s="164"/>
      <c r="V39" s="171">
        <f>'Price Deck'!K33</f>
        <v>2.127245245660573</v>
      </c>
      <c r="W39" s="169">
        <f t="shared" si="10"/>
        <v>2.016239419730792</v>
      </c>
      <c r="X39" s="164"/>
      <c r="Y39" s="169">
        <f t="shared" si="11"/>
        <v>48612.201455491391</v>
      </c>
      <c r="Z39" s="247">
        <f t="shared" si="12"/>
        <v>0.05</v>
      </c>
      <c r="AA39" s="169">
        <f t="shared" si="13"/>
        <v>2430.6100727745697</v>
      </c>
      <c r="AB39" s="169">
        <f t="shared" si="14"/>
        <v>0.10636226228302866</v>
      </c>
    </row>
    <row r="40" spans="1:28">
      <c r="A40" s="164" t="str">
        <f>'Price Deck'!A34</f>
        <v>08/2021</v>
      </c>
      <c r="B40" s="51">
        <f>'Gas Type Curve'!A47</f>
        <v>1.4999999999999996</v>
      </c>
      <c r="C40" s="51">
        <f>'Gas Type Curve'!B47</f>
        <v>17.999999999999993</v>
      </c>
      <c r="D40" s="51">
        <f>'Gas Type Curve'!C47</f>
        <v>721.5800773441257</v>
      </c>
      <c r="E40" s="51">
        <f>'Gas Type Curve'!D47</f>
        <v>21948.060685883825</v>
      </c>
      <c r="F40" s="51">
        <f>'Gas Type Curve'!E47</f>
        <v>805751.60339690337</v>
      </c>
      <c r="G40" s="164"/>
      <c r="H40" s="51">
        <f t="shared" si="2"/>
        <v>621503.23444217222</v>
      </c>
      <c r="I40" s="164">
        <f t="shared" si="3"/>
        <v>621.50323444217224</v>
      </c>
      <c r="J40" s="164">
        <f t="shared" si="0"/>
        <v>23182.070644693023</v>
      </c>
      <c r="K40" s="169">
        <f t="shared" si="4"/>
        <v>2.0335779482846572</v>
      </c>
      <c r="L40" s="164"/>
      <c r="M40" s="170">
        <f t="shared" si="5"/>
        <v>0.05</v>
      </c>
      <c r="N40" s="164">
        <v>0.05</v>
      </c>
      <c r="O40" s="155">
        <f t="shared" si="6"/>
        <v>2.8014676897079441E-2</v>
      </c>
      <c r="P40" s="155">
        <f t="shared" si="7"/>
        <v>4.492706280209792E-2</v>
      </c>
      <c r="Q40" s="155">
        <f t="shared" si="8"/>
        <v>0.13926050383640476</v>
      </c>
      <c r="R40" s="164"/>
      <c r="S40" s="164">
        <f t="shared" si="1"/>
        <v>0</v>
      </c>
      <c r="T40" s="170">
        <f t="shared" si="9"/>
        <v>0.05</v>
      </c>
      <c r="U40" s="164"/>
      <c r="V40" s="171">
        <f>'Price Deck'!K34</f>
        <v>2.1455383620792001</v>
      </c>
      <c r="W40" s="169">
        <f t="shared" si="10"/>
        <v>2.0335779482846572</v>
      </c>
      <c r="X40" s="164"/>
      <c r="Y40" s="169">
        <f t="shared" si="11"/>
        <v>47090.40617480607</v>
      </c>
      <c r="Z40" s="247">
        <f t="shared" si="12"/>
        <v>0.05</v>
      </c>
      <c r="AA40" s="169">
        <f t="shared" si="13"/>
        <v>2354.5203087403038</v>
      </c>
      <c r="AB40" s="169">
        <f t="shared" si="14"/>
        <v>0.10727691810396002</v>
      </c>
    </row>
    <row r="41" spans="1:28">
      <c r="A41" s="164" t="str">
        <f>'Price Deck'!A35</f>
        <v>09/2021</v>
      </c>
      <c r="B41" s="51">
        <f>'Gas Type Curve'!A48</f>
        <v>1.5833333333333328</v>
      </c>
      <c r="C41" s="51">
        <f>'Gas Type Curve'!B48</f>
        <v>18.999999999999993</v>
      </c>
      <c r="D41" s="51">
        <f>'Gas Type Curve'!C48</f>
        <v>694.54611538253812</v>
      </c>
      <c r="E41" s="51">
        <f>'Gas Type Curve'!D48</f>
        <v>21125.77767621887</v>
      </c>
      <c r="F41" s="51">
        <f>'Gas Type Curve'!E48</f>
        <v>826877.38107312226</v>
      </c>
      <c r="G41" s="164"/>
      <c r="H41" s="51">
        <f t="shared" si="2"/>
        <v>598218.6464574897</v>
      </c>
      <c r="I41" s="164">
        <f t="shared" si="3"/>
        <v>598.21864645748974</v>
      </c>
      <c r="J41" s="164">
        <f t="shared" si="0"/>
        <v>22313.555512864365</v>
      </c>
      <c r="K41" s="169">
        <f t="shared" si="4"/>
        <v>2.0298625493088291</v>
      </c>
      <c r="L41" s="164"/>
      <c r="M41" s="170">
        <f t="shared" si="5"/>
        <v>0.05</v>
      </c>
      <c r="N41" s="164">
        <v>0.05</v>
      </c>
      <c r="O41" s="155">
        <f t="shared" si="6"/>
        <v>2.7791752958529758E-2</v>
      </c>
      <c r="P41" s="155">
        <f t="shared" si="7"/>
        <v>4.4769158345625226E-2</v>
      </c>
      <c r="Q41" s="155">
        <f t="shared" si="8"/>
        <v>0.13917690735944865</v>
      </c>
      <c r="R41" s="164"/>
      <c r="S41" s="164">
        <f t="shared" si="1"/>
        <v>0</v>
      </c>
      <c r="T41" s="170">
        <f t="shared" si="9"/>
        <v>0.05</v>
      </c>
      <c r="U41" s="164"/>
      <c r="V41" s="171">
        <f>'Price Deck'!K35</f>
        <v>2.1416184085609231</v>
      </c>
      <c r="W41" s="169">
        <f t="shared" si="10"/>
        <v>2.0298625493088291</v>
      </c>
      <c r="X41" s="164"/>
      <c r="Y41" s="169">
        <f t="shared" si="11"/>
        <v>45243.35436655573</v>
      </c>
      <c r="Z41" s="247">
        <f t="shared" si="12"/>
        <v>0.05</v>
      </c>
      <c r="AA41" s="169">
        <f t="shared" si="13"/>
        <v>2262.1677183277866</v>
      </c>
      <c r="AB41" s="169">
        <f t="shared" si="14"/>
        <v>0.10708092042804615</v>
      </c>
    </row>
    <row r="42" spans="1:28">
      <c r="A42" s="164" t="str">
        <f>'Price Deck'!A36</f>
        <v>10/2021</v>
      </c>
      <c r="B42" s="51">
        <f>'Gas Type Curve'!A49</f>
        <v>1.6666666666666661</v>
      </c>
      <c r="C42" s="51">
        <f>'Gas Type Curve'!B49</f>
        <v>19.999999999999993</v>
      </c>
      <c r="D42" s="51">
        <f>'Gas Type Curve'!C49</f>
        <v>669.83595498402099</v>
      </c>
      <c r="E42" s="51">
        <f>'Gas Type Curve'!D49</f>
        <v>20374.176964097307</v>
      </c>
      <c r="F42" s="51">
        <f>'Gas Type Curve'!E49</f>
        <v>847251.55803721957</v>
      </c>
      <c r="G42" s="164"/>
      <c r="H42" s="51">
        <f t="shared" si="2"/>
        <v>576935.56909234333</v>
      </c>
      <c r="I42" s="164">
        <f t="shared" si="3"/>
        <v>576.93556909234337</v>
      </c>
      <c r="J42" s="164">
        <f t="shared" si="0"/>
        <v>21519.696727144405</v>
      </c>
      <c r="K42" s="169">
        <f t="shared" si="4"/>
        <v>2.065778072741836</v>
      </c>
      <c r="L42" s="164"/>
      <c r="M42" s="170">
        <f t="shared" si="5"/>
        <v>0.05</v>
      </c>
      <c r="N42" s="164">
        <v>0.05</v>
      </c>
      <c r="O42" s="155">
        <f t="shared" si="6"/>
        <v>2.994668436451017E-2</v>
      </c>
      <c r="P42" s="155">
        <f t="shared" si="7"/>
        <v>4.6295568091528023E-2</v>
      </c>
      <c r="Q42" s="155">
        <f t="shared" si="8"/>
        <v>0.13998500663669128</v>
      </c>
      <c r="R42" s="164"/>
      <c r="S42" s="164">
        <f t="shared" si="1"/>
        <v>0</v>
      </c>
      <c r="T42" s="170">
        <f t="shared" si="9"/>
        <v>0.05</v>
      </c>
      <c r="U42" s="164"/>
      <c r="V42" s="171">
        <f>'Price Deck'!K36</f>
        <v>2.1795112925709361</v>
      </c>
      <c r="W42" s="169">
        <f t="shared" si="10"/>
        <v>2.065778072741836</v>
      </c>
      <c r="X42" s="164"/>
      <c r="Y42" s="169">
        <f t="shared" si="11"/>
        <v>44405.748770088714</v>
      </c>
      <c r="Z42" s="247">
        <f t="shared" si="12"/>
        <v>0.05</v>
      </c>
      <c r="AA42" s="169">
        <f t="shared" si="13"/>
        <v>2220.2874385044356</v>
      </c>
      <c r="AB42" s="169">
        <f t="shared" si="14"/>
        <v>0.10897556462854681</v>
      </c>
    </row>
    <row r="43" spans="1:28">
      <c r="A43" s="164" t="str">
        <f>'Price Deck'!A37</f>
        <v>11/2021</v>
      </c>
      <c r="B43" s="51">
        <f>'Gas Type Curve'!A50</f>
        <v>1.7499999999999993</v>
      </c>
      <c r="C43" s="51">
        <f>'Gas Type Curve'!B50</f>
        <v>20.999999999999993</v>
      </c>
      <c r="D43" s="51">
        <f>'Gas Type Curve'!C50</f>
        <v>647.14795373162383</v>
      </c>
      <c r="E43" s="51">
        <f>'Gas Type Curve'!D50</f>
        <v>19684.083592670224</v>
      </c>
      <c r="F43" s="51">
        <f>'Gas Type Curve'!E50</f>
        <v>866935.64162988984</v>
      </c>
      <c r="G43" s="164"/>
      <c r="H43" s="51">
        <f t="shared" si="2"/>
        <v>557394.19509364269</v>
      </c>
      <c r="I43" s="164">
        <f t="shared" si="3"/>
        <v>557.39419509364268</v>
      </c>
      <c r="J43" s="164">
        <f t="shared" si="0"/>
        <v>20790.803476992871</v>
      </c>
      <c r="K43" s="169">
        <f t="shared" si="4"/>
        <v>2.1363706532825733</v>
      </c>
      <c r="L43" s="164"/>
      <c r="M43" s="170">
        <f t="shared" si="5"/>
        <v>0.05</v>
      </c>
      <c r="N43" s="164">
        <v>0.05</v>
      </c>
      <c r="O43" s="155">
        <f t="shared" si="6"/>
        <v>3.41822391969544E-2</v>
      </c>
      <c r="P43" s="155">
        <f t="shared" si="7"/>
        <v>4.9295752764509357E-2</v>
      </c>
      <c r="Q43" s="155">
        <f t="shared" si="8"/>
        <v>0.14157333969885788</v>
      </c>
      <c r="R43" s="164"/>
      <c r="S43" s="164">
        <f t="shared" si="1"/>
        <v>0</v>
      </c>
      <c r="T43" s="170">
        <f t="shared" si="9"/>
        <v>0.05</v>
      </c>
      <c r="U43" s="164"/>
      <c r="V43" s="171">
        <f>'Price Deck'!K37</f>
        <v>2.2539904094182024</v>
      </c>
      <c r="W43" s="169">
        <f t="shared" si="10"/>
        <v>2.1363706532825733</v>
      </c>
      <c r="X43" s="164"/>
      <c r="Y43" s="169">
        <f t="shared" si="11"/>
        <v>44367.735636064877</v>
      </c>
      <c r="Z43" s="247">
        <f t="shared" si="12"/>
        <v>0.05</v>
      </c>
      <c r="AA43" s="169">
        <f t="shared" si="13"/>
        <v>2218.386781803244</v>
      </c>
      <c r="AB43" s="169">
        <f t="shared" si="14"/>
        <v>0.11269952047091013</v>
      </c>
    </row>
    <row r="44" spans="1:28">
      <c r="A44" s="164" t="str">
        <f>'Price Deck'!A38</f>
        <v>12/2021</v>
      </c>
      <c r="B44" s="51">
        <f>'Gas Type Curve'!A51</f>
        <v>1.8333333333333326</v>
      </c>
      <c r="C44" s="51">
        <f>'Gas Type Curve'!B51</f>
        <v>21.999999999999993</v>
      </c>
      <c r="D44" s="51">
        <f>'Gas Type Curve'!C51</f>
        <v>626.23164070024404</v>
      </c>
      <c r="E44" s="51">
        <f>'Gas Type Curve'!D51</f>
        <v>19047.879071299092</v>
      </c>
      <c r="F44" s="51">
        <f>'Gas Type Curve'!E51</f>
        <v>885983.52070118894</v>
      </c>
      <c r="G44" s="164"/>
      <c r="H44" s="51">
        <f t="shared" si="2"/>
        <v>539378.79166197637</v>
      </c>
      <c r="I44" s="164">
        <f t="shared" si="3"/>
        <v>539.37879166197638</v>
      </c>
      <c r="J44" s="164">
        <f t="shared" si="0"/>
        <v>20118.828928991719</v>
      </c>
      <c r="K44" s="169">
        <f t="shared" si="4"/>
        <v>2.3716792550850303</v>
      </c>
      <c r="L44" s="164"/>
      <c r="M44" s="170">
        <f t="shared" si="5"/>
        <v>0.05</v>
      </c>
      <c r="N44" s="164">
        <v>0.05</v>
      </c>
      <c r="O44" s="155">
        <f t="shared" si="6"/>
        <v>4.8300755305101827E-2</v>
      </c>
      <c r="P44" s="155">
        <f t="shared" si="7"/>
        <v>5.9296368341113778E-2</v>
      </c>
      <c r="Q44" s="155">
        <f t="shared" si="8"/>
        <v>0.14686778323941319</v>
      </c>
      <c r="R44" s="164"/>
      <c r="S44" s="164">
        <f t="shared" si="1"/>
        <v>0</v>
      </c>
      <c r="T44" s="170">
        <f t="shared" si="9"/>
        <v>0.05</v>
      </c>
      <c r="U44" s="164"/>
      <c r="V44" s="171">
        <f>'Price Deck'!K38</f>
        <v>2.5022541322424234</v>
      </c>
      <c r="W44" s="169">
        <f t="shared" si="10"/>
        <v>2.3716792550850303</v>
      </c>
      <c r="X44" s="164"/>
      <c r="Y44" s="169">
        <f t="shared" si="11"/>
        <v>47662.634116612127</v>
      </c>
      <c r="Z44" s="247">
        <f t="shared" si="12"/>
        <v>0.05</v>
      </c>
      <c r="AA44" s="169">
        <f t="shared" si="13"/>
        <v>2383.1317058306063</v>
      </c>
      <c r="AB44" s="169">
        <f t="shared" si="14"/>
        <v>0.12511270661212118</v>
      </c>
    </row>
    <row r="45" spans="1:28">
      <c r="A45" s="164" t="str">
        <f>'Price Deck'!A39</f>
        <v>01/2022</v>
      </c>
      <c r="B45" s="51">
        <f>'Gas Type Curve'!A52</f>
        <v>1.9166666666666659</v>
      </c>
      <c r="C45" s="51">
        <f>'Gas Type Curve'!B52</f>
        <v>22.999999999999989</v>
      </c>
      <c r="D45" s="51">
        <f>'Gas Type Curve'!C52</f>
        <v>606.8771753230352</v>
      </c>
      <c r="E45" s="51">
        <f>'Gas Type Curve'!D52</f>
        <v>18459.180749408988</v>
      </c>
      <c r="F45" s="51">
        <f>'Gas Type Curve'!E52</f>
        <v>904442.70145059796</v>
      </c>
      <c r="G45" s="164"/>
      <c r="H45" s="51">
        <f t="shared" si="2"/>
        <v>522708.62128101423</v>
      </c>
      <c r="I45" s="164">
        <f t="shared" si="3"/>
        <v>522.70862128101419</v>
      </c>
      <c r="J45" s="164">
        <f t="shared" si="0"/>
        <v>19497.031573781831</v>
      </c>
      <c r="K45" s="169">
        <f t="shared" si="4"/>
        <v>2.5165798151423329</v>
      </c>
      <c r="L45" s="164"/>
      <c r="M45" s="170">
        <f t="shared" si="5"/>
        <v>5.6994788908539977E-2</v>
      </c>
      <c r="N45" s="164">
        <v>0.05</v>
      </c>
      <c r="O45" s="155">
        <f t="shared" si="6"/>
        <v>5.6994788908539977E-2</v>
      </c>
      <c r="P45" s="155">
        <f t="shared" si="7"/>
        <v>6.5454642143549138E-2</v>
      </c>
      <c r="Q45" s="155">
        <f t="shared" si="8"/>
        <v>0.15012804584070247</v>
      </c>
      <c r="R45" s="164"/>
      <c r="S45" s="164">
        <f t="shared" si="1"/>
        <v>0</v>
      </c>
      <c r="T45" s="170">
        <f t="shared" si="9"/>
        <v>5.6994788908539977E-2</v>
      </c>
      <c r="U45" s="164"/>
      <c r="V45" s="171">
        <f>'Price Deck'!K39</f>
        <v>2.6551323194552334</v>
      </c>
      <c r="W45" s="169">
        <f t="shared" si="10"/>
        <v>2.5165798151423329</v>
      </c>
      <c r="X45" s="164"/>
      <c r="Y45" s="169">
        <f t="shared" si="11"/>
        <v>49011.567398421677</v>
      </c>
      <c r="Z45" s="247">
        <f t="shared" si="12"/>
        <v>0.05</v>
      </c>
      <c r="AA45" s="169">
        <f t="shared" si="13"/>
        <v>2450.5783699210838</v>
      </c>
      <c r="AB45" s="169">
        <f t="shared" si="14"/>
        <v>0.13275661597276167</v>
      </c>
    </row>
    <row r="46" spans="1:28">
      <c r="A46" s="164" t="str">
        <f>'Price Deck'!A40</f>
        <v>02/2022</v>
      </c>
      <c r="B46" s="51">
        <f>'Gas Type Curve'!A53</f>
        <v>1.9999999999999991</v>
      </c>
      <c r="C46" s="51">
        <f>'Gas Type Curve'!B53</f>
        <v>23.999999999999989</v>
      </c>
      <c r="D46" s="51">
        <f>'Gas Type Curve'!C53</f>
        <v>588.90732878501603</v>
      </c>
      <c r="E46" s="51">
        <f>'Gas Type Curve'!D53</f>
        <v>17912.597917210904</v>
      </c>
      <c r="F46" s="51">
        <f>'Gas Type Curve'!E53</f>
        <v>922355.29936780885</v>
      </c>
      <c r="G46" s="164"/>
      <c r="H46" s="51">
        <f t="shared" si="2"/>
        <v>507231.03522166109</v>
      </c>
      <c r="I46" s="164">
        <f t="shared" si="3"/>
        <v>507.2310352216611</v>
      </c>
      <c r="J46" s="164">
        <f t="shared" si="0"/>
        <v>18919.71761376796</v>
      </c>
      <c r="K46" s="169">
        <f t="shared" si="4"/>
        <v>2.4509410999027001</v>
      </c>
      <c r="L46" s="164"/>
      <c r="M46" s="170">
        <f t="shared" si="5"/>
        <v>5.3056465994162014E-2</v>
      </c>
      <c r="N46" s="164">
        <v>0.05</v>
      </c>
      <c r="O46" s="155">
        <f t="shared" si="6"/>
        <v>5.3056465994162014E-2</v>
      </c>
      <c r="P46" s="155">
        <f t="shared" si="7"/>
        <v>6.2664996745864746E-2</v>
      </c>
      <c r="Q46" s="155">
        <f t="shared" si="8"/>
        <v>0.14865117474781073</v>
      </c>
      <c r="R46" s="164"/>
      <c r="S46" s="164">
        <f t="shared" si="1"/>
        <v>0</v>
      </c>
      <c r="T46" s="170">
        <f t="shared" si="9"/>
        <v>5.3056465994162014E-2</v>
      </c>
      <c r="U46" s="164"/>
      <c r="V46" s="171">
        <f>'Price Deck'!K40</f>
        <v>2.5858798072990035</v>
      </c>
      <c r="W46" s="169">
        <f t="shared" si="10"/>
        <v>2.4509410999027001</v>
      </c>
      <c r="X46" s="164"/>
      <c r="Y46" s="169">
        <f t="shared" si="11"/>
        <v>46319.825250381866</v>
      </c>
      <c r="Z46" s="247">
        <f t="shared" si="12"/>
        <v>5.3056465994162014E-2</v>
      </c>
      <c r="AA46" s="169">
        <f t="shared" si="13"/>
        <v>2457.5662332524125</v>
      </c>
      <c r="AB46" s="169">
        <f t="shared" si="14"/>
        <v>0.13719764406094981</v>
      </c>
    </row>
    <row r="47" spans="1:28">
      <c r="A47" s="164" t="str">
        <f>'Price Deck'!A41</f>
        <v>03/2022</v>
      </c>
      <c r="B47" s="51">
        <f>'Gas Type Curve'!A54</f>
        <v>2.0833333333333326</v>
      </c>
      <c r="C47" s="51">
        <f>'Gas Type Curve'!B54</f>
        <v>24.999999999999993</v>
      </c>
      <c r="D47" s="51">
        <f>'Gas Type Curve'!C54</f>
        <v>572.17130703500004</v>
      </c>
      <c r="E47" s="51">
        <f>'Gas Type Curve'!D54</f>
        <v>17403.543922314584</v>
      </c>
      <c r="F47" s="51">
        <f>'Gas Type Curve'!E54</f>
        <v>939758.84329012339</v>
      </c>
      <c r="G47" s="164"/>
      <c r="H47" s="51">
        <f t="shared" si="2"/>
        <v>492816.15324818203</v>
      </c>
      <c r="I47" s="164">
        <f t="shared" si="3"/>
        <v>492.81615324818205</v>
      </c>
      <c r="J47" s="164">
        <f t="shared" si="0"/>
        <v>18382.042516157191</v>
      </c>
      <c r="K47" s="169">
        <f t="shared" si="4"/>
        <v>2.2936558765926369</v>
      </c>
      <c r="L47" s="164"/>
      <c r="M47" s="170">
        <f t="shared" si="5"/>
        <v>0.05</v>
      </c>
      <c r="N47" s="164">
        <v>0.05</v>
      </c>
      <c r="O47" s="155">
        <f t="shared" si="6"/>
        <v>4.3619352595558221E-2</v>
      </c>
      <c r="P47" s="155">
        <f t="shared" si="7"/>
        <v>5.5980374755187065E-2</v>
      </c>
      <c r="Q47" s="155">
        <f t="shared" si="8"/>
        <v>0.14511225722333432</v>
      </c>
      <c r="R47" s="164"/>
      <c r="S47" s="164">
        <f t="shared" si="1"/>
        <v>0</v>
      </c>
      <c r="T47" s="170">
        <f t="shared" si="9"/>
        <v>0.05</v>
      </c>
      <c r="U47" s="164"/>
      <c r="V47" s="171">
        <f>'Price Deck'!K41</f>
        <v>2.4199351083586031</v>
      </c>
      <c r="W47" s="169">
        <f t="shared" si="10"/>
        <v>2.2936558765926369</v>
      </c>
      <c r="X47" s="164"/>
      <c r="Y47" s="169">
        <f t="shared" si="11"/>
        <v>42115.446947470053</v>
      </c>
      <c r="Z47" s="247">
        <f t="shared" si="12"/>
        <v>0.05</v>
      </c>
      <c r="AA47" s="169">
        <f t="shared" si="13"/>
        <v>2105.7723473735027</v>
      </c>
      <c r="AB47" s="169">
        <f t="shared" si="14"/>
        <v>0.12099675541793016</v>
      </c>
    </row>
    <row r="48" spans="1:28">
      <c r="A48" s="164" t="str">
        <f>'Price Deck'!A42</f>
        <v>04/2022</v>
      </c>
      <c r="B48" s="51">
        <f>'Gas Type Curve'!A55</f>
        <v>2.1666666666666661</v>
      </c>
      <c r="C48" s="51">
        <f>'Gas Type Curve'!B55</f>
        <v>25.999999999999993</v>
      </c>
      <c r="D48" s="51">
        <f>'Gas Type Curve'!C55</f>
        <v>556.53993754774808</v>
      </c>
      <c r="E48" s="51">
        <f>'Gas Type Curve'!D55</f>
        <v>16928.089767077337</v>
      </c>
      <c r="F48" s="51">
        <f>'Gas Type Curve'!E55</f>
        <v>956686.93305720075</v>
      </c>
      <c r="G48" s="164"/>
      <c r="H48" s="51">
        <f t="shared" si="2"/>
        <v>479352.71793432895</v>
      </c>
      <c r="I48" s="164">
        <f t="shared" si="3"/>
        <v>479.35271793432895</v>
      </c>
      <c r="J48" s="164">
        <f t="shared" si="0"/>
        <v>17879.85637895047</v>
      </c>
      <c r="K48" s="169">
        <f t="shared" si="4"/>
        <v>1.9840392952736139</v>
      </c>
      <c r="L48" s="164"/>
      <c r="M48" s="170">
        <f t="shared" si="5"/>
        <v>0.05</v>
      </c>
      <c r="N48" s="164">
        <v>0.05</v>
      </c>
      <c r="O48" s="155">
        <f t="shared" si="6"/>
        <v>2.5042357716416844E-2</v>
      </c>
      <c r="P48" s="155">
        <f t="shared" si="7"/>
        <v>4.2821670049128582E-2</v>
      </c>
      <c r="Q48" s="155">
        <f t="shared" si="8"/>
        <v>0.13814588414365631</v>
      </c>
      <c r="R48" s="164"/>
      <c r="S48" s="164">
        <f t="shared" si="1"/>
        <v>0</v>
      </c>
      <c r="T48" s="170">
        <f t="shared" si="9"/>
        <v>0.05</v>
      </c>
      <c r="U48" s="164"/>
      <c r="V48" s="171">
        <f>'Price Deck'!K42</f>
        <v>2.0932723151688379</v>
      </c>
      <c r="W48" s="169">
        <f t="shared" si="10"/>
        <v>1.9840392952736139</v>
      </c>
      <c r="X48" s="164"/>
      <c r="Y48" s="169">
        <f t="shared" si="11"/>
        <v>35435.101658115891</v>
      </c>
      <c r="Z48" s="247">
        <f t="shared" si="12"/>
        <v>0.05</v>
      </c>
      <c r="AA48" s="169">
        <f t="shared" si="13"/>
        <v>1771.7550829057946</v>
      </c>
      <c r="AB48" s="169">
        <f t="shared" si="14"/>
        <v>0.10466361575844189</v>
      </c>
    </row>
    <row r="49" spans="1:28">
      <c r="A49" s="164" t="str">
        <f>'Price Deck'!A43</f>
        <v>05/2022</v>
      </c>
      <c r="B49" s="51">
        <f>'Gas Type Curve'!A56</f>
        <v>2.2499999999999996</v>
      </c>
      <c r="C49" s="51">
        <f>'Gas Type Curve'!B56</f>
        <v>26.999999999999993</v>
      </c>
      <c r="D49" s="51">
        <f>'Gas Type Curve'!C56</f>
        <v>541.9018791534902</v>
      </c>
      <c r="E49" s="51">
        <f>'Gas Type Curve'!D56</f>
        <v>16482.848824251992</v>
      </c>
      <c r="F49" s="51">
        <f>'Gas Type Curve'!E56</f>
        <v>973169.78188145277</v>
      </c>
      <c r="G49" s="164"/>
      <c r="H49" s="51">
        <f t="shared" si="2"/>
        <v>466744.83015634364</v>
      </c>
      <c r="I49" s="164">
        <f t="shared" si="3"/>
        <v>466.74483015634365</v>
      </c>
      <c r="J49" s="164">
        <f t="shared" si="0"/>
        <v>17409.582164831616</v>
      </c>
      <c r="K49" s="169">
        <f t="shared" si="4"/>
        <v>1.9592699687680921</v>
      </c>
      <c r="L49" s="164"/>
      <c r="M49" s="170">
        <f t="shared" si="5"/>
        <v>0.05</v>
      </c>
      <c r="N49" s="164">
        <v>0.05</v>
      </c>
      <c r="O49" s="155">
        <f t="shared" si="6"/>
        <v>2.3556198126085535E-2</v>
      </c>
      <c r="P49" s="155">
        <f t="shared" si="7"/>
        <v>4.1768973672643907E-2</v>
      </c>
      <c r="Q49" s="155">
        <f t="shared" si="8"/>
        <v>0.13758857429728205</v>
      </c>
      <c r="R49" s="164"/>
      <c r="S49" s="164">
        <f t="shared" si="1"/>
        <v>0</v>
      </c>
      <c r="T49" s="170">
        <f t="shared" si="9"/>
        <v>0.05</v>
      </c>
      <c r="U49" s="164"/>
      <c r="V49" s="171">
        <f>'Price Deck'!K43</f>
        <v>2.0671392917136568</v>
      </c>
      <c r="W49" s="169">
        <f t="shared" si="10"/>
        <v>1.9592699687680921</v>
      </c>
      <c r="X49" s="164"/>
      <c r="Y49" s="169">
        <f t="shared" si="11"/>
        <v>34072.344443987546</v>
      </c>
      <c r="Z49" s="247">
        <f t="shared" si="12"/>
        <v>0.05</v>
      </c>
      <c r="AA49" s="169">
        <f t="shared" si="13"/>
        <v>1703.6172221993775</v>
      </c>
      <c r="AB49" s="169">
        <f t="shared" si="14"/>
        <v>0.10335696458568286</v>
      </c>
    </row>
    <row r="50" spans="1:28">
      <c r="A50" s="164" t="str">
        <f>'Price Deck'!A44</f>
        <v>06/2022</v>
      </c>
      <c r="B50" s="51">
        <f>'Gas Type Curve'!A57</f>
        <v>2.333333333333333</v>
      </c>
      <c r="C50" s="51">
        <f>'Gas Type Curve'!B57</f>
        <v>27.999999999999996</v>
      </c>
      <c r="D50" s="51">
        <f>'Gas Type Curve'!C57</f>
        <v>528.16060854050716</v>
      </c>
      <c r="E50" s="51">
        <f>'Gas Type Curve'!D57</f>
        <v>16064.885176440426</v>
      </c>
      <c r="F50" s="51">
        <f>'Gas Type Curve'!E57</f>
        <v>989234.66705789324</v>
      </c>
      <c r="G50" s="164"/>
      <c r="H50" s="51">
        <f t="shared" si="2"/>
        <v>454909.35354126355</v>
      </c>
      <c r="I50" s="164">
        <f t="shared" si="3"/>
        <v>454.90935354126356</v>
      </c>
      <c r="J50" s="164">
        <f t="shared" si="0"/>
        <v>16968.118887089131</v>
      </c>
      <c r="K50" s="169">
        <f t="shared" si="4"/>
        <v>1.9964239585263746</v>
      </c>
      <c r="L50" s="164"/>
      <c r="M50" s="170">
        <f t="shared" si="5"/>
        <v>0.05</v>
      </c>
      <c r="N50" s="164">
        <v>0.05</v>
      </c>
      <c r="O50" s="155">
        <f t="shared" si="6"/>
        <v>2.5785437511582483E-2</v>
      </c>
      <c r="P50" s="155">
        <f t="shared" si="7"/>
        <v>4.334801823737091E-2</v>
      </c>
      <c r="Q50" s="155">
        <f t="shared" si="8"/>
        <v>0.13842453906684343</v>
      </c>
      <c r="R50" s="164"/>
      <c r="S50" s="164">
        <f t="shared" si="1"/>
        <v>0</v>
      </c>
      <c r="T50" s="170">
        <f t="shared" si="9"/>
        <v>0.05</v>
      </c>
      <c r="U50" s="164"/>
      <c r="V50" s="171">
        <f>'Price Deck'!K44</f>
        <v>2.1063388268964283</v>
      </c>
      <c r="W50" s="169">
        <f t="shared" si="10"/>
        <v>1.9964239585263746</v>
      </c>
      <c r="X50" s="164"/>
      <c r="Y50" s="169">
        <f t="shared" si="11"/>
        <v>33838.091396769349</v>
      </c>
      <c r="Z50" s="247">
        <f t="shared" si="12"/>
        <v>0.05</v>
      </c>
      <c r="AA50" s="169">
        <f t="shared" si="13"/>
        <v>1691.9045698384675</v>
      </c>
      <c r="AB50" s="169">
        <f t="shared" si="14"/>
        <v>0.10531694134482142</v>
      </c>
    </row>
    <row r="51" spans="1:28">
      <c r="A51" s="164" t="str">
        <f>'Price Deck'!A45</f>
        <v>07/2022</v>
      </c>
      <c r="B51" s="51">
        <f>'Gas Type Curve'!A58</f>
        <v>2.4166666666666665</v>
      </c>
      <c r="C51" s="51">
        <f>'Gas Type Curve'!B58</f>
        <v>29</v>
      </c>
      <c r="D51" s="51">
        <f>'Gas Type Curve'!C58</f>
        <v>515.23200286437248</v>
      </c>
      <c r="E51" s="51">
        <f>'Gas Type Curve'!D58</f>
        <v>15671.640087124664</v>
      </c>
      <c r="F51" s="51">
        <f>'Gas Type Curve'!E58</f>
        <v>1004906.3071450179</v>
      </c>
      <c r="G51" s="164"/>
      <c r="H51" s="51">
        <f t="shared" si="2"/>
        <v>443773.8323471091</v>
      </c>
      <c r="I51" s="164">
        <f t="shared" si="3"/>
        <v>443.77383234710908</v>
      </c>
      <c r="J51" s="164">
        <f t="shared" si="0"/>
        <v>16552.763946547169</v>
      </c>
      <c r="K51" s="169">
        <f t="shared" si="4"/>
        <v>2.0372933472604853</v>
      </c>
      <c r="L51" s="164"/>
      <c r="M51" s="170">
        <f t="shared" si="5"/>
        <v>0.05</v>
      </c>
      <c r="N51" s="164">
        <v>0.05</v>
      </c>
      <c r="O51" s="155">
        <f t="shared" si="6"/>
        <v>2.8237600835629127E-2</v>
      </c>
      <c r="P51" s="155">
        <f t="shared" si="7"/>
        <v>4.5084967258570613E-2</v>
      </c>
      <c r="Q51" s="155">
        <f t="shared" si="8"/>
        <v>0.13934410031336092</v>
      </c>
      <c r="R51" s="164"/>
      <c r="S51" s="164">
        <f t="shared" si="1"/>
        <v>0</v>
      </c>
      <c r="T51" s="170">
        <f t="shared" si="9"/>
        <v>0.05</v>
      </c>
      <c r="U51" s="164"/>
      <c r="V51" s="171">
        <f>'Price Deck'!K45</f>
        <v>2.1494583155974771</v>
      </c>
      <c r="W51" s="169">
        <f t="shared" si="10"/>
        <v>2.0372933472604853</v>
      </c>
      <c r="X51" s="164"/>
      <c r="Y51" s="169">
        <f t="shared" si="11"/>
        <v>33685.53710432088</v>
      </c>
      <c r="Z51" s="247">
        <f t="shared" si="12"/>
        <v>0.05</v>
      </c>
      <c r="AA51" s="169">
        <f t="shared" si="13"/>
        <v>1684.2768552160442</v>
      </c>
      <c r="AB51" s="169">
        <f t="shared" si="14"/>
        <v>0.10747291577987386</v>
      </c>
    </row>
    <row r="52" spans="1:28">
      <c r="A52" s="164" t="str">
        <f>'Price Deck'!A46</f>
        <v>08/2022</v>
      </c>
      <c r="B52" s="51">
        <f>'Gas Type Curve'!A59</f>
        <v>2.5</v>
      </c>
      <c r="C52" s="51">
        <f>'Gas Type Curve'!B59</f>
        <v>30</v>
      </c>
      <c r="D52" s="51">
        <f>'Gas Type Curve'!C59</f>
        <v>503.04238452152231</v>
      </c>
      <c r="E52" s="51">
        <f>'Gas Type Curve'!D59</f>
        <v>15300.872529196304</v>
      </c>
      <c r="F52" s="51">
        <f>'Gas Type Curve'!E59</f>
        <v>1020207.1796742142</v>
      </c>
      <c r="G52" s="164"/>
      <c r="H52" s="51">
        <f t="shared" si="2"/>
        <v>433274.80740925169</v>
      </c>
      <c r="I52" s="164">
        <f t="shared" si="3"/>
        <v>433.27480740925171</v>
      </c>
      <c r="J52" s="164">
        <f t="shared" si="0"/>
        <v>16161.150316365089</v>
      </c>
      <c r="K52" s="169">
        <f t="shared" si="4"/>
        <v>2.0410087462363138</v>
      </c>
      <c r="L52" s="164"/>
      <c r="M52" s="170">
        <f t="shared" si="5"/>
        <v>0.05</v>
      </c>
      <c r="N52" s="164">
        <v>0.05</v>
      </c>
      <c r="O52" s="155">
        <f t="shared" si="6"/>
        <v>2.8460524774178837E-2</v>
      </c>
      <c r="P52" s="155">
        <f t="shared" si="7"/>
        <v>4.5242871715043327E-2</v>
      </c>
      <c r="Q52" s="155">
        <f t="shared" si="8"/>
        <v>0.13942769679031702</v>
      </c>
      <c r="R52" s="164"/>
      <c r="S52" s="164">
        <f t="shared" si="1"/>
        <v>0</v>
      </c>
      <c r="T52" s="170">
        <f t="shared" si="9"/>
        <v>0.05</v>
      </c>
      <c r="U52" s="164"/>
      <c r="V52" s="171">
        <f>'Price Deck'!K46</f>
        <v>2.1533782691157546</v>
      </c>
      <c r="W52" s="169">
        <f t="shared" si="10"/>
        <v>2.0410087462363138</v>
      </c>
      <c r="X52" s="164"/>
      <c r="Y52" s="169">
        <f t="shared" si="11"/>
        <v>32948.566402881537</v>
      </c>
      <c r="Z52" s="247">
        <f t="shared" si="12"/>
        <v>0.05</v>
      </c>
      <c r="AA52" s="169">
        <f t="shared" si="13"/>
        <v>1647.4283201440769</v>
      </c>
      <c r="AB52" s="169">
        <f t="shared" si="14"/>
        <v>0.10766891345578775</v>
      </c>
    </row>
    <row r="53" spans="1:28">
      <c r="A53" s="164" t="str">
        <f>'Price Deck'!A47</f>
        <v>09/2022</v>
      </c>
      <c r="B53" s="51">
        <f>'Gas Type Curve'!A60</f>
        <v>2.5833333333333335</v>
      </c>
      <c r="C53" s="51">
        <f>'Gas Type Curve'!B60</f>
        <v>31</v>
      </c>
      <c r="D53" s="51">
        <f>'Gas Type Curve'!C60</f>
        <v>491.52692760849595</v>
      </c>
      <c r="E53" s="51">
        <f>'Gas Type Curve'!D60</f>
        <v>14950.610714758419</v>
      </c>
      <c r="F53" s="51">
        <f>'Gas Type Curve'!E60</f>
        <v>1035157.7903889726</v>
      </c>
      <c r="G53" s="164"/>
      <c r="H53" s="51">
        <f t="shared" si="2"/>
        <v>423356.4436098141</v>
      </c>
      <c r="I53" s="164">
        <f t="shared" si="3"/>
        <v>423.35644360981411</v>
      </c>
      <c r="J53" s="164">
        <f t="shared" si="0"/>
        <v>15791.195346646065</v>
      </c>
      <c r="K53" s="169">
        <f t="shared" si="4"/>
        <v>2.0348164146099332</v>
      </c>
      <c r="L53" s="164"/>
      <c r="M53" s="170">
        <f t="shared" si="5"/>
        <v>0.05</v>
      </c>
      <c r="N53" s="164">
        <v>0.05</v>
      </c>
      <c r="O53" s="155">
        <f t="shared" si="6"/>
        <v>2.8088984876596002E-2</v>
      </c>
      <c r="P53" s="155">
        <f t="shared" si="7"/>
        <v>4.4979697620922153E-2</v>
      </c>
      <c r="Q53" s="155">
        <f t="shared" si="8"/>
        <v>0.13928836932872349</v>
      </c>
      <c r="R53" s="164"/>
      <c r="S53" s="164">
        <f t="shared" si="1"/>
        <v>0</v>
      </c>
      <c r="T53" s="170">
        <f t="shared" si="9"/>
        <v>0.05</v>
      </c>
      <c r="U53" s="164"/>
      <c r="V53" s="171">
        <f>'Price Deck'!K47</f>
        <v>2.146845013251959</v>
      </c>
      <c r="W53" s="169">
        <f t="shared" si="10"/>
        <v>2.0348164146099332</v>
      </c>
      <c r="X53" s="164"/>
      <c r="Y53" s="169">
        <f t="shared" si="11"/>
        <v>32096.644058050417</v>
      </c>
      <c r="Z53" s="247">
        <f t="shared" si="12"/>
        <v>0.05</v>
      </c>
      <c r="AA53" s="169">
        <f t="shared" si="13"/>
        <v>1604.832202902521</v>
      </c>
      <c r="AB53" s="169">
        <f t="shared" si="14"/>
        <v>0.10734225066259795</v>
      </c>
    </row>
    <row r="54" spans="1:28">
      <c r="A54" s="164" t="str">
        <f>'Price Deck'!A48</f>
        <v>10/2022</v>
      </c>
      <c r="B54" s="51">
        <f>'Gas Type Curve'!A61</f>
        <v>2.666666666666667</v>
      </c>
      <c r="C54" s="51">
        <f>'Gas Type Curve'!B61</f>
        <v>32</v>
      </c>
      <c r="D54" s="51">
        <f>'Gas Type Curve'!C61</f>
        <v>480.62834990288451</v>
      </c>
      <c r="E54" s="51">
        <f>'Gas Type Curve'!D61</f>
        <v>14619.112309546072</v>
      </c>
      <c r="F54" s="51">
        <f>'Gas Type Curve'!E61</f>
        <v>1049776.9026985187</v>
      </c>
      <c r="G54" s="164"/>
      <c r="H54" s="51">
        <f t="shared" si="2"/>
        <v>413969.40326941607</v>
      </c>
      <c r="I54" s="164">
        <f t="shared" si="3"/>
        <v>413.96940326941609</v>
      </c>
      <c r="J54" s="164">
        <f t="shared" si="0"/>
        <v>15441.058741949219</v>
      </c>
      <c r="K54" s="169">
        <f t="shared" si="4"/>
        <v>2.0595857411154554</v>
      </c>
      <c r="L54" s="164"/>
      <c r="M54" s="170">
        <f t="shared" si="5"/>
        <v>0.05</v>
      </c>
      <c r="N54" s="164">
        <v>0.05</v>
      </c>
      <c r="O54" s="155">
        <f t="shared" si="6"/>
        <v>2.9575144466927335E-2</v>
      </c>
      <c r="P54" s="155">
        <f t="shared" si="7"/>
        <v>4.6032393997406849E-2</v>
      </c>
      <c r="Q54" s="155">
        <f t="shared" si="8"/>
        <v>0.13984567917509774</v>
      </c>
      <c r="R54" s="164"/>
      <c r="S54" s="164">
        <f t="shared" si="1"/>
        <v>0</v>
      </c>
      <c r="T54" s="170">
        <f t="shared" si="9"/>
        <v>0.05</v>
      </c>
      <c r="U54" s="164"/>
      <c r="V54" s="171">
        <f>'Price Deck'!K48</f>
        <v>2.1729780367071405</v>
      </c>
      <c r="W54" s="169">
        <f t="shared" si="10"/>
        <v>2.0595857411154554</v>
      </c>
      <c r="X54" s="164"/>
      <c r="Y54" s="169">
        <f t="shared" si="11"/>
        <v>31767.009964798614</v>
      </c>
      <c r="Z54" s="247">
        <f t="shared" si="12"/>
        <v>0.05</v>
      </c>
      <c r="AA54" s="169">
        <f t="shared" si="13"/>
        <v>1588.3504982399309</v>
      </c>
      <c r="AB54" s="169">
        <f t="shared" si="14"/>
        <v>0.10864890183535704</v>
      </c>
    </row>
    <row r="55" spans="1:28">
      <c r="A55" s="164" t="str">
        <f>'Price Deck'!A49</f>
        <v>11/2022</v>
      </c>
      <c r="B55" s="51">
        <f>'Gas Type Curve'!A62</f>
        <v>2.7500000000000004</v>
      </c>
      <c r="C55" s="51">
        <f>'Gas Type Curve'!B62</f>
        <v>33.000000000000007</v>
      </c>
      <c r="D55" s="51">
        <f>'Gas Type Curve'!C62</f>
        <v>470.2958320715868</v>
      </c>
      <c r="E55" s="51">
        <f>'Gas Type Curve'!D62</f>
        <v>14304.831558844098</v>
      </c>
      <c r="F55" s="51">
        <f>'Gas Type Curve'!E62</f>
        <v>1064081.7342573628</v>
      </c>
      <c r="G55" s="164"/>
      <c r="H55" s="51">
        <f t="shared" si="2"/>
        <v>405069.91525178833</v>
      </c>
      <c r="I55" s="164">
        <f t="shared" si="3"/>
        <v>405.06991525178836</v>
      </c>
      <c r="J55" s="164">
        <f t="shared" si="0"/>
        <v>15109.107838891705</v>
      </c>
      <c r="K55" s="169">
        <f t="shared" si="4"/>
        <v>2.1400860522584018</v>
      </c>
      <c r="L55" s="164"/>
      <c r="M55" s="170">
        <f t="shared" si="5"/>
        <v>0.05</v>
      </c>
      <c r="N55" s="164">
        <v>0.05</v>
      </c>
      <c r="O55" s="155">
        <f t="shared" si="6"/>
        <v>3.440516313550411E-2</v>
      </c>
      <c r="P55" s="155">
        <f t="shared" si="7"/>
        <v>4.9453657220982064E-2</v>
      </c>
      <c r="Q55" s="155">
        <f t="shared" si="8"/>
        <v>0.14165693617581404</v>
      </c>
      <c r="R55" s="164"/>
      <c r="S55" s="164">
        <f t="shared" si="1"/>
        <v>0</v>
      </c>
      <c r="T55" s="170">
        <f t="shared" si="9"/>
        <v>0.05</v>
      </c>
      <c r="U55" s="164"/>
      <c r="V55" s="171">
        <f>'Price Deck'!K49</f>
        <v>2.2579103629364798</v>
      </c>
      <c r="W55" s="169">
        <f t="shared" si="10"/>
        <v>2.1400860522584018</v>
      </c>
      <c r="X55" s="164"/>
      <c r="Y55" s="169">
        <f t="shared" si="11"/>
        <v>32299.02741677489</v>
      </c>
      <c r="Z55" s="247">
        <f t="shared" si="12"/>
        <v>0.05</v>
      </c>
      <c r="AA55" s="169">
        <f t="shared" si="13"/>
        <v>1614.9513708387447</v>
      </c>
      <c r="AB55" s="169">
        <f t="shared" si="14"/>
        <v>0.11289551814682401</v>
      </c>
    </row>
    <row r="56" spans="1:28">
      <c r="A56" s="164" t="str">
        <f>'Price Deck'!A50</f>
        <v>12/2022</v>
      </c>
      <c r="B56" s="51">
        <f>'Gas Type Curve'!A63</f>
        <v>2.8333333333333339</v>
      </c>
      <c r="C56" s="51">
        <f>'Gas Type Curve'!B63</f>
        <v>34.000000000000007</v>
      </c>
      <c r="D56" s="51">
        <f>'Gas Type Curve'!C63</f>
        <v>460.4841190847639</v>
      </c>
      <c r="E56" s="51">
        <f>'Gas Type Curve'!D63</f>
        <v>14006.391955494903</v>
      </c>
      <c r="F56" s="51">
        <f>'Gas Type Curve'!E63</f>
        <v>1078088.1262128577</v>
      </c>
      <c r="G56" s="164"/>
      <c r="H56" s="51">
        <f t="shared" si="2"/>
        <v>396619.00100374914</v>
      </c>
      <c r="I56" s="164">
        <f t="shared" si="3"/>
        <v>396.61900100374913</v>
      </c>
      <c r="J56" s="164">
        <f t="shared" si="0"/>
        <v>14793.888737439844</v>
      </c>
      <c r="K56" s="169">
        <f t="shared" si="4"/>
        <v>2.3444329959289565</v>
      </c>
      <c r="L56" s="164"/>
      <c r="M56" s="170">
        <f t="shared" si="5"/>
        <v>0.05</v>
      </c>
      <c r="N56" s="164">
        <v>0.05</v>
      </c>
      <c r="O56" s="155">
        <f t="shared" si="6"/>
        <v>4.66659797557374E-2</v>
      </c>
      <c r="P56" s="155">
        <f t="shared" si="7"/>
        <v>5.8138402326980643E-2</v>
      </c>
      <c r="Q56" s="155">
        <f t="shared" si="8"/>
        <v>0.14625474240840153</v>
      </c>
      <c r="R56" s="164"/>
      <c r="S56" s="164">
        <f t="shared" si="1"/>
        <v>0</v>
      </c>
      <c r="T56" s="170">
        <f t="shared" si="9"/>
        <v>0.05</v>
      </c>
      <c r="U56" s="164"/>
      <c r="V56" s="171">
        <f>'Price Deck'!K50</f>
        <v>2.4735078064417246</v>
      </c>
      <c r="W56" s="169">
        <f t="shared" si="10"/>
        <v>2.3444329959289565</v>
      </c>
      <c r="X56" s="164"/>
      <c r="Y56" s="169">
        <f t="shared" si="11"/>
        <v>34644.919841999217</v>
      </c>
      <c r="Z56" s="247">
        <f t="shared" si="12"/>
        <v>0.05</v>
      </c>
      <c r="AA56" s="169">
        <f t="shared" si="13"/>
        <v>1732.2459920999609</v>
      </c>
      <c r="AB56" s="169">
        <f t="shared" si="14"/>
        <v>0.12367539032208624</v>
      </c>
    </row>
    <row r="57" spans="1:28">
      <c r="A57" s="164" t="str">
        <f>'Price Deck'!A51</f>
        <v>01/2023</v>
      </c>
      <c r="B57" s="51">
        <f>'Gas Type Curve'!A64</f>
        <v>2.9166666666666674</v>
      </c>
      <c r="C57" s="51">
        <f>'Gas Type Curve'!B64</f>
        <v>35.000000000000007</v>
      </c>
      <c r="D57" s="51">
        <f>'Gas Type Curve'!C64</f>
        <v>451.15276877042533</v>
      </c>
      <c r="E57" s="51">
        <f>'Gas Type Curve'!D64</f>
        <v>13722.563383433771</v>
      </c>
      <c r="F57" s="51">
        <f>'Gas Type Curve'!E64</f>
        <v>1091810.6895962914</v>
      </c>
      <c r="G57" s="164"/>
      <c r="H57" s="51">
        <f t="shared" si="2"/>
        <v>388581.82732869411</v>
      </c>
      <c r="I57" s="164">
        <f t="shared" si="3"/>
        <v>388.58182732869409</v>
      </c>
      <c r="J57" s="164">
        <f t="shared" si="0"/>
        <v>14494.102159360291</v>
      </c>
      <c r="K57" s="169">
        <f t="shared" si="4"/>
        <v>2.4955258876126396</v>
      </c>
      <c r="L57" s="164"/>
      <c r="M57" s="170">
        <f t="shared" si="5"/>
        <v>5.5731553256758382E-2</v>
      </c>
      <c r="N57" s="164">
        <v>0.05</v>
      </c>
      <c r="O57" s="155">
        <f t="shared" si="6"/>
        <v>5.5731553256758382E-2</v>
      </c>
      <c r="P57" s="155">
        <f t="shared" si="7"/>
        <v>6.4559850223537177E-2</v>
      </c>
      <c r="Q57" s="155">
        <f t="shared" si="8"/>
        <v>0.1496543324712844</v>
      </c>
      <c r="R57" s="164"/>
      <c r="S57" s="164">
        <f t="shared" si="1"/>
        <v>0</v>
      </c>
      <c r="T57" s="170">
        <f t="shared" si="9"/>
        <v>5.5731553256758382E-2</v>
      </c>
      <c r="U57" s="164"/>
      <c r="V57" s="171">
        <f>'Price Deck'!K51</f>
        <v>2.6329192495183298</v>
      </c>
      <c r="W57" s="169">
        <f t="shared" si="10"/>
        <v>2.4955258876126396</v>
      </c>
      <c r="X57" s="164"/>
      <c r="Y57" s="169">
        <f t="shared" si="11"/>
        <v>36130.401284978157</v>
      </c>
      <c r="Z57" s="247">
        <f t="shared" si="12"/>
        <v>5.5731553256758382E-2</v>
      </c>
      <c r="AA57" s="169">
        <f t="shared" si="13"/>
        <v>2013.6033834018117</v>
      </c>
      <c r="AB57" s="169">
        <f t="shared" si="14"/>
        <v>0.1467366793752751</v>
      </c>
    </row>
    <row r="58" spans="1:28">
      <c r="A58" s="164" t="str">
        <f>'Price Deck'!A52</f>
        <v>02/2023</v>
      </c>
      <c r="B58" s="51">
        <f>'Gas Type Curve'!A65</f>
        <v>3.0000000000000009</v>
      </c>
      <c r="C58" s="51">
        <f>'Gas Type Curve'!B65</f>
        <v>36.000000000000014</v>
      </c>
      <c r="D58" s="51">
        <f>'Gas Type Curve'!C65</f>
        <v>442.26551998284663</v>
      </c>
      <c r="E58" s="51">
        <f>'Gas Type Curve'!D65</f>
        <v>13452.242899478251</v>
      </c>
      <c r="F58" s="51">
        <f>'Gas Type Curve'!E65</f>
        <v>1105262.9324957696</v>
      </c>
      <c r="G58" s="164"/>
      <c r="H58" s="51">
        <f t="shared" si="2"/>
        <v>380927.16218452563</v>
      </c>
      <c r="I58" s="164">
        <f t="shared" si="3"/>
        <v>380.92716218452563</v>
      </c>
      <c r="J58" s="164">
        <f t="shared" si="0"/>
        <v>14208.583149482805</v>
      </c>
      <c r="K58" s="169">
        <f t="shared" si="4"/>
        <v>2.436079503999387</v>
      </c>
      <c r="L58" s="164"/>
      <c r="M58" s="170">
        <f t="shared" si="5"/>
        <v>5.2164770239963229E-2</v>
      </c>
      <c r="N58" s="164">
        <v>0.05</v>
      </c>
      <c r="O58" s="155">
        <f t="shared" si="6"/>
        <v>5.2164770239963229E-2</v>
      </c>
      <c r="P58" s="155">
        <f t="shared" si="7"/>
        <v>6.2033378919973937E-2</v>
      </c>
      <c r="Q58" s="155">
        <f t="shared" si="8"/>
        <v>0.14831678883998622</v>
      </c>
      <c r="R58" s="164"/>
      <c r="S58" s="164">
        <f t="shared" si="1"/>
        <v>0</v>
      </c>
      <c r="T58" s="170">
        <f t="shared" si="9"/>
        <v>5.2164770239963229E-2</v>
      </c>
      <c r="U58" s="164"/>
      <c r="V58" s="171">
        <f>'Price Deck'!K52</f>
        <v>2.5701999932258945</v>
      </c>
      <c r="W58" s="169">
        <f t="shared" si="10"/>
        <v>2.436079503999387</v>
      </c>
      <c r="X58" s="164"/>
      <c r="Y58" s="169">
        <f t="shared" si="11"/>
        <v>34574.954609112086</v>
      </c>
      <c r="Z58" s="247">
        <f t="shared" si="12"/>
        <v>5.2164770239963229E-2</v>
      </c>
      <c r="AA58" s="169">
        <f t="shared" si="13"/>
        <v>1803.5945632414896</v>
      </c>
      <c r="AB58" s="169">
        <f t="shared" si="14"/>
        <v>0.13407389211738382</v>
      </c>
    </row>
    <row r="59" spans="1:28">
      <c r="A59" s="164" t="str">
        <f>'Price Deck'!A53</f>
        <v>03/2023</v>
      </c>
      <c r="B59" s="51">
        <f>'Gas Type Curve'!A66</f>
        <v>3.0833333333333344</v>
      </c>
      <c r="C59" s="51">
        <f>'Gas Type Curve'!B66</f>
        <v>37.000000000000014</v>
      </c>
      <c r="D59" s="51">
        <f>'Gas Type Curve'!C66</f>
        <v>433.78975861508127</v>
      </c>
      <c r="E59" s="51">
        <f>'Gas Type Curve'!D66</f>
        <v>13194.438491208723</v>
      </c>
      <c r="F59" s="51">
        <f>'Gas Type Curve'!E66</f>
        <v>1118457.3709869783</v>
      </c>
      <c r="G59" s="164"/>
      <c r="H59" s="51">
        <f t="shared" si="2"/>
        <v>373626.91475555737</v>
      </c>
      <c r="I59" s="164">
        <f t="shared" si="3"/>
        <v>373.62691475555738</v>
      </c>
      <c r="J59" s="164">
        <f t="shared" si="0"/>
        <v>13936.28392038229</v>
      </c>
      <c r="K59" s="169">
        <f t="shared" si="4"/>
        <v>2.303563607194846</v>
      </c>
      <c r="L59" s="164"/>
      <c r="M59" s="170">
        <f t="shared" si="5"/>
        <v>0.05</v>
      </c>
      <c r="N59" s="164">
        <v>0.05</v>
      </c>
      <c r="O59" s="155">
        <f t="shared" si="6"/>
        <v>4.4213816431690769E-2</v>
      </c>
      <c r="P59" s="155">
        <f t="shared" si="7"/>
        <v>5.6401453305780946E-2</v>
      </c>
      <c r="Q59" s="155">
        <f t="shared" si="8"/>
        <v>0.14533518116188404</v>
      </c>
      <c r="R59" s="164"/>
      <c r="S59" s="164">
        <f t="shared" si="1"/>
        <v>0</v>
      </c>
      <c r="T59" s="170">
        <f t="shared" si="9"/>
        <v>0.05</v>
      </c>
      <c r="U59" s="164"/>
      <c r="V59" s="171">
        <f>'Price Deck'!K53</f>
        <v>2.4303883177406758</v>
      </c>
      <c r="W59" s="169">
        <f t="shared" si="10"/>
        <v>2.303563607194846</v>
      </c>
      <c r="X59" s="164"/>
      <c r="Y59" s="169">
        <f t="shared" si="11"/>
        <v>32067.609168181589</v>
      </c>
      <c r="Z59" s="247">
        <f t="shared" si="12"/>
        <v>0.05</v>
      </c>
      <c r="AA59" s="169">
        <f t="shared" si="13"/>
        <v>1603.3804584090794</v>
      </c>
      <c r="AB59" s="169">
        <f t="shared" si="14"/>
        <v>0.1215194158870338</v>
      </c>
    </row>
    <row r="60" spans="1:28">
      <c r="A60" s="164" t="str">
        <f>'Price Deck'!A54</f>
        <v>04/2023</v>
      </c>
      <c r="B60" s="51">
        <f>'Gas Type Curve'!A67</f>
        <v>3.1666666666666679</v>
      </c>
      <c r="C60" s="51">
        <f>'Gas Type Curve'!B67</f>
        <v>38.000000000000014</v>
      </c>
      <c r="D60" s="51">
        <f>'Gas Type Curve'!C67</f>
        <v>425.69606411851032</v>
      </c>
      <c r="E60" s="51">
        <f>'Gas Type Curve'!D67</f>
        <v>12948.255283604689</v>
      </c>
      <c r="F60" s="51">
        <f>'Gas Type Curve'!E67</f>
        <v>1131405.6262705829</v>
      </c>
      <c r="G60" s="164"/>
      <c r="H60" s="51">
        <f t="shared" si="2"/>
        <v>366655.74486583396</v>
      </c>
      <c r="I60" s="164">
        <f t="shared" si="3"/>
        <v>366.65574486583398</v>
      </c>
      <c r="J60" s="164">
        <f t="shared" si="0"/>
        <v>13676.259283495607</v>
      </c>
      <c r="K60" s="169">
        <f t="shared" si="4"/>
        <v>2.0335779482846572</v>
      </c>
      <c r="L60" s="164"/>
      <c r="M60" s="170">
        <f t="shared" si="5"/>
        <v>0.05</v>
      </c>
      <c r="N60" s="164">
        <v>0.05</v>
      </c>
      <c r="O60" s="155">
        <f t="shared" si="6"/>
        <v>2.8014676897079441E-2</v>
      </c>
      <c r="P60" s="155">
        <f t="shared" si="7"/>
        <v>4.492706280209792E-2</v>
      </c>
      <c r="Q60" s="155">
        <f t="shared" si="8"/>
        <v>0.13926050383640476</v>
      </c>
      <c r="R60" s="164"/>
      <c r="S60" s="164">
        <f t="shared" si="1"/>
        <v>0</v>
      </c>
      <c r="T60" s="170">
        <f t="shared" si="9"/>
        <v>0.05</v>
      </c>
      <c r="U60" s="164"/>
      <c r="V60" s="171">
        <f>'Price Deck'!K54</f>
        <v>2.1455383620792001</v>
      </c>
      <c r="W60" s="169">
        <f t="shared" si="10"/>
        <v>2.0335779482846572</v>
      </c>
      <c r="X60" s="164"/>
      <c r="Y60" s="169">
        <f t="shared" si="11"/>
        <v>27780.978432968554</v>
      </c>
      <c r="Z60" s="247">
        <f t="shared" si="12"/>
        <v>0.05</v>
      </c>
      <c r="AA60" s="169">
        <f t="shared" si="13"/>
        <v>1389.0489216484277</v>
      </c>
      <c r="AB60" s="169">
        <f t="shared" si="14"/>
        <v>0.10727691810396001</v>
      </c>
    </row>
    <row r="61" spans="1:28">
      <c r="A61" s="164" t="str">
        <f>'Price Deck'!A55</f>
        <v>05/2023</v>
      </c>
      <c r="B61" s="51">
        <f>'Gas Type Curve'!A68</f>
        <v>3.2500000000000013</v>
      </c>
      <c r="C61" s="51">
        <f>'Gas Type Curve'!B68</f>
        <v>39.000000000000014</v>
      </c>
      <c r="D61" s="51">
        <f>'Gas Type Curve'!C68</f>
        <v>417.95782263159776</v>
      </c>
      <c r="E61" s="51">
        <f>'Gas Type Curve'!D68</f>
        <v>12712.8837717111</v>
      </c>
      <c r="F61" s="51">
        <f>'Gas Type Curve'!E68</f>
        <v>1144118.5100422939</v>
      </c>
      <c r="G61" s="164"/>
      <c r="H61" s="51">
        <f t="shared" si="2"/>
        <v>359990.72976354318</v>
      </c>
      <c r="I61" s="164">
        <f t="shared" si="3"/>
        <v>359.99072976354319</v>
      </c>
      <c r="J61" s="164">
        <f t="shared" si="0"/>
        <v>13427.65422018016</v>
      </c>
      <c r="K61" s="169">
        <f t="shared" si="4"/>
        <v>2.0311010156341056</v>
      </c>
      <c r="L61" s="164"/>
      <c r="M61" s="170">
        <f t="shared" si="5"/>
        <v>0.05</v>
      </c>
      <c r="N61" s="164">
        <v>0.05</v>
      </c>
      <c r="O61" s="155">
        <f t="shared" si="6"/>
        <v>2.7866060938046347E-2</v>
      </c>
      <c r="P61" s="155">
        <f t="shared" si="7"/>
        <v>4.482179316444948E-2</v>
      </c>
      <c r="Q61" s="155">
        <f t="shared" si="8"/>
        <v>0.13920477285176736</v>
      </c>
      <c r="R61" s="164"/>
      <c r="S61" s="164">
        <f t="shared" si="1"/>
        <v>0</v>
      </c>
      <c r="T61" s="170">
        <f t="shared" si="9"/>
        <v>0.05</v>
      </c>
      <c r="U61" s="164"/>
      <c r="V61" s="171">
        <f>'Price Deck'!K55</f>
        <v>2.1429250597336824</v>
      </c>
      <c r="W61" s="169">
        <f t="shared" si="10"/>
        <v>2.0311010156341056</v>
      </c>
      <c r="X61" s="164"/>
      <c r="Y61" s="169">
        <f t="shared" si="11"/>
        <v>27242.757215881371</v>
      </c>
      <c r="Z61" s="247">
        <f t="shared" si="12"/>
        <v>0.05</v>
      </c>
      <c r="AA61" s="169">
        <f t="shared" si="13"/>
        <v>1362.1378607940687</v>
      </c>
      <c r="AB61" s="169">
        <f t="shared" si="14"/>
        <v>0.10714625298668413</v>
      </c>
    </row>
    <row r="62" spans="1:28">
      <c r="A62" s="164" t="str">
        <f>'Price Deck'!A56</f>
        <v>06/2023</v>
      </c>
      <c r="B62" s="51">
        <f>'Gas Type Curve'!A69</f>
        <v>3.3333333333333348</v>
      </c>
      <c r="C62" s="51">
        <f>'Gas Type Curve'!B69</f>
        <v>40.000000000000014</v>
      </c>
      <c r="D62" s="51">
        <f>'Gas Type Curve'!C69</f>
        <v>410.55089550779479</v>
      </c>
      <c r="E62" s="51">
        <f>'Gas Type Curve'!D69</f>
        <v>12487.589738362092</v>
      </c>
      <c r="F62" s="51">
        <f>'Gas Type Curve'!E69</f>
        <v>1156606.0997806559</v>
      </c>
      <c r="G62" s="164"/>
      <c r="H62" s="51">
        <f t="shared" si="2"/>
        <v>353611.07862119935</v>
      </c>
      <c r="I62" s="164">
        <f t="shared" si="3"/>
        <v>353.61107862119934</v>
      </c>
      <c r="J62" s="164">
        <f t="shared" si="0"/>
        <v>13189.693232570737</v>
      </c>
      <c r="K62" s="169">
        <f t="shared" si="4"/>
        <v>2.0781627359945967</v>
      </c>
      <c r="L62" s="164"/>
      <c r="M62" s="170">
        <f t="shared" si="5"/>
        <v>0.05</v>
      </c>
      <c r="N62" s="164">
        <v>0.05</v>
      </c>
      <c r="O62" s="155">
        <f t="shared" si="6"/>
        <v>3.0689764159675809E-2</v>
      </c>
      <c r="P62" s="155">
        <f t="shared" si="7"/>
        <v>4.6821916279770351E-2</v>
      </c>
      <c r="Q62" s="155">
        <f t="shared" si="8"/>
        <v>0.14026366155987841</v>
      </c>
      <c r="R62" s="164"/>
      <c r="S62" s="164">
        <f t="shared" si="1"/>
        <v>0</v>
      </c>
      <c r="T62" s="170">
        <f t="shared" si="9"/>
        <v>0.05</v>
      </c>
      <c r="U62" s="164"/>
      <c r="V62" s="171">
        <f>'Price Deck'!K56</f>
        <v>2.1925778042985264</v>
      </c>
      <c r="W62" s="169">
        <f t="shared" si="10"/>
        <v>2.0781627359945967</v>
      </c>
      <c r="X62" s="164"/>
      <c r="Y62" s="169">
        <f t="shared" si="11"/>
        <v>27380.012089518768</v>
      </c>
      <c r="Z62" s="247">
        <f t="shared" si="12"/>
        <v>0.05</v>
      </c>
      <c r="AA62" s="169">
        <f t="shared" si="13"/>
        <v>1369.0006044759384</v>
      </c>
      <c r="AB62" s="169">
        <f t="shared" si="14"/>
        <v>0.10962889021492633</v>
      </c>
    </row>
    <row r="63" spans="1:28">
      <c r="A63" s="164" t="str">
        <f>'Price Deck'!A57</f>
        <v>07/2023</v>
      </c>
      <c r="B63" s="51">
        <f>'Gas Type Curve'!A70</f>
        <v>3.4166666666666683</v>
      </c>
      <c r="C63" s="51">
        <f>'Gas Type Curve'!B70</f>
        <v>41.000000000000021</v>
      </c>
      <c r="D63" s="51">
        <f>'Gas Type Curve'!C70</f>
        <v>403.45333414741845</v>
      </c>
      <c r="E63" s="51">
        <f>'Gas Type Curve'!D70</f>
        <v>12271.705580317312</v>
      </c>
      <c r="F63" s="51">
        <f>'Gas Type Curve'!E70</f>
        <v>1168877.8053609733</v>
      </c>
      <c r="G63" s="164"/>
      <c r="H63" s="51">
        <f t="shared" si="2"/>
        <v>347497.88691784529</v>
      </c>
      <c r="I63" s="164">
        <f t="shared" si="3"/>
        <v>347.49788691784528</v>
      </c>
      <c r="J63" s="164">
        <f t="shared" si="0"/>
        <v>12961.671182035629</v>
      </c>
      <c r="K63" s="169">
        <f t="shared" si="4"/>
        <v>2.1277013890056407</v>
      </c>
      <c r="L63" s="164"/>
      <c r="M63" s="170">
        <f t="shared" si="5"/>
        <v>0.05</v>
      </c>
      <c r="N63" s="164">
        <v>0.05</v>
      </c>
      <c r="O63" s="155">
        <f t="shared" si="6"/>
        <v>3.3662083340338447E-2</v>
      </c>
      <c r="P63" s="155">
        <f t="shared" si="7"/>
        <v>4.8927309032739716E-2</v>
      </c>
      <c r="Q63" s="155">
        <f t="shared" si="8"/>
        <v>0.14137828125262691</v>
      </c>
      <c r="R63" s="164"/>
      <c r="S63" s="164">
        <f t="shared" si="1"/>
        <v>0</v>
      </c>
      <c r="T63" s="170">
        <f t="shared" si="9"/>
        <v>0.05</v>
      </c>
      <c r="U63" s="164"/>
      <c r="V63" s="171">
        <f>'Price Deck'!K57</f>
        <v>2.2448438512088891</v>
      </c>
      <c r="W63" s="169">
        <f t="shared" si="10"/>
        <v>2.1277013890056407</v>
      </c>
      <c r="X63" s="164"/>
      <c r="Y63" s="169">
        <f t="shared" si="11"/>
        <v>27548.062815821129</v>
      </c>
      <c r="Z63" s="247">
        <f t="shared" si="12"/>
        <v>0.05</v>
      </c>
      <c r="AA63" s="169">
        <f t="shared" si="13"/>
        <v>1377.4031407910566</v>
      </c>
      <c r="AB63" s="169">
        <f t="shared" si="14"/>
        <v>0.11224219256044446</v>
      </c>
    </row>
    <row r="64" spans="1:28">
      <c r="A64" s="164" t="str">
        <f>'Price Deck'!A58</f>
        <v>08/2023</v>
      </c>
      <c r="B64" s="51">
        <f>'Gas Type Curve'!A71</f>
        <v>3.5000000000000018</v>
      </c>
      <c r="C64" s="51">
        <f>'Gas Type Curve'!B71</f>
        <v>42.000000000000021</v>
      </c>
      <c r="D64" s="51">
        <f>'Gas Type Curve'!C71</f>
        <v>396.64513371321368</v>
      </c>
      <c r="E64" s="51">
        <f>'Gas Type Curve'!D71</f>
        <v>12064.62281711025</v>
      </c>
      <c r="F64" s="51">
        <f>'Gas Type Curve'!E71</f>
        <v>1180942.4281780836</v>
      </c>
      <c r="G64" s="164"/>
      <c r="H64" s="51">
        <f t="shared" si="2"/>
        <v>341633.92431211093</v>
      </c>
      <c r="I64" s="164">
        <f t="shared" si="3"/>
        <v>341.63392431211093</v>
      </c>
      <c r="J64" s="164">
        <f t="shared" si="0"/>
        <v>12742.945376841737</v>
      </c>
      <c r="K64" s="169">
        <f t="shared" si="4"/>
        <v>2.152470715511162</v>
      </c>
      <c r="L64" s="164"/>
      <c r="M64" s="170">
        <f t="shared" si="5"/>
        <v>0.05</v>
      </c>
      <c r="N64" s="164">
        <v>0.05</v>
      </c>
      <c r="O64" s="155">
        <f t="shared" si="6"/>
        <v>3.5148242930669725E-2</v>
      </c>
      <c r="P64" s="155">
        <f t="shared" si="7"/>
        <v>4.9980005409224378E-2</v>
      </c>
      <c r="Q64" s="155">
        <f t="shared" si="8"/>
        <v>0.14193559109900114</v>
      </c>
      <c r="R64" s="164"/>
      <c r="S64" s="164">
        <f t="shared" si="1"/>
        <v>-1.9086815671108316E-3</v>
      </c>
      <c r="T64" s="170">
        <f t="shared" si="9"/>
        <v>0.05</v>
      </c>
      <c r="U64" s="164"/>
      <c r="V64" s="171">
        <f>'Price Deck'!K58</f>
        <v>2.2709768746640697</v>
      </c>
      <c r="W64" s="169">
        <f t="shared" si="10"/>
        <v>2.152470715511162</v>
      </c>
      <c r="X64" s="164"/>
      <c r="Y64" s="169">
        <f t="shared" si="11"/>
        <v>27398.47941920186</v>
      </c>
      <c r="Z64" s="247">
        <f t="shared" si="12"/>
        <v>0.05</v>
      </c>
      <c r="AA64" s="169">
        <f t="shared" si="13"/>
        <v>1369.9239709600931</v>
      </c>
      <c r="AB64" s="169">
        <f t="shared" si="14"/>
        <v>0.11354884373320349</v>
      </c>
    </row>
    <row r="65" spans="1:28">
      <c r="A65" s="164" t="str">
        <f>'Price Deck'!A59</f>
        <v>09/2023</v>
      </c>
      <c r="B65" s="51">
        <f>'Gas Type Curve'!A72</f>
        <v>3.5833333333333353</v>
      </c>
      <c r="C65" s="51">
        <f>'Gas Type Curve'!B72</f>
        <v>43.000000000000021</v>
      </c>
      <c r="D65" s="51">
        <f>'Gas Type Curve'!C72</f>
        <v>390.1080196438661</v>
      </c>
      <c r="E65" s="51">
        <f>'Gas Type Curve'!D72</f>
        <v>11865.785597500928</v>
      </c>
      <c r="F65" s="51">
        <f>'Gas Type Curve'!E72</f>
        <v>1192808.2137755845</v>
      </c>
      <c r="G65" s="164"/>
      <c r="H65" s="51">
        <f t="shared" si="2"/>
        <v>336003.45076443377</v>
      </c>
      <c r="I65" s="164">
        <f t="shared" si="3"/>
        <v>336.00345076443375</v>
      </c>
      <c r="J65" s="164">
        <f t="shared" si="0"/>
        <v>12532.92871351338</v>
      </c>
      <c r="K65" s="169">
        <f t="shared" si="4"/>
        <v>2.1586630471375425</v>
      </c>
      <c r="L65" s="164"/>
      <c r="M65" s="170">
        <f t="shared" si="5"/>
        <v>0.05</v>
      </c>
      <c r="N65" s="164">
        <v>0.05</v>
      </c>
      <c r="O65" s="155">
        <f t="shared" si="6"/>
        <v>3.5519782828252564E-2</v>
      </c>
      <c r="P65" s="155">
        <f t="shared" si="7"/>
        <v>5.0243179503345552E-2</v>
      </c>
      <c r="Q65" s="155">
        <f t="shared" si="8"/>
        <v>0.1420749185605947</v>
      </c>
      <c r="R65" s="164"/>
      <c r="S65" s="164">
        <f t="shared" si="1"/>
        <v>-4.6884463575990578E-3</v>
      </c>
      <c r="T65" s="170">
        <f t="shared" si="9"/>
        <v>0.05</v>
      </c>
      <c r="U65" s="164"/>
      <c r="V65" s="171">
        <f>'Price Deck'!K59</f>
        <v>2.2775101305278653</v>
      </c>
      <c r="W65" s="169">
        <f t="shared" si="10"/>
        <v>2.1586630471375425</v>
      </c>
      <c r="X65" s="164"/>
      <c r="Y65" s="169">
        <f t="shared" si="11"/>
        <v>27024.446904980003</v>
      </c>
      <c r="Z65" s="247">
        <f t="shared" si="12"/>
        <v>0.05</v>
      </c>
      <c r="AA65" s="169">
        <f t="shared" si="13"/>
        <v>1351.2223452490002</v>
      </c>
      <c r="AB65" s="169">
        <f t="shared" si="14"/>
        <v>0.11387550652639328</v>
      </c>
    </row>
    <row r="66" spans="1:28">
      <c r="A66" s="164" t="str">
        <f>'Price Deck'!A60</f>
        <v>10/2023</v>
      </c>
      <c r="B66" s="51">
        <f>'Gas Type Curve'!A73</f>
        <v>3.6666666666666687</v>
      </c>
      <c r="C66" s="51">
        <f>'Gas Type Curve'!B73</f>
        <v>44.000000000000028</v>
      </c>
      <c r="D66" s="51">
        <f>'Gas Type Curve'!C73</f>
        <v>383.8252619492992</v>
      </c>
      <c r="E66" s="51">
        <f>'Gas Type Curve'!D73</f>
        <v>11674.685050957851</v>
      </c>
      <c r="F66" s="51">
        <f>'Gas Type Curve'!E73</f>
        <v>1204482.8988265423</v>
      </c>
      <c r="G66" s="164"/>
      <c r="H66" s="51">
        <f t="shared" si="2"/>
        <v>330592.05658797343</v>
      </c>
      <c r="I66" s="164">
        <f t="shared" si="3"/>
        <v>330.59205658797345</v>
      </c>
      <c r="J66" s="164">
        <f t="shared" si="0"/>
        <v>12331.083710731409</v>
      </c>
      <c r="K66" s="169">
        <f t="shared" si="4"/>
        <v>2.1958170368958254</v>
      </c>
      <c r="L66" s="164"/>
      <c r="M66" s="170">
        <f t="shared" si="5"/>
        <v>0.05</v>
      </c>
      <c r="N66" s="164">
        <v>0.05</v>
      </c>
      <c r="O66" s="155">
        <f t="shared" si="6"/>
        <v>3.7749022213749532E-2</v>
      </c>
      <c r="P66" s="155">
        <f t="shared" si="7"/>
        <v>5.1822224068072568E-2</v>
      </c>
      <c r="Q66" s="155">
        <f t="shared" si="8"/>
        <v>0.14291088333015606</v>
      </c>
      <c r="R66" s="164"/>
      <c r="S66" s="164">
        <f t="shared" si="1"/>
        <v>-7.3600516625175099E-3</v>
      </c>
      <c r="T66" s="170">
        <f t="shared" si="9"/>
        <v>0.05</v>
      </c>
      <c r="U66" s="164"/>
      <c r="V66" s="171">
        <f>'Price Deck'!K60</f>
        <v>2.3167096657106372</v>
      </c>
      <c r="W66" s="169">
        <f t="shared" si="10"/>
        <v>2.1958170368958254</v>
      </c>
      <c r="X66" s="164"/>
      <c r="Y66" s="169">
        <f t="shared" si="11"/>
        <v>27046.855701681536</v>
      </c>
      <c r="Z66" s="247">
        <f t="shared" si="12"/>
        <v>0.05</v>
      </c>
      <c r="AA66" s="169">
        <f t="shared" si="13"/>
        <v>1352.3427850840769</v>
      </c>
      <c r="AB66" s="169">
        <f t="shared" si="14"/>
        <v>0.11583548328553187</v>
      </c>
    </row>
    <row r="67" spans="1:28">
      <c r="A67" s="164" t="str">
        <f>'Price Deck'!A61</f>
        <v>11/2023</v>
      </c>
      <c r="B67" s="51">
        <f>'Gas Type Curve'!A74</f>
        <v>3.7500000000000022</v>
      </c>
      <c r="C67" s="51">
        <f>'Gas Type Curve'!B74</f>
        <v>45.000000000000028</v>
      </c>
      <c r="D67" s="51">
        <f>'Gas Type Curve'!C74</f>
        <v>377.78151313351913</v>
      </c>
      <c r="E67" s="51">
        <f>'Gas Type Curve'!D74</f>
        <v>11490.854357811208</v>
      </c>
      <c r="F67" s="51">
        <f>'Gas Type Curve'!E74</f>
        <v>1215973.7531843535</v>
      </c>
      <c r="G67" s="164"/>
      <c r="H67" s="51">
        <f t="shared" si="2"/>
        <v>325386.52285013994</v>
      </c>
      <c r="I67" s="164">
        <f t="shared" si="3"/>
        <v>325.38652285013995</v>
      </c>
      <c r="J67" s="164">
        <f t="shared" si="0"/>
        <v>12136.917302310219</v>
      </c>
      <c r="K67" s="169">
        <f t="shared" si="4"/>
        <v>2.2775558143640477</v>
      </c>
      <c r="L67" s="164"/>
      <c r="M67" s="170">
        <f t="shared" si="5"/>
        <v>0.05</v>
      </c>
      <c r="N67" s="164">
        <v>0.05</v>
      </c>
      <c r="O67" s="155">
        <f t="shared" si="6"/>
        <v>4.2653348861842875E-2</v>
      </c>
      <c r="P67" s="155">
        <f t="shared" si="7"/>
        <v>5.5296122110472024E-2</v>
      </c>
      <c r="Q67" s="155">
        <f t="shared" si="8"/>
        <v>0.14475000582319109</v>
      </c>
      <c r="R67" s="164"/>
      <c r="S67" s="164">
        <f t="shared" si="1"/>
        <v>-9.9300236688859046E-3</v>
      </c>
      <c r="T67" s="170">
        <f t="shared" si="9"/>
        <v>0.05</v>
      </c>
      <c r="U67" s="164"/>
      <c r="V67" s="171">
        <f>'Price Deck'!K61</f>
        <v>2.4029486431127354</v>
      </c>
      <c r="W67" s="169">
        <f t="shared" si="10"/>
        <v>2.2775558143640477</v>
      </c>
      <c r="X67" s="164"/>
      <c r="Y67" s="169">
        <f t="shared" si="11"/>
        <v>27611.932887308503</v>
      </c>
      <c r="Z67" s="247">
        <f t="shared" si="12"/>
        <v>0.05</v>
      </c>
      <c r="AA67" s="169">
        <f t="shared" si="13"/>
        <v>1380.5966443654252</v>
      </c>
      <c r="AB67" s="169">
        <f t="shared" si="14"/>
        <v>0.12014743215563677</v>
      </c>
    </row>
    <row r="68" spans="1:28">
      <c r="A68" s="164" t="str">
        <f>'Price Deck'!A62</f>
        <v>12/2023</v>
      </c>
      <c r="B68" s="51">
        <f>'Gas Type Curve'!A75</f>
        <v>3.8333333333333357</v>
      </c>
      <c r="C68" s="51">
        <f>'Gas Type Curve'!B75</f>
        <v>46.000000000000028</v>
      </c>
      <c r="D68" s="51">
        <f>'Gas Type Curve'!C75</f>
        <v>371.96266628902703</v>
      </c>
      <c r="E68" s="51">
        <f>'Gas Type Curve'!D75</f>
        <v>11313.864432957906</v>
      </c>
      <c r="F68" s="51">
        <f>'Gas Type Curve'!E75</f>
        <v>1227287.6176173114</v>
      </c>
      <c r="G68" s="164"/>
      <c r="H68" s="51">
        <f t="shared" si="2"/>
        <v>320374.69914806902</v>
      </c>
      <c r="I68" s="164">
        <f t="shared" si="3"/>
        <v>320.374699148069</v>
      </c>
      <c r="J68" s="164">
        <f t="shared" si="0"/>
        <v>11949.976278222974</v>
      </c>
      <c r="K68" s="169">
        <f t="shared" si="4"/>
        <v>2.4819027580346025</v>
      </c>
      <c r="L68" s="164"/>
      <c r="M68" s="170">
        <f t="shared" si="5"/>
        <v>5.4914165482076158E-2</v>
      </c>
      <c r="N68" s="164">
        <v>0.05</v>
      </c>
      <c r="O68" s="155">
        <f t="shared" si="6"/>
        <v>5.4914165482076158E-2</v>
      </c>
      <c r="P68" s="155">
        <f t="shared" si="7"/>
        <v>6.3980867216470588E-2</v>
      </c>
      <c r="Q68" s="155">
        <f t="shared" si="8"/>
        <v>0.14934781205577852</v>
      </c>
      <c r="R68" s="164"/>
      <c r="S68" s="164">
        <f t="shared" si="1"/>
        <v>-1.2404361030598336E-2</v>
      </c>
      <c r="T68" s="170">
        <f t="shared" si="9"/>
        <v>0.05</v>
      </c>
      <c r="U68" s="164"/>
      <c r="V68" s="171">
        <f>'Price Deck'!K62</f>
        <v>2.6185460866179797</v>
      </c>
      <c r="W68" s="169">
        <f t="shared" si="10"/>
        <v>2.4819027580346025</v>
      </c>
      <c r="X68" s="164"/>
      <c r="Y68" s="169">
        <f t="shared" si="11"/>
        <v>29625.875435448273</v>
      </c>
      <c r="Z68" s="247">
        <f t="shared" si="12"/>
        <v>0.05</v>
      </c>
      <c r="AA68" s="169">
        <f t="shared" si="13"/>
        <v>1481.2937717724137</v>
      </c>
      <c r="AB68" s="169">
        <f t="shared" si="14"/>
        <v>0.130927304330899</v>
      </c>
    </row>
    <row r="69" spans="1:28">
      <c r="A69" s="164" t="str">
        <f>'Price Deck'!A63</f>
        <v>01/2024</v>
      </c>
      <c r="B69" s="51">
        <f>'Gas Type Curve'!A76</f>
        <v>3.9166666666666692</v>
      </c>
      <c r="C69" s="51">
        <f>'Gas Type Curve'!B76</f>
        <v>47.000000000000028</v>
      </c>
      <c r="D69" s="51">
        <f>'Gas Type Curve'!C76</f>
        <v>366.35573047530625</v>
      </c>
      <c r="E69" s="51">
        <f>'Gas Type Curve'!D76</f>
        <v>11143.320135290565</v>
      </c>
      <c r="F69" s="51">
        <f>'Gas Type Curve'!E76</f>
        <v>1238430.9377526019</v>
      </c>
      <c r="G69" s="164"/>
      <c r="H69" s="51">
        <f t="shared" si="2"/>
        <v>315545.39627102291</v>
      </c>
      <c r="I69" s="164">
        <f t="shared" si="3"/>
        <v>315.54539627102292</v>
      </c>
      <c r="J69" s="164">
        <f t="shared" si="0"/>
        <v>11769.843280909154</v>
      </c>
      <c r="K69" s="169">
        <f t="shared" si="4"/>
        <v>2.6367110486941141</v>
      </c>
      <c r="L69" s="164"/>
      <c r="M69" s="170">
        <f t="shared" si="5"/>
        <v>6.420266292164685E-2</v>
      </c>
      <c r="N69" s="164">
        <v>0.05</v>
      </c>
      <c r="O69" s="155">
        <f t="shared" si="6"/>
        <v>6.420266292164685E-2</v>
      </c>
      <c r="P69" s="155">
        <f t="shared" si="7"/>
        <v>7.0560219569499844E-2</v>
      </c>
      <c r="Q69" s="155">
        <f t="shared" si="8"/>
        <v>0.15283099859561755</v>
      </c>
      <c r="R69" s="164"/>
      <c r="S69" s="164">
        <f t="shared" si="1"/>
        <v>-1.4788587860995983E-2</v>
      </c>
      <c r="T69" s="170">
        <f t="shared" si="9"/>
        <v>0.05</v>
      </c>
      <c r="U69" s="164"/>
      <c r="V69" s="171">
        <f>'Price Deck'!K63</f>
        <v>2.7818774832128628</v>
      </c>
      <c r="W69" s="169">
        <f t="shared" si="10"/>
        <v>2.6367110486941141</v>
      </c>
      <c r="X69" s="164"/>
      <c r="Y69" s="169">
        <f t="shared" si="11"/>
        <v>30999.351372597335</v>
      </c>
      <c r="Z69" s="247">
        <f t="shared" si="12"/>
        <v>0.05</v>
      </c>
      <c r="AA69" s="169">
        <f t="shared" si="13"/>
        <v>1549.9675686298669</v>
      </c>
      <c r="AB69" s="169">
        <f t="shared" si="14"/>
        <v>0.13909387416064314</v>
      </c>
    </row>
    <row r="70" spans="1:28">
      <c r="A70" s="164" t="str">
        <f>'Price Deck'!A64</f>
        <v>02/2024</v>
      </c>
      <c r="B70" s="51">
        <f>'Gas Type Curve'!A77</f>
        <v>4.0000000000000027</v>
      </c>
      <c r="C70" s="51">
        <f>'Gas Type Curve'!B77</f>
        <v>48.000000000000028</v>
      </c>
      <c r="D70" s="51">
        <f>'Gas Type Curve'!C77</f>
        <v>360.94872095893885</v>
      </c>
      <c r="E70" s="51">
        <f>'Gas Type Curve'!D77</f>
        <v>10978.856929167723</v>
      </c>
      <c r="F70" s="51">
        <f>'Gas Type Curve'!E77</f>
        <v>1249409.7946817696</v>
      </c>
      <c r="G70" s="164"/>
      <c r="H70" s="51">
        <f t="shared" si="2"/>
        <v>310888.29166324239</v>
      </c>
      <c r="I70" s="164">
        <f t="shared" si="3"/>
        <v>310.8882916632424</v>
      </c>
      <c r="J70" s="164">
        <f t="shared" si="0"/>
        <v>11596.133279038941</v>
      </c>
      <c r="K70" s="169">
        <f t="shared" si="4"/>
        <v>2.5933647273094511</v>
      </c>
      <c r="L70" s="164"/>
      <c r="M70" s="170">
        <f t="shared" si="5"/>
        <v>6.160188363856707E-2</v>
      </c>
      <c r="N70" s="164">
        <v>0.05</v>
      </c>
      <c r="O70" s="155">
        <f t="shared" si="6"/>
        <v>6.160188363856707E-2</v>
      </c>
      <c r="P70" s="155">
        <f t="shared" si="7"/>
        <v>6.8718000910651666E-2</v>
      </c>
      <c r="Q70" s="155">
        <f t="shared" si="8"/>
        <v>0.15185570636446263</v>
      </c>
      <c r="R70" s="164"/>
      <c r="S70" s="164">
        <f t="shared" si="1"/>
        <v>-1.708780040585723E-2</v>
      </c>
      <c r="T70" s="170">
        <f t="shared" si="9"/>
        <v>0.05</v>
      </c>
      <c r="U70" s="164"/>
      <c r="V70" s="171">
        <f>'Price Deck'!K64</f>
        <v>2.7361446921662957</v>
      </c>
      <c r="W70" s="169">
        <f t="shared" si="10"/>
        <v>2.5933647273094511</v>
      </c>
      <c r="X70" s="164"/>
      <c r="Y70" s="169">
        <f t="shared" si="11"/>
        <v>30039.741112795422</v>
      </c>
      <c r="Z70" s="247">
        <f t="shared" si="12"/>
        <v>0.05</v>
      </c>
      <c r="AA70" s="169">
        <f t="shared" si="13"/>
        <v>1501.9870556397711</v>
      </c>
      <c r="AB70" s="169">
        <f t="shared" si="14"/>
        <v>0.13680723460831479</v>
      </c>
    </row>
    <row r="71" spans="1:28">
      <c r="A71" s="164" t="str">
        <f>'Price Deck'!A65</f>
        <v>03/2024</v>
      </c>
      <c r="B71" s="51">
        <f>'Gas Type Curve'!A78</f>
        <v>4.0833333333333357</v>
      </c>
      <c r="C71" s="51">
        <f>'Gas Type Curve'!B78</f>
        <v>49.000000000000028</v>
      </c>
      <c r="D71" s="51">
        <f>'Gas Type Curve'!C78</f>
        <v>355.73056227506743</v>
      </c>
      <c r="E71" s="51">
        <f>'Gas Type Curve'!D78</f>
        <v>10820.137935866635</v>
      </c>
      <c r="F71" s="51">
        <f>'Gas Type Curve'!E78</f>
        <v>1260229.9326176362</v>
      </c>
      <c r="G71" s="164"/>
      <c r="H71" s="51">
        <f t="shared" si="2"/>
        <v>306393.84592993552</v>
      </c>
      <c r="I71" s="164">
        <f t="shared" si="3"/>
        <v>306.39384592993554</v>
      </c>
      <c r="J71" s="164">
        <f t="shared" si="0"/>
        <v>11428.490453186594</v>
      </c>
      <c r="K71" s="169">
        <f t="shared" si="4"/>
        <v>2.4806642917093265</v>
      </c>
      <c r="L71" s="164"/>
      <c r="M71" s="170">
        <f t="shared" si="5"/>
        <v>5.4839857502559597E-2</v>
      </c>
      <c r="N71" s="164">
        <v>0.05</v>
      </c>
      <c r="O71" s="155">
        <f t="shared" si="6"/>
        <v>5.4839857502559597E-2</v>
      </c>
      <c r="P71" s="155">
        <f t="shared" si="7"/>
        <v>6.3928232397646362E-2</v>
      </c>
      <c r="Q71" s="155">
        <f t="shared" si="8"/>
        <v>0.14931994656345982</v>
      </c>
      <c r="R71" s="164"/>
      <c r="S71" s="164">
        <f t="shared" si="1"/>
        <v>-1.9306708264390827E-2</v>
      </c>
      <c r="T71" s="170">
        <f t="shared" si="9"/>
        <v>0.05</v>
      </c>
      <c r="U71" s="164"/>
      <c r="V71" s="171">
        <f>'Price Deck'!K65</f>
        <v>2.6172394354452209</v>
      </c>
      <c r="W71" s="169">
        <f t="shared" si="10"/>
        <v>2.4806642917093265</v>
      </c>
      <c r="X71" s="164"/>
      <c r="Y71" s="169">
        <f t="shared" si="11"/>
        <v>28318.891702707009</v>
      </c>
      <c r="Z71" s="247">
        <f t="shared" si="12"/>
        <v>0.05</v>
      </c>
      <c r="AA71" s="169">
        <f t="shared" si="13"/>
        <v>1415.9445851353505</v>
      </c>
      <c r="AB71" s="169">
        <f t="shared" si="14"/>
        <v>0.13086197177226105</v>
      </c>
    </row>
    <row r="72" spans="1:28">
      <c r="A72" s="164" t="str">
        <f>'Price Deck'!A66</f>
        <v>04/2024</v>
      </c>
      <c r="B72" s="51">
        <f>'Gas Type Curve'!A79</f>
        <v>4.1666666666666687</v>
      </c>
      <c r="C72" s="51">
        <f>'Gas Type Curve'!B79</f>
        <v>50.000000000000028</v>
      </c>
      <c r="D72" s="51">
        <f>'Gas Type Curve'!C79</f>
        <v>350.69100238533537</v>
      </c>
      <c r="E72" s="51">
        <f>'Gas Type Curve'!D79</f>
        <v>10666.851322553952</v>
      </c>
      <c r="F72" s="51">
        <f>'Gas Type Curve'!E79</f>
        <v>1270896.7839401902</v>
      </c>
      <c r="G72" s="164"/>
      <c r="H72" s="51">
        <f t="shared" si="2"/>
        <v>302053.22890076024</v>
      </c>
      <c r="I72" s="164">
        <f t="shared" si="3"/>
        <v>302.05322890076025</v>
      </c>
      <c r="J72" s="164">
        <f t="shared" si="0"/>
        <v>11266.585437998358</v>
      </c>
      <c r="K72" s="169">
        <f t="shared" si="4"/>
        <v>2.1859093062936168</v>
      </c>
      <c r="L72" s="164"/>
      <c r="M72" s="170">
        <f t="shared" si="5"/>
        <v>0.05</v>
      </c>
      <c r="N72" s="164">
        <v>0.05</v>
      </c>
      <c r="O72" s="155">
        <f t="shared" si="6"/>
        <v>3.7154558377617018E-2</v>
      </c>
      <c r="P72" s="155">
        <f t="shared" si="7"/>
        <v>5.1401145517478701E-2</v>
      </c>
      <c r="Q72" s="155">
        <f t="shared" si="8"/>
        <v>0.14268795939160639</v>
      </c>
      <c r="R72" s="164"/>
      <c r="S72" s="164">
        <f t="shared" si="1"/>
        <v>-2.1449670891694667E-2</v>
      </c>
      <c r="T72" s="170">
        <f t="shared" si="9"/>
        <v>0.05</v>
      </c>
      <c r="U72" s="164"/>
      <c r="V72" s="171">
        <f>'Price Deck'!K66</f>
        <v>2.3062564563285646</v>
      </c>
      <c r="W72" s="169">
        <f t="shared" si="10"/>
        <v>2.1859093062936168</v>
      </c>
      <c r="X72" s="164"/>
      <c r="Y72" s="169">
        <f t="shared" si="11"/>
        <v>24600.494731336938</v>
      </c>
      <c r="Z72" s="247">
        <f t="shared" si="12"/>
        <v>0.05</v>
      </c>
      <c r="AA72" s="169">
        <f t="shared" si="13"/>
        <v>1230.024736566847</v>
      </c>
      <c r="AB72" s="169">
        <f t="shared" si="14"/>
        <v>0.11531282281642823</v>
      </c>
    </row>
    <row r="73" spans="1:28">
      <c r="A73" s="164" t="str">
        <f>'Price Deck'!A67</f>
        <v>05/2024</v>
      </c>
      <c r="B73" s="51">
        <f>'Gas Type Curve'!A80</f>
        <v>4.2500000000000018</v>
      </c>
      <c r="C73" s="51">
        <f>'Gas Type Curve'!B80</f>
        <v>51.000000000000021</v>
      </c>
      <c r="D73" s="51">
        <f>'Gas Type Curve'!C80</f>
        <v>345.82053646884077</v>
      </c>
      <c r="E73" s="51">
        <f>'Gas Type Curve'!D80</f>
        <v>10518.707984260574</v>
      </c>
      <c r="F73" s="51">
        <f>'Gas Type Curve'!E80</f>
        <v>1281415.4919244507</v>
      </c>
      <c r="G73" s="164"/>
      <c r="H73" s="51">
        <f t="shared" si="2"/>
        <v>297858.25399030664</v>
      </c>
      <c r="I73" s="164">
        <f t="shared" si="3"/>
        <v>297.85825399030665</v>
      </c>
      <c r="J73" s="164">
        <f t="shared" si="0"/>
        <v>11110.112873838438</v>
      </c>
      <c r="K73" s="169">
        <f t="shared" si="4"/>
        <v>2.1648553787639235</v>
      </c>
      <c r="L73" s="164"/>
      <c r="M73" s="170">
        <f t="shared" si="5"/>
        <v>0.05</v>
      </c>
      <c r="N73" s="164">
        <v>0.05</v>
      </c>
      <c r="O73" s="155">
        <f t="shared" si="6"/>
        <v>3.5891322725835423E-2</v>
      </c>
      <c r="P73" s="155">
        <f t="shared" si="7"/>
        <v>5.050635359746674E-2</v>
      </c>
      <c r="Q73" s="155">
        <f t="shared" si="8"/>
        <v>0.14221424602218827</v>
      </c>
      <c r="R73" s="164"/>
      <c r="S73" s="164">
        <f t="shared" si="1"/>
        <v>-2.3520730004985609E-2</v>
      </c>
      <c r="T73" s="170">
        <f t="shared" si="9"/>
        <v>0.05</v>
      </c>
      <c r="U73" s="164"/>
      <c r="V73" s="171">
        <f>'Price Deck'!K67</f>
        <v>2.2840433863916609</v>
      </c>
      <c r="W73" s="169">
        <f t="shared" si="10"/>
        <v>2.1648553787639235</v>
      </c>
      <c r="X73" s="164"/>
      <c r="Y73" s="169">
        <f t="shared" si="11"/>
        <v>24025.185404835524</v>
      </c>
      <c r="Z73" s="247">
        <f t="shared" si="12"/>
        <v>0.05</v>
      </c>
      <c r="AA73" s="169">
        <f t="shared" si="13"/>
        <v>1201.2592702417762</v>
      </c>
      <c r="AB73" s="169">
        <f t="shared" si="14"/>
        <v>0.11420216931958305</v>
      </c>
    </row>
    <row r="74" spans="1:28">
      <c r="A74" s="164" t="str">
        <f>'Price Deck'!A68</f>
        <v>06/2024</v>
      </c>
      <c r="B74" s="51">
        <f>'Gas Type Curve'!A81</f>
        <v>4.3333333333333348</v>
      </c>
      <c r="C74" s="51">
        <f>'Gas Type Curve'!B81</f>
        <v>52.000000000000014</v>
      </c>
      <c r="D74" s="51">
        <f>'Gas Type Curve'!C81</f>
        <v>341.11033910016198</v>
      </c>
      <c r="E74" s="51">
        <f>'Gas Type Curve'!D81</f>
        <v>10375.439480963261</v>
      </c>
      <c r="F74" s="51">
        <f>'Gas Type Curve'!E81</f>
        <v>1291790.9314054139</v>
      </c>
      <c r="G74" s="164"/>
      <c r="H74" s="51">
        <f t="shared" si="2"/>
        <v>293801.31978243665</v>
      </c>
      <c r="I74" s="164">
        <f t="shared" si="3"/>
        <v>293.80131978243668</v>
      </c>
      <c r="J74" s="164">
        <f t="shared" si="0"/>
        <v>10958.789227884887</v>
      </c>
      <c r="K74" s="169">
        <f t="shared" si="4"/>
        <v>2.2007709021969299</v>
      </c>
      <c r="L74" s="164"/>
      <c r="M74" s="170">
        <f t="shared" si="5"/>
        <v>0.05</v>
      </c>
      <c r="N74" s="164">
        <v>0.05</v>
      </c>
      <c r="O74" s="155">
        <f t="shared" si="6"/>
        <v>3.8046254131815803E-2</v>
      </c>
      <c r="P74" s="155">
        <f t="shared" si="7"/>
        <v>5.2032763343369516E-2</v>
      </c>
      <c r="Q74" s="155">
        <f t="shared" si="8"/>
        <v>0.14302234529943092</v>
      </c>
      <c r="R74" s="164"/>
      <c r="S74" s="164">
        <f t="shared" si="1"/>
        <v>-2.5523638423411012E-2</v>
      </c>
      <c r="T74" s="170">
        <f t="shared" si="9"/>
        <v>0.05</v>
      </c>
      <c r="U74" s="164"/>
      <c r="V74" s="171">
        <f>'Price Deck'!K68</f>
        <v>2.3219362704016735</v>
      </c>
      <c r="W74" s="169">
        <f t="shared" si="10"/>
        <v>2.2007709021969299</v>
      </c>
      <c r="X74" s="164"/>
      <c r="Y74" s="169">
        <f t="shared" si="11"/>
        <v>24091.109252206112</v>
      </c>
      <c r="Z74" s="247">
        <f t="shared" si="12"/>
        <v>0.05</v>
      </c>
      <c r="AA74" s="169">
        <f t="shared" si="13"/>
        <v>1204.5554626103055</v>
      </c>
      <c r="AB74" s="169">
        <f t="shared" si="14"/>
        <v>0.11609681352008368</v>
      </c>
    </row>
    <row r="75" spans="1:28">
      <c r="A75" s="164" t="str">
        <f>'Price Deck'!A69</f>
        <v>07/2024</v>
      </c>
      <c r="B75" s="51">
        <f>'Gas Type Curve'!A82</f>
        <v>4.4166666666666679</v>
      </c>
      <c r="C75" s="51">
        <f>'Gas Type Curve'!B82</f>
        <v>53.000000000000014</v>
      </c>
      <c r="D75" s="51">
        <f>'Gas Type Curve'!C82</f>
        <v>336.55220375018519</v>
      </c>
      <c r="E75" s="51">
        <f>'Gas Type Curve'!D82</f>
        <v>10236.796197401467</v>
      </c>
      <c r="F75" s="51">
        <f>'Gas Type Curve'!E82</f>
        <v>1302027.7276028153</v>
      </c>
      <c r="G75" s="164"/>
      <c r="H75" s="51">
        <f t="shared" si="2"/>
        <v>289875.35792181734</v>
      </c>
      <c r="I75" s="164">
        <f t="shared" si="3"/>
        <v>289.87535792181734</v>
      </c>
      <c r="J75" s="164">
        <f t="shared" ref="J75:J138" si="15">H75*$E$2</f>
        <v>10812.350850483786</v>
      </c>
      <c r="K75" s="169">
        <f t="shared" si="4"/>
        <v>2.2391633582804888</v>
      </c>
      <c r="L75" s="164"/>
      <c r="M75" s="170">
        <f t="shared" si="5"/>
        <v>0.05</v>
      </c>
      <c r="N75" s="164">
        <v>0.05</v>
      </c>
      <c r="O75" s="155">
        <f t="shared" si="6"/>
        <v>4.0349801496829339E-2</v>
      </c>
      <c r="P75" s="155">
        <f t="shared" si="7"/>
        <v>5.3664442726920766E-2</v>
      </c>
      <c r="Q75" s="155">
        <f t="shared" si="8"/>
        <v>0.143886175561311</v>
      </c>
      <c r="R75" s="164"/>
      <c r="S75" s="164">
        <f t="shared" ref="S75:S138" si="16">IF(I75&gt;$C$2,0, ((I75-$C$2)*0.0004937))</f>
        <v>-2.7461885793998782E-2</v>
      </c>
      <c r="T75" s="170">
        <f t="shared" si="9"/>
        <v>0.05</v>
      </c>
      <c r="U75" s="164"/>
      <c r="V75" s="171">
        <f>'Price Deck'!K69</f>
        <v>2.3624424567572047</v>
      </c>
      <c r="W75" s="169">
        <f t="shared" si="10"/>
        <v>2.2391633582804888</v>
      </c>
      <c r="X75" s="164"/>
      <c r="Y75" s="169">
        <f t="shared" si="11"/>
        <v>24183.841957911933</v>
      </c>
      <c r="Z75" s="247">
        <f t="shared" si="12"/>
        <v>0.05</v>
      </c>
      <c r="AA75" s="169">
        <f t="shared" si="13"/>
        <v>1209.1920978955966</v>
      </c>
      <c r="AB75" s="169">
        <f t="shared" si="14"/>
        <v>0.11812212283786024</v>
      </c>
    </row>
    <row r="76" spans="1:28">
      <c r="A76" s="164" t="str">
        <f>'Price Deck'!A70</f>
        <v>08/2024</v>
      </c>
      <c r="B76" s="51">
        <f>'Gas Type Curve'!A83</f>
        <v>4.5000000000000009</v>
      </c>
      <c r="C76" s="51">
        <f>'Gas Type Curve'!B83</f>
        <v>54.000000000000014</v>
      </c>
      <c r="D76" s="51">
        <f>'Gas Type Curve'!C83</f>
        <v>332.13848869777303</v>
      </c>
      <c r="E76" s="51">
        <f>'Gas Type Curve'!D83</f>
        <v>10102.545697890597</v>
      </c>
      <c r="F76" s="51">
        <f>'Gas Type Curve'!E83</f>
        <v>1312130.2733007059</v>
      </c>
      <c r="G76" s="164"/>
      <c r="H76" s="51">
        <f t="shared" ref="H76:H139" si="17">E76*1000*$D$2</f>
        <v>286073.78652716801</v>
      </c>
      <c r="I76" s="164">
        <f t="shared" ref="I76:I139" si="18">H76/1000</f>
        <v>286.07378652716801</v>
      </c>
      <c r="J76" s="164">
        <f t="shared" si="15"/>
        <v>10670.552237463367</v>
      </c>
      <c r="K76" s="169">
        <f t="shared" ref="K76:K139" si="19">W76</f>
        <v>2.255263420509078</v>
      </c>
      <c r="L76" s="164"/>
      <c r="M76" s="170">
        <f t="shared" ref="M76:M139" si="20">MIN(IF(K76&gt;$M$4,Q76,IF(K76&gt;$L$4,P76,IF(K76&gt;$K$4,O76,N76))),0.36)</f>
        <v>0.05</v>
      </c>
      <c r="N76" s="164">
        <v>0.05</v>
      </c>
      <c r="O76" s="155">
        <f t="shared" ref="O76:O139" si="21">((K76-$K$4)*0.06+0.05)</f>
        <v>4.1315805230544692E-2</v>
      </c>
      <c r="P76" s="155">
        <f t="shared" ref="P76:P139" si="22">((K76-$L$4)*0.0425+0.086)</f>
        <v>5.4348695371635808E-2</v>
      </c>
      <c r="Q76" s="155">
        <f t="shared" ref="Q76:Q139" si="23">((K76-$M$4)*0.0225+0.24538)</f>
        <v>0.14424842696145423</v>
      </c>
      <c r="R76" s="164"/>
      <c r="S76" s="164">
        <f t="shared" si="16"/>
        <v>-2.9338721591537154E-2</v>
      </c>
      <c r="T76" s="170">
        <f t="shared" ref="T76:T139" si="24">MAX(S76+M76,0.05)</f>
        <v>0.05</v>
      </c>
      <c r="U76" s="164"/>
      <c r="V76" s="171">
        <f>'Price Deck'!K70</f>
        <v>2.379428922003072</v>
      </c>
      <c r="W76" s="169">
        <f t="shared" ref="W76:W139" si="25">V76*$P$2</f>
        <v>2.255263420509078</v>
      </c>
      <c r="X76" s="164"/>
      <c r="Y76" s="169">
        <f t="shared" ref="Y76:Y139" si="26">V76*E76</f>
        <v>24038.289419418594</v>
      </c>
      <c r="Z76" s="247">
        <f t="shared" ref="Z76:Z139" si="27">IF(C76&lt;$A$5,0.05,T76)</f>
        <v>0.05</v>
      </c>
      <c r="AA76" s="169">
        <f t="shared" ref="AA76:AA139" si="28">+Z76*Y76</f>
        <v>1201.9144709709296</v>
      </c>
      <c r="AB76" s="169">
        <f t="shared" ref="AB76:AB139" si="29">AA76/E76</f>
        <v>0.11897144610015359</v>
      </c>
    </row>
    <row r="77" spans="1:28">
      <c r="A77" s="164" t="str">
        <f>'Price Deck'!A71</f>
        <v>09/2024</v>
      </c>
      <c r="B77" s="51">
        <f>'Gas Type Curve'!A84</f>
        <v>4.5833333333333339</v>
      </c>
      <c r="C77" s="51">
        <f>'Gas Type Curve'!B84</f>
        <v>55.000000000000007</v>
      </c>
      <c r="D77" s="51">
        <f>'Gas Type Curve'!C84</f>
        <v>327.86206856844638</v>
      </c>
      <c r="E77" s="51">
        <f>'Gas Type Curve'!D84</f>
        <v>9972.4712522902446</v>
      </c>
      <c r="F77" s="51">
        <f>'Gas Type Curve'!E84</f>
        <v>1322102.7445529962</v>
      </c>
      <c r="G77" s="164"/>
      <c r="H77" s="51">
        <f t="shared" si="17"/>
        <v>282390.46845110285</v>
      </c>
      <c r="I77" s="164">
        <f t="shared" si="18"/>
        <v>282.39046845110283</v>
      </c>
      <c r="J77" s="164">
        <f t="shared" si="15"/>
        <v>10533.164473226136</v>
      </c>
      <c r="K77" s="169">
        <f t="shared" si="19"/>
        <v>2.255263420509078</v>
      </c>
      <c r="L77" s="164"/>
      <c r="M77" s="170">
        <f t="shared" si="20"/>
        <v>0.05</v>
      </c>
      <c r="N77" s="164">
        <v>0.05</v>
      </c>
      <c r="O77" s="155">
        <f t="shared" si="21"/>
        <v>4.1315805230544692E-2</v>
      </c>
      <c r="P77" s="155">
        <f t="shared" si="22"/>
        <v>5.4348695371635808E-2</v>
      </c>
      <c r="Q77" s="155">
        <f t="shared" si="23"/>
        <v>0.14424842696145423</v>
      </c>
      <c r="R77" s="164"/>
      <c r="S77" s="164">
        <f t="shared" si="16"/>
        <v>-3.1157175725690531E-2</v>
      </c>
      <c r="T77" s="170">
        <f t="shared" si="24"/>
        <v>0.05</v>
      </c>
      <c r="U77" s="164"/>
      <c r="V77" s="171">
        <f>'Price Deck'!K71</f>
        <v>2.379428922003072</v>
      </c>
      <c r="W77" s="169">
        <f t="shared" si="25"/>
        <v>2.255263420509078</v>
      </c>
      <c r="X77" s="164"/>
      <c r="Y77" s="169">
        <f t="shared" si="26"/>
        <v>23728.786521543603</v>
      </c>
      <c r="Z77" s="247">
        <f t="shared" si="27"/>
        <v>0.05</v>
      </c>
      <c r="AA77" s="169">
        <f t="shared" si="28"/>
        <v>1186.4393260771801</v>
      </c>
      <c r="AB77" s="169">
        <f t="shared" si="29"/>
        <v>0.1189714461001536</v>
      </c>
    </row>
    <row r="78" spans="1:28">
      <c r="A78" s="164" t="str">
        <f>'Price Deck'!A72</f>
        <v>10/2024</v>
      </c>
      <c r="B78" s="51">
        <f>'Gas Type Curve'!A85</f>
        <v>4.666666666666667</v>
      </c>
      <c r="C78" s="51">
        <f>'Gas Type Curve'!B85</f>
        <v>56</v>
      </c>
      <c r="D78" s="51">
        <f>'Gas Type Curve'!C85</f>
        <v>323.71629082440023</v>
      </c>
      <c r="E78" s="51">
        <f>'Gas Type Curve'!D85</f>
        <v>9846.3705125755077</v>
      </c>
      <c r="F78" s="51">
        <f>'Gas Type Curve'!E85</f>
        <v>1331949.1150655719</v>
      </c>
      <c r="G78" s="164"/>
      <c r="H78" s="51">
        <f t="shared" si="17"/>
        <v>278819.67380460061</v>
      </c>
      <c r="I78" s="164">
        <f t="shared" si="18"/>
        <v>278.8196738046006</v>
      </c>
      <c r="J78" s="164">
        <f t="shared" si="15"/>
        <v>10399.973832911603</v>
      </c>
      <c r="K78" s="169">
        <f t="shared" si="19"/>
        <v>2.2825096796651523</v>
      </c>
      <c r="L78" s="164"/>
      <c r="M78" s="170">
        <f t="shared" si="20"/>
        <v>0.05</v>
      </c>
      <c r="N78" s="164">
        <v>0.05</v>
      </c>
      <c r="O78" s="155">
        <f t="shared" si="21"/>
        <v>4.2950580779909146E-2</v>
      </c>
      <c r="P78" s="155">
        <f t="shared" si="22"/>
        <v>5.5506661385768964E-2</v>
      </c>
      <c r="Q78" s="155">
        <f t="shared" si="23"/>
        <v>0.14486146779246589</v>
      </c>
      <c r="R78" s="164"/>
      <c r="S78" s="164">
        <f t="shared" si="16"/>
        <v>-3.2920077042668687E-2</v>
      </c>
      <c r="T78" s="170">
        <f t="shared" si="24"/>
        <v>0.05</v>
      </c>
      <c r="U78" s="164"/>
      <c r="V78" s="171">
        <f>'Price Deck'!K72</f>
        <v>2.4081752478037717</v>
      </c>
      <c r="W78" s="169">
        <f t="shared" si="25"/>
        <v>2.2825096796651523</v>
      </c>
      <c r="X78" s="164"/>
      <c r="Y78" s="169">
        <f t="shared" si="26"/>
        <v>23711.785749089275</v>
      </c>
      <c r="Z78" s="247">
        <f t="shared" si="27"/>
        <v>0.05</v>
      </c>
      <c r="AA78" s="169">
        <f t="shared" si="28"/>
        <v>1185.5892874544638</v>
      </c>
      <c r="AB78" s="169">
        <f t="shared" si="29"/>
        <v>0.12040876239018859</v>
      </c>
    </row>
    <row r="79" spans="1:28">
      <c r="A79" s="164" t="str">
        <f>'Price Deck'!A73</f>
        <v>11/2024</v>
      </c>
      <c r="B79" s="51">
        <f>'Gas Type Curve'!A86</f>
        <v>4.75</v>
      </c>
      <c r="C79" s="51">
        <f>'Gas Type Curve'!B86</f>
        <v>57</v>
      </c>
      <c r="D79" s="51">
        <f>'Gas Type Curve'!C86</f>
        <v>319.69493662177456</v>
      </c>
      <c r="E79" s="51">
        <f>'Gas Type Curve'!D86</f>
        <v>9724.0543222456436</v>
      </c>
      <c r="F79" s="51">
        <f>'Gas Type Curve'!E86</f>
        <v>1341673.1693878174</v>
      </c>
      <c r="G79" s="164"/>
      <c r="H79" s="51">
        <f t="shared" si="17"/>
        <v>275356.04624302988</v>
      </c>
      <c r="I79" s="164">
        <f t="shared" si="18"/>
        <v>275.35604624302988</v>
      </c>
      <c r="J79" s="164">
        <f t="shared" si="15"/>
        <v>10270.780524865015</v>
      </c>
      <c r="K79" s="169">
        <f t="shared" si="19"/>
        <v>2.3568176591817167</v>
      </c>
      <c r="L79" s="164"/>
      <c r="M79" s="170">
        <f t="shared" si="20"/>
        <v>0.05</v>
      </c>
      <c r="N79" s="164">
        <v>0.05</v>
      </c>
      <c r="O79" s="155">
        <f t="shared" si="21"/>
        <v>4.7409059550903007E-2</v>
      </c>
      <c r="P79" s="155">
        <f t="shared" si="22"/>
        <v>5.8664750515222949E-2</v>
      </c>
      <c r="Q79" s="155">
        <f t="shared" si="23"/>
        <v>0.1465333973315886</v>
      </c>
      <c r="R79" s="164"/>
      <c r="S79" s="164">
        <f t="shared" si="16"/>
        <v>-3.463006996981615E-2</v>
      </c>
      <c r="T79" s="170">
        <f t="shared" si="24"/>
        <v>0.05</v>
      </c>
      <c r="U79" s="164"/>
      <c r="V79" s="171">
        <f>'Price Deck'!K73</f>
        <v>2.4865743181693145</v>
      </c>
      <c r="W79" s="169">
        <f t="shared" si="25"/>
        <v>2.3568176591817167</v>
      </c>
      <c r="X79" s="164"/>
      <c r="Y79" s="169">
        <f t="shared" si="26"/>
        <v>24179.583746179338</v>
      </c>
      <c r="Z79" s="247">
        <f t="shared" si="27"/>
        <v>0.05</v>
      </c>
      <c r="AA79" s="169">
        <f t="shared" si="28"/>
        <v>1208.9791873089669</v>
      </c>
      <c r="AB79" s="169">
        <f t="shared" si="29"/>
        <v>0.12432871590846573</v>
      </c>
    </row>
    <row r="80" spans="1:28">
      <c r="A80" s="164" t="str">
        <f>'Price Deck'!A74</f>
        <v>12/2024</v>
      </c>
      <c r="B80" s="51">
        <f>'Gas Type Curve'!A87</f>
        <v>4.833333333333333</v>
      </c>
      <c r="C80" s="51">
        <f>'Gas Type Curve'!B87</f>
        <v>58</v>
      </c>
      <c r="D80" s="51">
        <f>'Gas Type Curve'!C87</f>
        <v>315.7921855289016</v>
      </c>
      <c r="E80" s="51">
        <f>'Gas Type Curve'!D87</f>
        <v>9605.3456431707582</v>
      </c>
      <c r="F80" s="51">
        <f>'Gas Type Curve'!E87</f>
        <v>1351278.515030988</v>
      </c>
      <c r="G80" s="164"/>
      <c r="H80" s="51">
        <f t="shared" si="17"/>
        <v>271994.57257766637</v>
      </c>
      <c r="I80" s="164">
        <f t="shared" si="18"/>
        <v>271.99457257766636</v>
      </c>
      <c r="J80" s="164">
        <f t="shared" si="15"/>
        <v>10145.397557146956</v>
      </c>
      <c r="K80" s="169">
        <f t="shared" si="19"/>
        <v>2.5487799395995117</v>
      </c>
      <c r="L80" s="164"/>
      <c r="M80" s="170">
        <f t="shared" si="20"/>
        <v>5.8926796375970709E-2</v>
      </c>
      <c r="N80" s="164">
        <v>0.05</v>
      </c>
      <c r="O80" s="155">
        <f t="shared" si="21"/>
        <v>5.8926796375970709E-2</v>
      </c>
      <c r="P80" s="155">
        <f t="shared" si="22"/>
        <v>6.6823147432979235E-2</v>
      </c>
      <c r="Q80" s="155">
        <f t="shared" si="23"/>
        <v>0.15085254864098901</v>
      </c>
      <c r="R80" s="164"/>
      <c r="S80" s="164">
        <f t="shared" si="16"/>
        <v>-3.628962951840612E-2</v>
      </c>
      <c r="T80" s="170">
        <f t="shared" si="24"/>
        <v>0.05</v>
      </c>
      <c r="U80" s="164"/>
      <c r="V80" s="171">
        <f>'Price Deck'!K74</f>
        <v>2.6891052499469694</v>
      </c>
      <c r="W80" s="169">
        <f t="shared" si="25"/>
        <v>2.5487799395995117</v>
      </c>
      <c r="X80" s="164"/>
      <c r="Y80" s="169">
        <f t="shared" si="26"/>
        <v>25829.785396605734</v>
      </c>
      <c r="Z80" s="247">
        <f t="shared" si="27"/>
        <v>0.05</v>
      </c>
      <c r="AA80" s="169">
        <f t="shared" si="28"/>
        <v>1291.4892698302867</v>
      </c>
      <c r="AB80" s="169">
        <f t="shared" si="29"/>
        <v>0.13445526249734846</v>
      </c>
    </row>
    <row r="81" spans="1:28">
      <c r="A81" s="164" t="str">
        <f>'Price Deck'!A75</f>
        <v>01/2025</v>
      </c>
      <c r="B81" s="51">
        <f>'Gas Type Curve'!A88</f>
        <v>4.9166666666666661</v>
      </c>
      <c r="C81" s="51">
        <f>'Gas Type Curve'!B88</f>
        <v>58.999999999999993</v>
      </c>
      <c r="D81" s="51">
        <f>'Gas Type Curve'!C88</f>
        <v>312.00258366555192</v>
      </c>
      <c r="E81" s="51">
        <f>'Gas Type Curve'!D88</f>
        <v>9490.0785864938716</v>
      </c>
      <c r="F81" s="51">
        <f>'Gas Type Curve'!E88</f>
        <v>1360768.5936174819</v>
      </c>
      <c r="G81" s="164"/>
      <c r="H81" s="51">
        <f t="shared" si="17"/>
        <v>268730.55533374695</v>
      </c>
      <c r="I81" s="164">
        <f t="shared" si="18"/>
        <v>268.73055533374696</v>
      </c>
      <c r="J81" s="164">
        <f t="shared" si="15"/>
        <v>10023.649713948762</v>
      </c>
      <c r="K81" s="169">
        <f t="shared" si="19"/>
        <v>2.7023497639337473</v>
      </c>
      <c r="L81" s="164"/>
      <c r="M81" s="170">
        <f t="shared" si="20"/>
        <v>6.8140985836024848E-2</v>
      </c>
      <c r="N81" s="164">
        <v>0.05</v>
      </c>
      <c r="O81" s="155">
        <f t="shared" si="21"/>
        <v>6.8140985836024848E-2</v>
      </c>
      <c r="P81" s="155">
        <f t="shared" si="22"/>
        <v>7.334986496718425E-2</v>
      </c>
      <c r="Q81" s="155">
        <f t="shared" si="23"/>
        <v>0.15430786968850929</v>
      </c>
      <c r="R81" s="164"/>
      <c r="S81" s="164">
        <f t="shared" si="16"/>
        <v>-3.7901074831729123E-2</v>
      </c>
      <c r="T81" s="170">
        <f t="shared" si="24"/>
        <v>0.05</v>
      </c>
      <c r="U81" s="164"/>
      <c r="V81" s="171">
        <f>'Price Deck'!K75</f>
        <v>2.8511299953690932</v>
      </c>
      <c r="W81" s="169">
        <f t="shared" si="25"/>
        <v>2.7023497639337473</v>
      </c>
      <c r="X81" s="164"/>
      <c r="Y81" s="169">
        <f t="shared" si="26"/>
        <v>27057.447716362603</v>
      </c>
      <c r="Z81" s="247">
        <f t="shared" si="27"/>
        <v>0.05</v>
      </c>
      <c r="AA81" s="169">
        <f t="shared" si="28"/>
        <v>1352.8723858181302</v>
      </c>
      <c r="AB81" s="169">
        <f t="shared" si="29"/>
        <v>0.14255649976845466</v>
      </c>
    </row>
    <row r="82" spans="1:28">
      <c r="A82" s="164" t="str">
        <f>'Price Deck'!A76</f>
        <v>02/2025</v>
      </c>
      <c r="B82" s="51">
        <f>'Gas Type Curve'!A89</f>
        <v>4.9999999999999991</v>
      </c>
      <c r="C82" s="51">
        <f>'Gas Type Curve'!B89</f>
        <v>59.999999999999986</v>
      </c>
      <c r="D82" s="51">
        <f>'Gas Type Curve'!C89</f>
        <v>308.32101487985125</v>
      </c>
      <c r="E82" s="51">
        <f>'Gas Type Curve'!D89</f>
        <v>9378.0975359288095</v>
      </c>
      <c r="F82" s="51">
        <f>'Gas Type Curve'!E89</f>
        <v>1370146.6911534106</v>
      </c>
      <c r="G82" s="164"/>
      <c r="H82" s="51">
        <f t="shared" si="17"/>
        <v>265559.5879248961</v>
      </c>
      <c r="I82" s="164">
        <f t="shared" si="18"/>
        <v>265.55958792489611</v>
      </c>
      <c r="J82" s="164">
        <f t="shared" si="15"/>
        <v>9905.3726295986253</v>
      </c>
      <c r="K82" s="169">
        <f t="shared" si="19"/>
        <v>2.6565265098985313</v>
      </c>
      <c r="L82" s="164"/>
      <c r="M82" s="170">
        <f t="shared" si="20"/>
        <v>6.5391590593911891E-2</v>
      </c>
      <c r="N82" s="164">
        <v>0.05</v>
      </c>
      <c r="O82" s="155">
        <f t="shared" si="21"/>
        <v>6.5391590593911891E-2</v>
      </c>
      <c r="P82" s="155">
        <f t="shared" si="22"/>
        <v>7.1402376670687578E-2</v>
      </c>
      <c r="Q82" s="155">
        <f t="shared" si="23"/>
        <v>0.15327684647271694</v>
      </c>
      <c r="R82" s="164"/>
      <c r="S82" s="164">
        <f t="shared" si="16"/>
        <v>-3.9466581441478792E-2</v>
      </c>
      <c r="T82" s="170">
        <f t="shared" si="24"/>
        <v>0.05</v>
      </c>
      <c r="U82" s="164"/>
      <c r="V82" s="171">
        <f>'Price Deck'!K76</f>
        <v>2.8027839019770076</v>
      </c>
      <c r="W82" s="169">
        <f t="shared" si="25"/>
        <v>2.6565265098985313</v>
      </c>
      <c r="X82" s="164"/>
      <c r="Y82" s="169">
        <f t="shared" si="26"/>
        <v>26284.780804871509</v>
      </c>
      <c r="Z82" s="247">
        <f t="shared" si="27"/>
        <v>0.05</v>
      </c>
      <c r="AA82" s="169">
        <f t="shared" si="28"/>
        <v>1314.2390402435756</v>
      </c>
      <c r="AB82" s="169">
        <f t="shared" si="29"/>
        <v>0.14013919509885039</v>
      </c>
    </row>
    <row r="83" spans="1:28">
      <c r="A83" s="164" t="str">
        <f>'Price Deck'!A77</f>
        <v>03/2025</v>
      </c>
      <c r="B83" s="51">
        <f>'Gas Type Curve'!A90</f>
        <v>5.0833333333333321</v>
      </c>
      <c r="C83" s="51">
        <f>'Gas Type Curve'!B90</f>
        <v>60.999999999999986</v>
      </c>
      <c r="D83" s="51">
        <f>'Gas Type Curve'!C90</f>
        <v>304.74267462808564</v>
      </c>
      <c r="E83" s="51">
        <f>'Gas Type Curve'!D90</f>
        <v>9269.2563532709391</v>
      </c>
      <c r="F83" s="51">
        <f>'Gas Type Curve'!E90</f>
        <v>1379415.9475066816</v>
      </c>
      <c r="G83" s="164"/>
      <c r="H83" s="51">
        <f t="shared" si="17"/>
        <v>262477.53215557314</v>
      </c>
      <c r="I83" s="164">
        <f t="shared" si="18"/>
        <v>262.47753215557316</v>
      </c>
      <c r="J83" s="164">
        <f t="shared" si="15"/>
        <v>9790.4119494028782</v>
      </c>
      <c r="K83" s="169">
        <f t="shared" si="19"/>
        <v>2.576026198755585</v>
      </c>
      <c r="L83" s="164"/>
      <c r="M83" s="170">
        <f t="shared" si="20"/>
        <v>6.0561571925335109E-2</v>
      </c>
      <c r="N83" s="164">
        <v>0.05</v>
      </c>
      <c r="O83" s="155">
        <f t="shared" si="21"/>
        <v>6.0561571925335109E-2</v>
      </c>
      <c r="P83" s="155">
        <f t="shared" si="22"/>
        <v>6.7981113447112357E-2</v>
      </c>
      <c r="Q83" s="155">
        <f t="shared" si="23"/>
        <v>0.15146558947200067</v>
      </c>
      <c r="R83" s="164"/>
      <c r="S83" s="164">
        <f t="shared" si="16"/>
        <v>-4.0988192374793536E-2</v>
      </c>
      <c r="T83" s="170">
        <f t="shared" si="24"/>
        <v>0.05</v>
      </c>
      <c r="U83" s="164"/>
      <c r="V83" s="171">
        <f>'Price Deck'!K77</f>
        <v>2.7178515757476682</v>
      </c>
      <c r="W83" s="169">
        <f t="shared" si="25"/>
        <v>2.576026198755585</v>
      </c>
      <c r="X83" s="164"/>
      <c r="Y83" s="169">
        <f t="shared" si="26"/>
        <v>25192.462985746508</v>
      </c>
      <c r="Z83" s="247">
        <f t="shared" si="27"/>
        <v>0.05</v>
      </c>
      <c r="AA83" s="169">
        <f t="shared" si="28"/>
        <v>1259.6231492873255</v>
      </c>
      <c r="AB83" s="169">
        <f t="shared" si="29"/>
        <v>0.13589257878738342</v>
      </c>
    </row>
    <row r="84" spans="1:28">
      <c r="A84" s="164" t="str">
        <f>'Price Deck'!A78</f>
        <v>04/2025</v>
      </c>
      <c r="B84" s="51">
        <f>'Gas Type Curve'!A91</f>
        <v>5.1666666666666652</v>
      </c>
      <c r="C84" s="51">
        <f>'Gas Type Curve'!B91</f>
        <v>61.999999999999986</v>
      </c>
      <c r="D84" s="51">
        <f>'Gas Type Curve'!C91</f>
        <v>301.26304626433074</v>
      </c>
      <c r="E84" s="51">
        <f>'Gas Type Curve'!D91</f>
        <v>9163.4176572067263</v>
      </c>
      <c r="F84" s="51">
        <f>'Gas Type Curve'!E91</f>
        <v>1388579.3651638883</v>
      </c>
      <c r="G84" s="164"/>
      <c r="H84" s="51">
        <f t="shared" si="17"/>
        <v>259480.49779912288</v>
      </c>
      <c r="I84" s="164">
        <f t="shared" si="18"/>
        <v>259.48049779912287</v>
      </c>
      <c r="J84" s="164">
        <f t="shared" si="15"/>
        <v>9678.6225679072832</v>
      </c>
      <c r="K84" s="169">
        <f t="shared" si="19"/>
        <v>2.3159482704476062</v>
      </c>
      <c r="L84" s="164"/>
      <c r="M84" s="170">
        <f t="shared" si="20"/>
        <v>0.05</v>
      </c>
      <c r="N84" s="164">
        <v>0.05</v>
      </c>
      <c r="O84" s="155">
        <f t="shared" si="21"/>
        <v>4.4956896226856377E-2</v>
      </c>
      <c r="P84" s="155">
        <f t="shared" si="22"/>
        <v>5.6927801494023253E-2</v>
      </c>
      <c r="Q84" s="155">
        <f t="shared" si="23"/>
        <v>0.14561383608507111</v>
      </c>
      <c r="R84" s="164"/>
      <c r="S84" s="164">
        <f t="shared" si="16"/>
        <v>-4.2467828236573038E-2</v>
      </c>
      <c r="T84" s="170">
        <f t="shared" si="24"/>
        <v>0.05</v>
      </c>
      <c r="U84" s="164"/>
      <c r="V84" s="171">
        <f>'Price Deck'!K78</f>
        <v>2.4434548294682661</v>
      </c>
      <c r="W84" s="169">
        <f t="shared" si="25"/>
        <v>2.3159482704476062</v>
      </c>
      <c r="X84" s="164"/>
      <c r="Y84" s="169">
        <f t="shared" si="26"/>
        <v>22390.397128936558</v>
      </c>
      <c r="Z84" s="247">
        <f t="shared" si="27"/>
        <v>0.05</v>
      </c>
      <c r="AA84" s="169">
        <f t="shared" si="28"/>
        <v>1119.519856446828</v>
      </c>
      <c r="AB84" s="169">
        <f t="shared" si="29"/>
        <v>0.12217274147341331</v>
      </c>
    </row>
    <row r="85" spans="1:28">
      <c r="A85" s="164" t="str">
        <f>'Price Deck'!A79</f>
        <v>05/2025</v>
      </c>
      <c r="B85" s="51">
        <f>'Gas Type Curve'!A92</f>
        <v>5.2499999999999982</v>
      </c>
      <c r="C85" s="51">
        <f>'Gas Type Curve'!B92</f>
        <v>62.999999999999979</v>
      </c>
      <c r="D85" s="51">
        <f>'Gas Type Curve'!C92</f>
        <v>297.87787948276542</v>
      </c>
      <c r="E85" s="51">
        <f>'Gas Type Curve'!D92</f>
        <v>9060.4521676007826</v>
      </c>
      <c r="F85" s="51">
        <f>'Gas Type Curve'!E92</f>
        <v>1397639.8173314892</v>
      </c>
      <c r="G85" s="164"/>
      <c r="H85" s="51">
        <f t="shared" si="17"/>
        <v>256564.82402995136</v>
      </c>
      <c r="I85" s="164">
        <f t="shared" si="18"/>
        <v>256.56482402995135</v>
      </c>
      <c r="J85" s="164">
        <f t="shared" si="15"/>
        <v>9569.867936317185</v>
      </c>
      <c r="K85" s="169">
        <f t="shared" si="19"/>
        <v>2.2973712755684645</v>
      </c>
      <c r="L85" s="164"/>
      <c r="M85" s="170">
        <f t="shared" si="20"/>
        <v>0.05</v>
      </c>
      <c r="N85" s="164">
        <v>0.05</v>
      </c>
      <c r="O85" s="155">
        <f t="shared" si="21"/>
        <v>4.3842276534107882E-2</v>
      </c>
      <c r="P85" s="155">
        <f t="shared" si="22"/>
        <v>5.6138279211659731E-2</v>
      </c>
      <c r="Q85" s="155">
        <f t="shared" si="23"/>
        <v>0.14519585370029042</v>
      </c>
      <c r="R85" s="164"/>
      <c r="S85" s="164">
        <f t="shared" si="16"/>
        <v>-4.3907296376413017E-2</v>
      </c>
      <c r="T85" s="170">
        <f t="shared" si="24"/>
        <v>0.05</v>
      </c>
      <c r="U85" s="164"/>
      <c r="V85" s="171">
        <f>'Price Deck'!K79</f>
        <v>2.4238550618768797</v>
      </c>
      <c r="W85" s="169">
        <f t="shared" si="25"/>
        <v>2.2973712755684645</v>
      </c>
      <c r="X85" s="164"/>
      <c r="Y85" s="169">
        <f t="shared" si="26"/>
        <v>21961.222849332502</v>
      </c>
      <c r="Z85" s="247">
        <f t="shared" si="27"/>
        <v>0.05</v>
      </c>
      <c r="AA85" s="169">
        <f t="shared" si="28"/>
        <v>1098.0611424666251</v>
      </c>
      <c r="AB85" s="169">
        <f t="shared" si="29"/>
        <v>0.12119275309384397</v>
      </c>
    </row>
    <row r="86" spans="1:28">
      <c r="A86" s="164" t="str">
        <f>'Price Deck'!A80</f>
        <v>06/2025</v>
      </c>
      <c r="B86" s="51">
        <f>'Gas Type Curve'!A93</f>
        <v>5.3333333333333313</v>
      </c>
      <c r="C86" s="51">
        <f>'Gas Type Curve'!B93</f>
        <v>63.999999999999972</v>
      </c>
      <c r="D86" s="51">
        <f>'Gas Type Curve'!C93</f>
        <v>294.58317068657556</v>
      </c>
      <c r="E86" s="51">
        <f>'Gas Type Curve'!D93</f>
        <v>8960.2381083833407</v>
      </c>
      <c r="F86" s="51">
        <f>'Gas Type Curve'!E93</f>
        <v>1406600.0554398724</v>
      </c>
      <c r="G86" s="164"/>
      <c r="H86" s="51">
        <f t="shared" si="17"/>
        <v>253727.06251509103</v>
      </c>
      <c r="I86" s="164">
        <f t="shared" si="18"/>
        <v>253.72706251509103</v>
      </c>
      <c r="J86" s="164">
        <f t="shared" si="15"/>
        <v>9464.0194318128961</v>
      </c>
      <c r="K86" s="169">
        <f t="shared" si="19"/>
        <v>2.3332867990014718</v>
      </c>
      <c r="L86" s="164"/>
      <c r="M86" s="170">
        <f t="shared" si="20"/>
        <v>0.05</v>
      </c>
      <c r="N86" s="164">
        <v>0.05</v>
      </c>
      <c r="O86" s="155">
        <f t="shared" si="21"/>
        <v>4.5997207940088318E-2</v>
      </c>
      <c r="P86" s="155">
        <f t="shared" si="22"/>
        <v>5.7664688957562549E-2</v>
      </c>
      <c r="Q86" s="155">
        <f t="shared" si="23"/>
        <v>0.1460039529775331</v>
      </c>
      <c r="R86" s="164"/>
      <c r="S86" s="164">
        <f t="shared" si="16"/>
        <v>-4.530829923629956E-2</v>
      </c>
      <c r="T86" s="170">
        <f t="shared" si="24"/>
        <v>0.05</v>
      </c>
      <c r="U86" s="164"/>
      <c r="V86" s="171">
        <f>'Price Deck'!K80</f>
        <v>2.4617479458868932</v>
      </c>
      <c r="W86" s="169">
        <f t="shared" si="25"/>
        <v>2.3332867990014718</v>
      </c>
      <c r="X86" s="164"/>
      <c r="Y86" s="169">
        <f t="shared" si="26"/>
        <v>22057.84775797015</v>
      </c>
      <c r="Z86" s="247">
        <f t="shared" si="27"/>
        <v>0.05</v>
      </c>
      <c r="AA86" s="169">
        <f t="shared" si="28"/>
        <v>1102.8923878985076</v>
      </c>
      <c r="AB86" s="169">
        <f t="shared" si="29"/>
        <v>0.12308739729434467</v>
      </c>
    </row>
    <row r="87" spans="1:28">
      <c r="A87" s="164" t="str">
        <f>'Price Deck'!A81</f>
        <v>07/2025</v>
      </c>
      <c r="B87" s="51">
        <f>'Gas Type Curve'!A94</f>
        <v>5.4166666666666643</v>
      </c>
      <c r="C87" s="51">
        <f>'Gas Type Curve'!B94</f>
        <v>64.999999999999972</v>
      </c>
      <c r="D87" s="51">
        <f>'Gas Type Curve'!C94</f>
        <v>291.3751450842135</v>
      </c>
      <c r="E87" s="51">
        <f>'Gas Type Curve'!D94</f>
        <v>8862.6606629781618</v>
      </c>
      <c r="F87" s="51">
        <f>'Gas Type Curve'!E94</f>
        <v>1415462.7161028506</v>
      </c>
      <c r="G87" s="164"/>
      <c r="H87" s="51">
        <f t="shared" si="17"/>
        <v>250963.96199355257</v>
      </c>
      <c r="I87" s="164">
        <f t="shared" si="18"/>
        <v>250.96396199355257</v>
      </c>
      <c r="J87" s="164">
        <f t="shared" si="15"/>
        <v>9360.9557823595114</v>
      </c>
      <c r="K87" s="169">
        <f t="shared" si="19"/>
        <v>2.3729177214103068</v>
      </c>
      <c r="L87" s="164"/>
      <c r="M87" s="170">
        <f t="shared" si="20"/>
        <v>0.05</v>
      </c>
      <c r="N87" s="164">
        <v>0.05</v>
      </c>
      <c r="O87" s="155">
        <f t="shared" si="21"/>
        <v>4.8375063284618415E-2</v>
      </c>
      <c r="P87" s="155">
        <f t="shared" si="22"/>
        <v>5.9349003159938032E-2</v>
      </c>
      <c r="Q87" s="155">
        <f t="shared" si="23"/>
        <v>0.14689564873173189</v>
      </c>
      <c r="R87" s="164"/>
      <c r="S87" s="164">
        <f t="shared" si="16"/>
        <v>-4.6672441963783097E-2</v>
      </c>
      <c r="T87" s="170">
        <f t="shared" si="24"/>
        <v>0.05</v>
      </c>
      <c r="U87" s="164"/>
      <c r="V87" s="171">
        <f>'Price Deck'!K81</f>
        <v>2.5035607834151832</v>
      </c>
      <c r="W87" s="169">
        <f t="shared" si="25"/>
        <v>2.3729177214103068</v>
      </c>
      <c r="X87" s="164"/>
      <c r="Y87" s="169">
        <f t="shared" si="26"/>
        <v>22188.209672548532</v>
      </c>
      <c r="Z87" s="247">
        <f t="shared" si="27"/>
        <v>0.05</v>
      </c>
      <c r="AA87" s="169">
        <f t="shared" si="28"/>
        <v>1109.4104836274266</v>
      </c>
      <c r="AB87" s="169">
        <f t="shared" si="29"/>
        <v>0.12517803917075915</v>
      </c>
    </row>
    <row r="88" spans="1:28">
      <c r="A88" s="164" t="str">
        <f>'Price Deck'!A82</f>
        <v>08/2025</v>
      </c>
      <c r="B88" s="51">
        <f>'Gas Type Curve'!A95</f>
        <v>5.4999999999999973</v>
      </c>
      <c r="C88" s="51">
        <f>'Gas Type Curve'!B95</f>
        <v>65.999999999999972</v>
      </c>
      <c r="D88" s="51">
        <f>'Gas Type Curve'!C95</f>
        <v>288.25024033709803</v>
      </c>
      <c r="E88" s="51">
        <f>'Gas Type Curve'!D95</f>
        <v>8767.6114769200649</v>
      </c>
      <c r="F88" s="51">
        <f>'Gas Type Curve'!E95</f>
        <v>1424230.3275797707</v>
      </c>
      <c r="G88" s="164"/>
      <c r="H88" s="51">
        <f t="shared" si="17"/>
        <v>248272.45419194546</v>
      </c>
      <c r="I88" s="164">
        <f t="shared" si="18"/>
        <v>248.27245419194546</v>
      </c>
      <c r="J88" s="164">
        <f t="shared" si="15"/>
        <v>9260.5625413595662</v>
      </c>
      <c r="K88" s="169">
        <f t="shared" si="19"/>
        <v>2.3964485815905521</v>
      </c>
      <c r="L88" s="164"/>
      <c r="M88" s="170">
        <f t="shared" si="20"/>
        <v>0.05</v>
      </c>
      <c r="N88" s="164">
        <v>0.05</v>
      </c>
      <c r="O88" s="155">
        <f t="shared" si="21"/>
        <v>4.9786914895433132E-2</v>
      </c>
      <c r="P88" s="155">
        <f t="shared" si="22"/>
        <v>6.0349064717598454E-2</v>
      </c>
      <c r="Q88" s="155">
        <f t="shared" si="23"/>
        <v>0.14742509308578741</v>
      </c>
      <c r="R88" s="164"/>
      <c r="S88" s="164">
        <f t="shared" si="16"/>
        <v>-4.8001239365436529E-2</v>
      </c>
      <c r="T88" s="170">
        <f t="shared" si="24"/>
        <v>0.05</v>
      </c>
      <c r="U88" s="164"/>
      <c r="V88" s="171">
        <f>'Price Deck'!K82</f>
        <v>2.5283871556976045</v>
      </c>
      <c r="W88" s="169">
        <f t="shared" si="25"/>
        <v>2.3964485815905521</v>
      </c>
      <c r="X88" s="164"/>
      <c r="Y88" s="169">
        <f t="shared" si="26"/>
        <v>22167.916244391596</v>
      </c>
      <c r="Z88" s="247">
        <f t="shared" si="27"/>
        <v>0.05</v>
      </c>
      <c r="AA88" s="169">
        <f t="shared" si="28"/>
        <v>1108.3958122195797</v>
      </c>
      <c r="AB88" s="169">
        <f t="shared" si="29"/>
        <v>0.12641935778488023</v>
      </c>
    </row>
    <row r="89" spans="1:28">
      <c r="A89" s="164" t="str">
        <f>'Price Deck'!A83</f>
        <v>09/2025</v>
      </c>
      <c r="B89" s="51">
        <f>'Gas Type Curve'!A96</f>
        <v>5.5833333333333304</v>
      </c>
      <c r="C89" s="51">
        <f>'Gas Type Curve'!B96</f>
        <v>66.999999999999972</v>
      </c>
      <c r="D89" s="51">
        <f>'Gas Type Curve'!C96</f>
        <v>285.20509160311786</v>
      </c>
      <c r="E89" s="51">
        <f>'Gas Type Curve'!D96</f>
        <v>8674.9882029281689</v>
      </c>
      <c r="F89" s="51">
        <f>'Gas Type Curve'!E96</f>
        <v>1432905.3157826988</v>
      </c>
      <c r="G89" s="164"/>
      <c r="H89" s="51">
        <f t="shared" si="17"/>
        <v>245649.64094231694</v>
      </c>
      <c r="I89" s="164">
        <f t="shared" si="18"/>
        <v>245.64964094231695</v>
      </c>
      <c r="J89" s="164">
        <f t="shared" si="15"/>
        <v>9162.731607148422</v>
      </c>
      <c r="K89" s="169">
        <f t="shared" si="19"/>
        <v>2.4014024468916562</v>
      </c>
      <c r="L89" s="164"/>
      <c r="M89" s="170">
        <f t="shared" si="20"/>
        <v>5.0084146813499375E-2</v>
      </c>
      <c r="N89" s="164">
        <v>0.05</v>
      </c>
      <c r="O89" s="155">
        <f t="shared" si="21"/>
        <v>5.0084146813499375E-2</v>
      </c>
      <c r="P89" s="155">
        <f t="shared" si="22"/>
        <v>6.0559603992895381E-2</v>
      </c>
      <c r="Q89" s="155">
        <f t="shared" si="23"/>
        <v>0.14753655505506225</v>
      </c>
      <c r="R89" s="164"/>
      <c r="S89" s="164">
        <f t="shared" si="16"/>
        <v>-4.9296122266778125E-2</v>
      </c>
      <c r="T89" s="170">
        <f t="shared" si="24"/>
        <v>0.05</v>
      </c>
      <c r="U89" s="164"/>
      <c r="V89" s="171">
        <f>'Price Deck'!K83</f>
        <v>2.5336137603886408</v>
      </c>
      <c r="W89" s="169">
        <f t="shared" si="25"/>
        <v>2.4014024468916562</v>
      </c>
      <c r="X89" s="164"/>
      <c r="Y89" s="169">
        <f t="shared" si="26"/>
        <v>21979.069482147937</v>
      </c>
      <c r="Z89" s="247">
        <f t="shared" si="27"/>
        <v>0.05</v>
      </c>
      <c r="AA89" s="169">
        <f t="shared" si="28"/>
        <v>1098.9534741073969</v>
      </c>
      <c r="AB89" s="169">
        <f t="shared" si="29"/>
        <v>0.12668068801943205</v>
      </c>
    </row>
    <row r="90" spans="1:28">
      <c r="A90" s="164" t="str">
        <f>'Price Deck'!A84</f>
        <v>10/2025</v>
      </c>
      <c r="B90" s="51">
        <f>'Gas Type Curve'!A97</f>
        <v>5.6666666666666634</v>
      </c>
      <c r="C90" s="51">
        <f>'Gas Type Curve'!B97</f>
        <v>67.999999999999957</v>
      </c>
      <c r="D90" s="51">
        <f>'Gas Type Curve'!C97</f>
        <v>282.23651783798016</v>
      </c>
      <c r="E90" s="51">
        <f>'Gas Type Curve'!D97</f>
        <v>8584.6940842385629</v>
      </c>
      <c r="F90" s="51">
        <f>'Gas Type Curve'!E97</f>
        <v>1441490.0098669373</v>
      </c>
      <c r="G90" s="164"/>
      <c r="H90" s="51">
        <f t="shared" si="17"/>
        <v>243092.78238338337</v>
      </c>
      <c r="I90" s="164">
        <f t="shared" si="18"/>
        <v>243.09278238338337</v>
      </c>
      <c r="J90" s="164">
        <f t="shared" si="15"/>
        <v>9067.3607829001994</v>
      </c>
      <c r="K90" s="169">
        <f t="shared" si="19"/>
        <v>2.436079503999387</v>
      </c>
      <c r="L90" s="164"/>
      <c r="M90" s="170">
        <f t="shared" si="20"/>
        <v>5.2164770239963229E-2</v>
      </c>
      <c r="N90" s="164">
        <v>0.05</v>
      </c>
      <c r="O90" s="155">
        <f t="shared" si="21"/>
        <v>5.2164770239963229E-2</v>
      </c>
      <c r="P90" s="155">
        <f t="shared" si="22"/>
        <v>6.2033378919973937E-2</v>
      </c>
      <c r="Q90" s="155">
        <f t="shared" si="23"/>
        <v>0.14831678883998622</v>
      </c>
      <c r="R90" s="164"/>
      <c r="S90" s="164">
        <f t="shared" si="16"/>
        <v>-5.0558443337323636E-2</v>
      </c>
      <c r="T90" s="170">
        <f t="shared" si="24"/>
        <v>0.05</v>
      </c>
      <c r="U90" s="164"/>
      <c r="V90" s="171">
        <f>'Price Deck'!K84</f>
        <v>2.5701999932258945</v>
      </c>
      <c r="W90" s="169">
        <f t="shared" si="25"/>
        <v>2.436079503999387</v>
      </c>
      <c r="X90" s="164"/>
      <c r="Y90" s="169">
        <f t="shared" si="26"/>
        <v>22064.380677156332</v>
      </c>
      <c r="Z90" s="247">
        <f t="shared" si="27"/>
        <v>0.05</v>
      </c>
      <c r="AA90" s="169">
        <f t="shared" si="28"/>
        <v>1103.2190338578166</v>
      </c>
      <c r="AB90" s="169">
        <f t="shared" si="29"/>
        <v>0.12850999966129473</v>
      </c>
    </row>
    <row r="91" spans="1:28">
      <c r="A91" s="164" t="str">
        <f>'Price Deck'!A85</f>
        <v>11/2025</v>
      </c>
      <c r="B91" s="51">
        <f>'Gas Type Curve'!A98</f>
        <v>5.7499999999999964</v>
      </c>
      <c r="C91" s="51">
        <f>'Gas Type Curve'!B98</f>
        <v>68.999999999999957</v>
      </c>
      <c r="D91" s="51">
        <f>'Gas Type Curve'!C98</f>
        <v>279.34150923188241</v>
      </c>
      <c r="E91" s="51">
        <f>'Gas Type Curve'!D98</f>
        <v>8496.6375724697573</v>
      </c>
      <c r="F91" s="51">
        <f>'Gas Type Curve'!E98</f>
        <v>1449986.647439407</v>
      </c>
      <c r="G91" s="164"/>
      <c r="H91" s="51">
        <f t="shared" si="17"/>
        <v>240599.28613962611</v>
      </c>
      <c r="I91" s="164">
        <f t="shared" si="18"/>
        <v>240.59928613962612</v>
      </c>
      <c r="J91" s="164">
        <f t="shared" si="15"/>
        <v>8974.3533730080544</v>
      </c>
      <c r="K91" s="169">
        <f t="shared" si="19"/>
        <v>2.5178182814676098</v>
      </c>
      <c r="L91" s="164"/>
      <c r="M91" s="170">
        <f t="shared" si="20"/>
        <v>5.7069096888056593E-2</v>
      </c>
      <c r="N91" s="164">
        <v>0.05</v>
      </c>
      <c r="O91" s="155">
        <f t="shared" si="21"/>
        <v>5.7069096888056593E-2</v>
      </c>
      <c r="P91" s="155">
        <f t="shared" si="22"/>
        <v>6.5507276962373406E-2</v>
      </c>
      <c r="Q91" s="155">
        <f t="shared" si="23"/>
        <v>0.15015591133302122</v>
      </c>
      <c r="R91" s="164"/>
      <c r="S91" s="164">
        <f t="shared" si="16"/>
        <v>-5.1789482432866588E-2</v>
      </c>
      <c r="T91" s="170">
        <f t="shared" si="24"/>
        <v>0.05</v>
      </c>
      <c r="U91" s="164"/>
      <c r="V91" s="171">
        <f>'Price Deck'!K85</f>
        <v>2.6564389706279932</v>
      </c>
      <c r="W91" s="169">
        <f t="shared" si="25"/>
        <v>2.5178182814676098</v>
      </c>
      <c r="X91" s="164"/>
      <c r="Y91" s="169">
        <f t="shared" si="26"/>
        <v>22570.799166810692</v>
      </c>
      <c r="Z91" s="247">
        <f t="shared" si="27"/>
        <v>0.05</v>
      </c>
      <c r="AA91" s="169">
        <f t="shared" si="28"/>
        <v>1128.5399583405347</v>
      </c>
      <c r="AB91" s="169">
        <f t="shared" si="29"/>
        <v>0.13282194853139967</v>
      </c>
    </row>
    <row r="92" spans="1:28">
      <c r="A92" s="164" t="str">
        <f>'Price Deck'!A86</f>
        <v>12/2025</v>
      </c>
      <c r="B92" s="51">
        <f>'Gas Type Curve'!A99</f>
        <v>5.8333333333333295</v>
      </c>
      <c r="C92" s="51">
        <f>'Gas Type Curve'!B99</f>
        <v>69.999999999999957</v>
      </c>
      <c r="D92" s="51">
        <f>'Gas Type Curve'!C99</f>
        <v>276.51721567251184</v>
      </c>
      <c r="E92" s="51">
        <f>'Gas Type Curve'!D99</f>
        <v>8410.7319767055687</v>
      </c>
      <c r="F92" s="51">
        <f>'Gas Type Curve'!E99</f>
        <v>1458397.3794161126</v>
      </c>
      <c r="G92" s="164"/>
      <c r="H92" s="51">
        <f t="shared" si="17"/>
        <v>238166.69738437157</v>
      </c>
      <c r="I92" s="164">
        <f t="shared" si="18"/>
        <v>238.16669738437156</v>
      </c>
      <c r="J92" s="164">
        <f t="shared" si="15"/>
        <v>8883.6178124370599</v>
      </c>
      <c r="K92" s="169">
        <f t="shared" si="19"/>
        <v>2.7060651629095753</v>
      </c>
      <c r="L92" s="164"/>
      <c r="M92" s="170">
        <f t="shared" si="20"/>
        <v>6.836390977457453E-2</v>
      </c>
      <c r="N92" s="164">
        <v>0.05</v>
      </c>
      <c r="O92" s="155">
        <f t="shared" si="21"/>
        <v>6.836390977457453E-2</v>
      </c>
      <c r="P92" s="155">
        <f t="shared" si="22"/>
        <v>7.3507769423656943E-2</v>
      </c>
      <c r="Q92" s="155">
        <f t="shared" si="23"/>
        <v>0.15439146616546545</v>
      </c>
      <c r="R92" s="164"/>
      <c r="S92" s="164">
        <f t="shared" si="16"/>
        <v>-5.2990451501335765E-2</v>
      </c>
      <c r="T92" s="170">
        <f t="shared" si="24"/>
        <v>0.05</v>
      </c>
      <c r="U92" s="164"/>
      <c r="V92" s="171">
        <f>'Price Deck'!K86</f>
        <v>2.8550499488873702</v>
      </c>
      <c r="W92" s="169">
        <f t="shared" si="25"/>
        <v>2.7060651629095753</v>
      </c>
      <c r="X92" s="164"/>
      <c r="Y92" s="169">
        <f t="shared" si="26"/>
        <v>24013.059900198605</v>
      </c>
      <c r="Z92" s="247">
        <f t="shared" si="27"/>
        <v>0.05</v>
      </c>
      <c r="AA92" s="169">
        <f t="shared" si="28"/>
        <v>1200.6529950099302</v>
      </c>
      <c r="AB92" s="169">
        <f t="shared" si="29"/>
        <v>0.14275249744436852</v>
      </c>
    </row>
    <row r="93" spans="1:28">
      <c r="A93" s="164" t="str">
        <f>'Price Deck'!A87</f>
        <v>01/2026</v>
      </c>
      <c r="B93" s="51">
        <f>'Gas Type Curve'!A100</f>
        <v>5.9166666666666625</v>
      </c>
      <c r="C93" s="51">
        <f>'Gas Type Curve'!B100</f>
        <v>70.999999999999943</v>
      </c>
      <c r="D93" s="51">
        <f>'Gas Type Curve'!C100</f>
        <v>273.76093613722043</v>
      </c>
      <c r="E93" s="51">
        <f>'Gas Type Curve'!D100</f>
        <v>8326.8951408404555</v>
      </c>
      <c r="F93" s="51">
        <f>'Gas Type Curve'!E100</f>
        <v>1466724.274556953</v>
      </c>
      <c r="G93" s="164"/>
      <c r="H93" s="51">
        <f t="shared" si="17"/>
        <v>235792.68970317917</v>
      </c>
      <c r="I93" s="164">
        <f t="shared" si="18"/>
        <v>235.79268970317918</v>
      </c>
      <c r="J93" s="164">
        <f t="shared" si="15"/>
        <v>8795.0673259285832</v>
      </c>
      <c r="K93" s="169">
        <f t="shared" si="19"/>
        <v>2.7999211649686102</v>
      </c>
      <c r="L93" s="164"/>
      <c r="M93" s="170">
        <f t="shared" si="20"/>
        <v>7.3995269898116611E-2</v>
      </c>
      <c r="N93" s="164">
        <v>0.05</v>
      </c>
      <c r="O93" s="155">
        <f t="shared" si="21"/>
        <v>7.3995269898116611E-2</v>
      </c>
      <c r="P93" s="155">
        <f t="shared" si="22"/>
        <v>7.749664951116593E-2</v>
      </c>
      <c r="Q93" s="155">
        <f t="shared" si="23"/>
        <v>0.15650322621179372</v>
      </c>
      <c r="R93" s="164"/>
      <c r="S93" s="164">
        <f t="shared" si="16"/>
        <v>-5.4162499093540442E-2</v>
      </c>
      <c r="T93" s="170">
        <f t="shared" si="24"/>
        <v>0.05</v>
      </c>
      <c r="U93" s="164"/>
      <c r="V93" s="171">
        <f>'Price Deck'!K87</f>
        <v>2.9540732752855066</v>
      </c>
      <c r="W93" s="169">
        <f t="shared" si="25"/>
        <v>2.7999211649686102</v>
      </c>
      <c r="X93" s="164"/>
      <c r="Y93" s="169">
        <f t="shared" si="26"/>
        <v>24598.258401661533</v>
      </c>
      <c r="Z93" s="247">
        <f t="shared" si="27"/>
        <v>0.05</v>
      </c>
      <c r="AA93" s="169">
        <f t="shared" si="28"/>
        <v>1229.9129200830766</v>
      </c>
      <c r="AB93" s="169">
        <f t="shared" si="29"/>
        <v>0.14770366376427532</v>
      </c>
    </row>
    <row r="94" spans="1:28">
      <c r="A94" s="164" t="str">
        <f>'Price Deck'!A88</f>
        <v>02/2026</v>
      </c>
      <c r="B94" s="51">
        <f>'Gas Type Curve'!A101</f>
        <v>5.9999999999999956</v>
      </c>
      <c r="C94" s="51">
        <f>'Gas Type Curve'!B101</f>
        <v>71.999999999999943</v>
      </c>
      <c r="D94" s="51">
        <f>'Gas Type Curve'!C101</f>
        <v>271.0701089276551</v>
      </c>
      <c r="E94" s="51">
        <f>'Gas Type Curve'!D101</f>
        <v>8245.0491465495088</v>
      </c>
      <c r="F94" s="51">
        <f>'Gas Type Curve'!E101</f>
        <v>1474969.3237035025</v>
      </c>
      <c r="G94" s="164"/>
      <c r="H94" s="51">
        <f t="shared" si="17"/>
        <v>233475.05668284243</v>
      </c>
      <c r="I94" s="164">
        <f t="shared" si="18"/>
        <v>233.47505668284242</v>
      </c>
      <c r="J94" s="164">
        <f t="shared" si="15"/>
        <v>8708.6196142700228</v>
      </c>
      <c r="K94" s="169">
        <f t="shared" si="19"/>
        <v>2.7549964061105561</v>
      </c>
      <c r="L94" s="164"/>
      <c r="M94" s="170">
        <f t="shared" si="20"/>
        <v>7.1299784366633367E-2</v>
      </c>
      <c r="N94" s="164">
        <v>0.05</v>
      </c>
      <c r="O94" s="155">
        <f t="shared" si="21"/>
        <v>7.1299784366633367E-2</v>
      </c>
      <c r="P94" s="155">
        <f t="shared" si="22"/>
        <v>7.5587347259698623E-2</v>
      </c>
      <c r="Q94" s="155">
        <f t="shared" si="23"/>
        <v>0.15549241913748751</v>
      </c>
      <c r="R94" s="164"/>
      <c r="S94" s="164">
        <f t="shared" si="16"/>
        <v>-5.5306714515680699E-2</v>
      </c>
      <c r="T94" s="170">
        <f t="shared" si="24"/>
        <v>0.05</v>
      </c>
      <c r="U94" s="164"/>
      <c r="V94" s="171">
        <f>'Price Deck'!K88</f>
        <v>2.9066751445089523</v>
      </c>
      <c r="W94" s="169">
        <f t="shared" si="25"/>
        <v>2.7549964061105561</v>
      </c>
      <c r="X94" s="164"/>
      <c r="Y94" s="169">
        <f t="shared" si="26"/>
        <v>23965.679419530206</v>
      </c>
      <c r="Z94" s="247">
        <f t="shared" si="27"/>
        <v>0.05</v>
      </c>
      <c r="AA94" s="169">
        <f t="shared" si="28"/>
        <v>1198.2839709765103</v>
      </c>
      <c r="AB94" s="169">
        <f t="shared" si="29"/>
        <v>0.14533375722544761</v>
      </c>
    </row>
    <row r="95" spans="1:28">
      <c r="A95" s="164" t="str">
        <f>'Price Deck'!A89</f>
        <v>03/2026</v>
      </c>
      <c r="B95" s="51">
        <f>'Gas Type Curve'!A102</f>
        <v>6.0833333333333286</v>
      </c>
      <c r="C95" s="51">
        <f>'Gas Type Curve'!B102</f>
        <v>72.999999999999943</v>
      </c>
      <c r="D95" s="51">
        <f>'Gas Type Curve'!C102</f>
        <v>268.44230266928741</v>
      </c>
      <c r="E95" s="51">
        <f>'Gas Type Curve'!D102</f>
        <v>8165.1200395241594</v>
      </c>
      <c r="F95" s="51">
        <f>'Gas Type Curve'!E102</f>
        <v>1483134.4437430266</v>
      </c>
      <c r="G95" s="164"/>
      <c r="H95" s="51">
        <f t="shared" si="17"/>
        <v>231211.7041592056</v>
      </c>
      <c r="I95" s="164">
        <f t="shared" si="18"/>
        <v>231.2117041592056</v>
      </c>
      <c r="J95" s="164">
        <f t="shared" si="15"/>
        <v>8624.1965651383689</v>
      </c>
      <c r="K95" s="169">
        <f t="shared" si="19"/>
        <v>2.6760745324410009</v>
      </c>
      <c r="L95" s="164"/>
      <c r="M95" s="170">
        <f t="shared" si="20"/>
        <v>6.6564471946460063E-2</v>
      </c>
      <c r="N95" s="164">
        <v>0.05</v>
      </c>
      <c r="O95" s="155">
        <f t="shared" si="21"/>
        <v>6.6564471946460063E-2</v>
      </c>
      <c r="P95" s="155">
        <f t="shared" si="22"/>
        <v>7.2233167628742531E-2</v>
      </c>
      <c r="Q95" s="155">
        <f t="shared" si="23"/>
        <v>0.15371667697992253</v>
      </c>
      <c r="R95" s="164"/>
      <c r="S95" s="164">
        <f t="shared" si="16"/>
        <v>-5.64241316566002E-2</v>
      </c>
      <c r="T95" s="170">
        <f t="shared" si="24"/>
        <v>0.05</v>
      </c>
      <c r="U95" s="164"/>
      <c r="V95" s="171">
        <f>'Price Deck'!K89</f>
        <v>2.8234081580096002</v>
      </c>
      <c r="W95" s="169">
        <f t="shared" si="25"/>
        <v>2.6760745324410009</v>
      </c>
      <c r="X95" s="164"/>
      <c r="Y95" s="169">
        <f t="shared" si="26"/>
        <v>23053.466530720179</v>
      </c>
      <c r="Z95" s="247">
        <f t="shared" si="27"/>
        <v>0.05</v>
      </c>
      <c r="AA95" s="169">
        <f t="shared" si="28"/>
        <v>1152.673326536009</v>
      </c>
      <c r="AB95" s="169">
        <f t="shared" si="29"/>
        <v>0.14117040790047999</v>
      </c>
    </row>
    <row r="96" spans="1:28">
      <c r="A96" s="164" t="str">
        <f>'Price Deck'!A90</f>
        <v>04/2026</v>
      </c>
      <c r="B96" s="51">
        <f>'Gas Type Curve'!A103</f>
        <v>6.1666666666666616</v>
      </c>
      <c r="C96" s="51">
        <f>'Gas Type Curve'!B103</f>
        <v>73.999999999999943</v>
      </c>
      <c r="D96" s="51">
        <f>'Gas Type Curve'!C103</f>
        <v>265.87520800638481</v>
      </c>
      <c r="E96" s="51">
        <f>'Gas Type Curve'!D103</f>
        <v>8087.0375768608719</v>
      </c>
      <c r="F96" s="51">
        <f>'Gas Type Curve'!E103</f>
        <v>1491221.4813198876</v>
      </c>
      <c r="G96" s="164"/>
      <c r="H96" s="51">
        <f t="shared" si="17"/>
        <v>229000.6430639693</v>
      </c>
      <c r="I96" s="164">
        <f t="shared" si="18"/>
        <v>229.00064306396931</v>
      </c>
      <c r="J96" s="164">
        <f t="shared" si="15"/>
        <v>8541.7239862860552</v>
      </c>
      <c r="K96" s="169">
        <f t="shared" si="19"/>
        <v>2.4028834312771572</v>
      </c>
      <c r="L96" s="164"/>
      <c r="M96" s="170">
        <f t="shared" si="20"/>
        <v>5.0173005876629442E-2</v>
      </c>
      <c r="N96" s="164">
        <v>0.05</v>
      </c>
      <c r="O96" s="155">
        <f t="shared" si="21"/>
        <v>5.0173005876629442E-2</v>
      </c>
      <c r="P96" s="155">
        <f t="shared" si="22"/>
        <v>6.0622545829279173E-2</v>
      </c>
      <c r="Q96" s="155">
        <f t="shared" si="23"/>
        <v>0.14756987720373604</v>
      </c>
      <c r="R96" s="164"/>
      <c r="S96" s="164">
        <f t="shared" si="16"/>
        <v>-5.7515732519318359E-2</v>
      </c>
      <c r="T96" s="170">
        <f t="shared" si="24"/>
        <v>0.05</v>
      </c>
      <c r="U96" s="164"/>
      <c r="V96" s="171">
        <f>'Price Deck'!K90</f>
        <v>2.5351762816656898</v>
      </c>
      <c r="W96" s="169">
        <f t="shared" si="25"/>
        <v>2.4028834312771572</v>
      </c>
      <c r="X96" s="164"/>
      <c r="Y96" s="169">
        <f t="shared" si="26"/>
        <v>20502.065853796856</v>
      </c>
      <c r="Z96" s="247">
        <f t="shared" si="27"/>
        <v>0.05</v>
      </c>
      <c r="AA96" s="169">
        <f t="shared" si="28"/>
        <v>1025.1032926898429</v>
      </c>
      <c r="AB96" s="169">
        <f t="shared" si="29"/>
        <v>0.12675881408328452</v>
      </c>
    </row>
    <row r="97" spans="1:28">
      <c r="A97" s="164" t="str">
        <f>'Price Deck'!A91</f>
        <v>05/2026</v>
      </c>
      <c r="B97" s="51">
        <f>'Gas Type Curve'!A104</f>
        <v>6.2499999999999947</v>
      </c>
      <c r="C97" s="51">
        <f>'Gas Type Curve'!B104</f>
        <v>74.999999999999943</v>
      </c>
      <c r="D97" s="51">
        <f>'Gas Type Curve'!C104</f>
        <v>263.36662993011549</v>
      </c>
      <c r="E97" s="51">
        <f>'Gas Type Curve'!D104</f>
        <v>8010.7349937076797</v>
      </c>
      <c r="F97" s="51">
        <f>'Gas Type Curve'!E104</f>
        <v>1499232.2163135952</v>
      </c>
      <c r="G97" s="164"/>
      <c r="H97" s="51">
        <f t="shared" si="17"/>
        <v>226839.98281682035</v>
      </c>
      <c r="I97" s="164">
        <f t="shared" si="18"/>
        <v>226.83998281682037</v>
      </c>
      <c r="J97" s="164">
        <f t="shared" si="15"/>
        <v>8461.1313590673999</v>
      </c>
      <c r="K97" s="169">
        <f t="shared" si="19"/>
        <v>2.3810281431840497</v>
      </c>
      <c r="L97" s="164"/>
      <c r="M97" s="170">
        <f t="shared" si="20"/>
        <v>0.05</v>
      </c>
      <c r="N97" s="164">
        <v>0.05</v>
      </c>
      <c r="O97" s="155">
        <f t="shared" si="21"/>
        <v>4.8861688591042986E-2</v>
      </c>
      <c r="P97" s="155">
        <f t="shared" si="22"/>
        <v>5.9693696085322101E-2</v>
      </c>
      <c r="Q97" s="155">
        <f t="shared" si="23"/>
        <v>0.14707813322164112</v>
      </c>
      <c r="R97" s="164"/>
      <c r="S97" s="164">
        <f t="shared" si="16"/>
        <v>-5.8582450483335789E-2</v>
      </c>
      <c r="T97" s="170">
        <f t="shared" si="24"/>
        <v>0.05</v>
      </c>
      <c r="U97" s="164"/>
      <c r="V97" s="171">
        <f>'Price Deck'!K91</f>
        <v>2.5121177315581771</v>
      </c>
      <c r="W97" s="169">
        <f t="shared" si="25"/>
        <v>2.3810281431840497</v>
      </c>
      <c r="X97" s="164"/>
      <c r="Y97" s="169">
        <f t="shared" si="26"/>
        <v>20123.909420506643</v>
      </c>
      <c r="Z97" s="247">
        <f t="shared" si="27"/>
        <v>0.05</v>
      </c>
      <c r="AA97" s="169">
        <f t="shared" si="28"/>
        <v>1006.1954710253322</v>
      </c>
      <c r="AB97" s="169">
        <f t="shared" si="29"/>
        <v>0.12560588657790886</v>
      </c>
    </row>
    <row r="98" spans="1:28">
      <c r="A98" s="164" t="str">
        <f>'Price Deck'!A92</f>
        <v>06/2026</v>
      </c>
      <c r="B98" s="51">
        <f>'Gas Type Curve'!A105</f>
        <v>6.3333333333333277</v>
      </c>
      <c r="C98" s="51">
        <f>'Gas Type Curve'!B105</f>
        <v>75.999999999999929</v>
      </c>
      <c r="D98" s="51">
        <f>'Gas Type Curve'!C105</f>
        <v>260.91448068380782</v>
      </c>
      <c r="E98" s="51">
        <f>'Gas Type Curve'!D105</f>
        <v>7936.1487874658214</v>
      </c>
      <c r="F98" s="51">
        <f>'Gas Type Curve'!E105</f>
        <v>1507168.3651010611</v>
      </c>
      <c r="G98" s="164"/>
      <c r="H98" s="51">
        <f t="shared" si="17"/>
        <v>224727.92521466964</v>
      </c>
      <c r="I98" s="164">
        <f t="shared" si="18"/>
        <v>224.72792521466963</v>
      </c>
      <c r="J98" s="164">
        <f t="shared" si="15"/>
        <v>8382.3516105071776</v>
      </c>
      <c r="K98" s="169">
        <f t="shared" si="19"/>
        <v>2.4101685273081932</v>
      </c>
      <c r="L98" s="164"/>
      <c r="M98" s="170">
        <f t="shared" si="20"/>
        <v>5.0610111638491599E-2</v>
      </c>
      <c r="N98" s="164">
        <v>0.05</v>
      </c>
      <c r="O98" s="155">
        <f t="shared" si="21"/>
        <v>5.0610111638491599E-2</v>
      </c>
      <c r="P98" s="155">
        <f t="shared" si="22"/>
        <v>6.0932162410598206E-2</v>
      </c>
      <c r="Q98" s="155">
        <f t="shared" si="23"/>
        <v>0.14773379186443433</v>
      </c>
      <c r="R98" s="164"/>
      <c r="S98" s="164">
        <f t="shared" si="16"/>
        <v>-5.9625173321517608E-2</v>
      </c>
      <c r="T98" s="170">
        <f t="shared" si="24"/>
        <v>0.05</v>
      </c>
      <c r="U98" s="164"/>
      <c r="V98" s="171">
        <f>'Price Deck'!K92</f>
        <v>2.5428624650348608</v>
      </c>
      <c r="W98" s="169">
        <f t="shared" si="25"/>
        <v>2.4101685273081932</v>
      </c>
      <c r="X98" s="164"/>
      <c r="Y98" s="169">
        <f t="shared" si="26"/>
        <v>20180.534868578761</v>
      </c>
      <c r="Z98" s="247">
        <f t="shared" si="27"/>
        <v>0.05</v>
      </c>
      <c r="AA98" s="169">
        <f t="shared" si="28"/>
        <v>1009.0267434289381</v>
      </c>
      <c r="AB98" s="169">
        <f t="shared" si="29"/>
        <v>0.12714312325174304</v>
      </c>
    </row>
    <row r="99" spans="1:28">
      <c r="A99" s="164" t="str">
        <f>'Price Deck'!A93</f>
        <v>07/2026</v>
      </c>
      <c r="B99" s="51">
        <f>'Gas Type Curve'!A106</f>
        <v>6.4166666666666607</v>
      </c>
      <c r="C99" s="51">
        <f>'Gas Type Curve'!B106</f>
        <v>76.999999999999929</v>
      </c>
      <c r="D99" s="51">
        <f>'Gas Type Curve'!C106</f>
        <v>258.51677319499987</v>
      </c>
      <c r="E99" s="51">
        <f>'Gas Type Curve'!D106</f>
        <v>7863.2185180145798</v>
      </c>
      <c r="F99" s="51">
        <f>'Gas Type Curve'!E106</f>
        <v>1515031.5836190756</v>
      </c>
      <c r="G99" s="164"/>
      <c r="H99" s="51">
        <f t="shared" si="17"/>
        <v>222662.75877461885</v>
      </c>
      <c r="I99" s="164">
        <f t="shared" si="18"/>
        <v>222.66275877461885</v>
      </c>
      <c r="J99" s="164">
        <f t="shared" si="15"/>
        <v>8305.3209022932824</v>
      </c>
      <c r="K99" s="169">
        <f t="shared" si="19"/>
        <v>2.4429514594478543</v>
      </c>
      <c r="L99" s="164"/>
      <c r="M99" s="170">
        <f t="shared" si="20"/>
        <v>5.2577087566871267E-2</v>
      </c>
      <c r="N99" s="164">
        <v>0.05</v>
      </c>
      <c r="O99" s="155">
        <f t="shared" si="21"/>
        <v>5.2577087566871267E-2</v>
      </c>
      <c r="P99" s="155">
        <f t="shared" si="22"/>
        <v>6.23254370265338E-2</v>
      </c>
      <c r="Q99" s="155">
        <f t="shared" si="23"/>
        <v>0.14847140783757673</v>
      </c>
      <c r="R99" s="164"/>
      <c r="S99" s="164">
        <f t="shared" si="16"/>
        <v>-6.0644745992970678E-2</v>
      </c>
      <c r="T99" s="170">
        <f t="shared" si="24"/>
        <v>0.05</v>
      </c>
      <c r="U99" s="164"/>
      <c r="V99" s="171">
        <f>'Price Deck'!K93</f>
        <v>2.57745029019613</v>
      </c>
      <c r="W99" s="169">
        <f t="shared" si="25"/>
        <v>2.4429514594478543</v>
      </c>
      <c r="X99" s="164"/>
      <c r="Y99" s="169">
        <f t="shared" si="26"/>
        <v>20267.054851132263</v>
      </c>
      <c r="Z99" s="247">
        <f t="shared" si="27"/>
        <v>0.05</v>
      </c>
      <c r="AA99" s="169">
        <f t="shared" si="28"/>
        <v>1013.3527425566132</v>
      </c>
      <c r="AB99" s="169">
        <f t="shared" si="29"/>
        <v>0.12887251450980652</v>
      </c>
    </row>
    <row r="100" spans="1:28">
      <c r="A100" s="164" t="str">
        <f>'Price Deck'!A94</f>
        <v>08/2026</v>
      </c>
      <c r="B100" s="51">
        <f>'Gas Type Curve'!A107</f>
        <v>6.4999999999999938</v>
      </c>
      <c r="C100" s="51">
        <f>'Gas Type Curve'!B107</f>
        <v>77.999999999999929</v>
      </c>
      <c r="D100" s="51">
        <f>'Gas Type Curve'!C107</f>
        <v>256.17161498890295</v>
      </c>
      <c r="E100" s="51">
        <f>'Gas Type Curve'!D107</f>
        <v>7791.8866225791317</v>
      </c>
      <c r="F100" s="51">
        <f>'Gas Type Curve'!E107</f>
        <v>1522823.4702416547</v>
      </c>
      <c r="G100" s="164"/>
      <c r="H100" s="51">
        <f t="shared" si="17"/>
        <v>220642.85349157325</v>
      </c>
      <c r="I100" s="164">
        <f t="shared" si="18"/>
        <v>220.64285349157325</v>
      </c>
      <c r="J100" s="164">
        <f t="shared" si="15"/>
        <v>8229.9784352356819</v>
      </c>
      <c r="K100" s="169">
        <f t="shared" si="19"/>
        <v>2.4672351128846408</v>
      </c>
      <c r="L100" s="164"/>
      <c r="M100" s="170">
        <f t="shared" si="20"/>
        <v>5.4034106773078454E-2</v>
      </c>
      <c r="N100" s="164">
        <v>0.05</v>
      </c>
      <c r="O100" s="155">
        <f t="shared" si="21"/>
        <v>5.4034106773078454E-2</v>
      </c>
      <c r="P100" s="155">
        <f t="shared" si="22"/>
        <v>6.3357492297597226E-2</v>
      </c>
      <c r="Q100" s="155">
        <f t="shared" si="23"/>
        <v>0.1490177900399044</v>
      </c>
      <c r="R100" s="164"/>
      <c r="S100" s="164">
        <f t="shared" si="16"/>
        <v>-6.164197323121029E-2</v>
      </c>
      <c r="T100" s="170">
        <f t="shared" si="24"/>
        <v>0.05</v>
      </c>
      <c r="U100" s="164"/>
      <c r="V100" s="171">
        <f>'Price Deck'!K94</f>
        <v>2.6030709014267002</v>
      </c>
      <c r="W100" s="169">
        <f t="shared" si="25"/>
        <v>2.4672351128846408</v>
      </c>
      <c r="X100" s="164"/>
      <c r="Y100" s="169">
        <f t="shared" si="26"/>
        <v>20282.833334451705</v>
      </c>
      <c r="Z100" s="247">
        <f t="shared" si="27"/>
        <v>0.05</v>
      </c>
      <c r="AA100" s="169">
        <f t="shared" si="28"/>
        <v>1014.1416667225853</v>
      </c>
      <c r="AB100" s="169">
        <f t="shared" si="29"/>
        <v>0.130153545071335</v>
      </c>
    </row>
    <row r="101" spans="1:28">
      <c r="A101" s="164" t="str">
        <f>'Price Deck'!A95</f>
        <v>09/2026</v>
      </c>
      <c r="B101" s="51">
        <f>'Gas Type Curve'!A108</f>
        <v>6.5833333333333268</v>
      </c>
      <c r="C101" s="51">
        <f>'Gas Type Curve'!B108</f>
        <v>78.999999999999915</v>
      </c>
      <c r="D101" s="51">
        <f>'Gas Type Curve'!C108</f>
        <v>253.87720254232948</v>
      </c>
      <c r="E101" s="51">
        <f>'Gas Type Curve'!D108</f>
        <v>7722.0982439958552</v>
      </c>
      <c r="F101" s="51">
        <f>'Gas Type Curve'!E108</f>
        <v>1530545.5684856505</v>
      </c>
      <c r="G101" s="164"/>
      <c r="H101" s="51">
        <f t="shared" si="17"/>
        <v>218666.65597523062</v>
      </c>
      <c r="I101" s="164">
        <f t="shared" si="18"/>
        <v>218.66665597523061</v>
      </c>
      <c r="J101" s="164">
        <f t="shared" si="15"/>
        <v>8156.2662678761017</v>
      </c>
      <c r="K101" s="169">
        <f t="shared" si="19"/>
        <v>2.4720918435719974</v>
      </c>
      <c r="L101" s="164"/>
      <c r="M101" s="170">
        <f t="shared" si="20"/>
        <v>5.4325510614319852E-2</v>
      </c>
      <c r="N101" s="164">
        <v>0.05</v>
      </c>
      <c r="O101" s="155">
        <f t="shared" si="21"/>
        <v>5.4325510614319852E-2</v>
      </c>
      <c r="P101" s="155">
        <f t="shared" si="22"/>
        <v>6.3563903351809878E-2</v>
      </c>
      <c r="Q101" s="155">
        <f t="shared" si="23"/>
        <v>0.14912706648036994</v>
      </c>
      <c r="R101" s="164"/>
      <c r="S101" s="164">
        <f t="shared" si="16"/>
        <v>-6.2617621945028651E-2</v>
      </c>
      <c r="T101" s="170">
        <f t="shared" si="24"/>
        <v>0.05</v>
      </c>
      <c r="U101" s="164"/>
      <c r="V101" s="171">
        <f>'Price Deck'!K95</f>
        <v>2.6081950236728138</v>
      </c>
      <c r="W101" s="169">
        <f t="shared" si="25"/>
        <v>2.4720918435719974</v>
      </c>
      <c r="X101" s="164"/>
      <c r="Y101" s="169">
        <f t="shared" si="26"/>
        <v>20140.738212302564</v>
      </c>
      <c r="Z101" s="247">
        <f t="shared" si="27"/>
        <v>0.05</v>
      </c>
      <c r="AA101" s="169">
        <f t="shared" si="28"/>
        <v>1007.0369106151282</v>
      </c>
      <c r="AB101" s="169">
        <f t="shared" si="29"/>
        <v>0.1304097511836407</v>
      </c>
    </row>
    <row r="102" spans="1:28">
      <c r="A102" s="164" t="str">
        <f>'Price Deck'!A96</f>
        <v>10/2026</v>
      </c>
      <c r="B102" s="51">
        <f>'Gas Type Curve'!A109</f>
        <v>6.6666666666666599</v>
      </c>
      <c r="C102" s="51">
        <f>'Gas Type Curve'!B109</f>
        <v>79.999999999999915</v>
      </c>
      <c r="D102" s="51">
        <f>'Gas Type Curve'!C109</f>
        <v>251.63181604109829</v>
      </c>
      <c r="E102" s="51">
        <f>'Gas Type Curve'!D109</f>
        <v>7653.8010712500736</v>
      </c>
      <c r="F102" s="51">
        <f>'Gas Type Curve'!E109</f>
        <v>1538199.3695569006</v>
      </c>
      <c r="G102" s="164"/>
      <c r="H102" s="51">
        <f t="shared" si="17"/>
        <v>216732.68493458832</v>
      </c>
      <c r="I102" s="164">
        <f t="shared" si="18"/>
        <v>216.73268493458832</v>
      </c>
      <c r="J102" s="164">
        <f t="shared" si="15"/>
        <v>8084.1291480601449</v>
      </c>
      <c r="K102" s="169">
        <f t="shared" si="19"/>
        <v>2.506088958383498</v>
      </c>
      <c r="L102" s="164"/>
      <c r="M102" s="170">
        <f t="shared" si="20"/>
        <v>5.6365337503009885E-2</v>
      </c>
      <c r="N102" s="164">
        <v>0.05</v>
      </c>
      <c r="O102" s="155">
        <f t="shared" si="21"/>
        <v>5.6365337503009885E-2</v>
      </c>
      <c r="P102" s="155">
        <f t="shared" si="22"/>
        <v>6.5008780731298649E-2</v>
      </c>
      <c r="Q102" s="155">
        <f t="shared" si="23"/>
        <v>0.1498920015636287</v>
      </c>
      <c r="R102" s="164"/>
      <c r="S102" s="164">
        <f t="shared" si="16"/>
        <v>-6.3572423447793749E-2</v>
      </c>
      <c r="T102" s="170">
        <f t="shared" si="24"/>
        <v>0.05</v>
      </c>
      <c r="U102" s="164"/>
      <c r="V102" s="171">
        <f>'Price Deck'!K96</f>
        <v>2.6440638793956115</v>
      </c>
      <c r="W102" s="169">
        <f t="shared" si="25"/>
        <v>2.506088958383498</v>
      </c>
      <c r="X102" s="164"/>
      <c r="Y102" s="169">
        <f t="shared" si="26"/>
        <v>20237.138952571757</v>
      </c>
      <c r="Z102" s="247">
        <f t="shared" si="27"/>
        <v>0.05</v>
      </c>
      <c r="AA102" s="169">
        <f t="shared" si="28"/>
        <v>1011.8569476285879</v>
      </c>
      <c r="AB102" s="169">
        <f t="shared" si="29"/>
        <v>0.13220319396978059</v>
      </c>
    </row>
    <row r="103" spans="1:28">
      <c r="A103" s="164" t="str">
        <f>'Price Deck'!A97</f>
        <v>11/2026</v>
      </c>
      <c r="B103" s="51">
        <f>'Gas Type Curve'!A110</f>
        <v>6.7499999999999929</v>
      </c>
      <c r="C103" s="51">
        <f>'Gas Type Curve'!B110</f>
        <v>80.999999999999915</v>
      </c>
      <c r="D103" s="51">
        <f>'Gas Type Curve'!C110</f>
        <v>249.4338145074467</v>
      </c>
      <c r="E103" s="51">
        <f>'Gas Type Curve'!D110</f>
        <v>7586.9451912681707</v>
      </c>
      <c r="F103" s="51">
        <f>'Gas Type Curve'!E110</f>
        <v>1545786.3147481687</v>
      </c>
      <c r="G103" s="164"/>
      <c r="H103" s="51">
        <f t="shared" si="17"/>
        <v>214839.52698114078</v>
      </c>
      <c r="I103" s="164">
        <f t="shared" si="18"/>
        <v>214.83952698114078</v>
      </c>
      <c r="J103" s="164">
        <f t="shared" si="15"/>
        <v>8013.5143563965512</v>
      </c>
      <c r="K103" s="169">
        <f t="shared" si="19"/>
        <v>2.5862250147248926</v>
      </c>
      <c r="L103" s="164"/>
      <c r="M103" s="170">
        <f t="shared" si="20"/>
        <v>6.1173500883493562E-2</v>
      </c>
      <c r="N103" s="164">
        <v>0.05</v>
      </c>
      <c r="O103" s="155">
        <f t="shared" si="21"/>
        <v>6.1173500883493562E-2</v>
      </c>
      <c r="P103" s="155">
        <f t="shared" si="22"/>
        <v>6.8414563125807931E-2</v>
      </c>
      <c r="Q103" s="155">
        <f t="shared" si="23"/>
        <v>0.15169506283131007</v>
      </c>
      <c r="R103" s="164"/>
      <c r="S103" s="164">
        <f t="shared" si="16"/>
        <v>-6.4507075529410804E-2</v>
      </c>
      <c r="T103" s="170">
        <f t="shared" si="24"/>
        <v>0.05</v>
      </c>
      <c r="U103" s="164"/>
      <c r="V103" s="171">
        <f>'Price Deck'!K97</f>
        <v>2.728611896456492</v>
      </c>
      <c r="W103" s="169">
        <f t="shared" si="25"/>
        <v>2.5862250147248926</v>
      </c>
      <c r="X103" s="164"/>
      <c r="Y103" s="169">
        <f t="shared" si="26"/>
        <v>20701.828906657705</v>
      </c>
      <c r="Z103" s="247">
        <f t="shared" si="27"/>
        <v>0.05</v>
      </c>
      <c r="AA103" s="169">
        <f t="shared" si="28"/>
        <v>1035.0914453328853</v>
      </c>
      <c r="AB103" s="169">
        <f t="shared" si="29"/>
        <v>0.1364305948228246</v>
      </c>
    </row>
    <row r="104" spans="1:28">
      <c r="A104" s="164" t="str">
        <f>'Price Deck'!A98</f>
        <v>12/2026</v>
      </c>
      <c r="B104" s="51">
        <f>'Gas Type Curve'!A111</f>
        <v>6.8333333333333259</v>
      </c>
      <c r="C104" s="51">
        <f>'Gas Type Curve'!B111</f>
        <v>81.999999999999915</v>
      </c>
      <c r="D104" s="51">
        <f>'Gas Type Curve'!C111</f>
        <v>247.28163126713588</v>
      </c>
      <c r="E104" s="51">
        <f>'Gas Type Curve'!D111</f>
        <v>7521.4829510420495</v>
      </c>
      <c r="F104" s="51">
        <f>'Gas Type Curve'!E111</f>
        <v>1553307.7976992107</v>
      </c>
      <c r="G104" s="164"/>
      <c r="H104" s="51">
        <f t="shared" si="17"/>
        <v>212985.8327246577</v>
      </c>
      <c r="I104" s="164">
        <f t="shared" si="18"/>
        <v>212.98583272465768</v>
      </c>
      <c r="J104" s="164">
        <f t="shared" si="15"/>
        <v>7944.3715606297319</v>
      </c>
      <c r="K104" s="169">
        <f t="shared" si="19"/>
        <v>2.7707807808444667</v>
      </c>
      <c r="L104" s="164"/>
      <c r="M104" s="170">
        <f t="shared" si="20"/>
        <v>7.2246846850668012E-2</v>
      </c>
      <c r="N104" s="164">
        <v>0.05</v>
      </c>
      <c r="O104" s="155">
        <f t="shared" si="21"/>
        <v>7.2246846850668012E-2</v>
      </c>
      <c r="P104" s="155">
        <f t="shared" si="22"/>
        <v>7.6258183185889825E-2</v>
      </c>
      <c r="Q104" s="155">
        <f t="shared" si="23"/>
        <v>0.15584756756900048</v>
      </c>
      <c r="R104" s="164"/>
      <c r="S104" s="164">
        <f t="shared" si="16"/>
        <v>-6.5422244383836509E-2</v>
      </c>
      <c r="T104" s="170">
        <f t="shared" si="24"/>
        <v>0.05</v>
      </c>
      <c r="U104" s="164"/>
      <c r="V104" s="171">
        <f>'Price Deck'!K98</f>
        <v>2.9233285418088224</v>
      </c>
      <c r="W104" s="169">
        <f t="shared" si="25"/>
        <v>2.7707807808444667</v>
      </c>
      <c r="X104" s="164"/>
      <c r="Y104" s="169">
        <f t="shared" si="26"/>
        <v>21987.765787509674</v>
      </c>
      <c r="Z104" s="247">
        <f t="shared" si="27"/>
        <v>0.05</v>
      </c>
      <c r="AA104" s="169">
        <f t="shared" si="28"/>
        <v>1099.3882893754837</v>
      </c>
      <c r="AB104" s="169">
        <f t="shared" si="29"/>
        <v>0.14616642709044114</v>
      </c>
    </row>
    <row r="105" spans="1:28">
      <c r="A105" s="164" t="str">
        <f>'Price Deck'!A99</f>
        <v>01/2027</v>
      </c>
      <c r="B105" s="51">
        <f>'Gas Type Curve'!A112</f>
        <v>6.916666666666659</v>
      </c>
      <c r="C105" s="51">
        <f>'Gas Type Curve'!B112</f>
        <v>82.999999999999915</v>
      </c>
      <c r="D105" s="51">
        <f>'Gas Type Curve'!C112</f>
        <v>245.17376972875275</v>
      </c>
      <c r="E105" s="51">
        <f>'Gas Type Curve'!D112</f>
        <v>7457.3688292495626</v>
      </c>
      <c r="F105" s="51">
        <f>'Gas Type Curve'!E112</f>
        <v>1560765.1665284603</v>
      </c>
      <c r="G105" s="164"/>
      <c r="H105" s="51">
        <f t="shared" si="17"/>
        <v>211170.31313785986</v>
      </c>
      <c r="I105" s="164">
        <f t="shared" si="18"/>
        <v>211.17031313785986</v>
      </c>
      <c r="J105" s="164">
        <f t="shared" si="15"/>
        <v>7876.6526800421725</v>
      </c>
      <c r="K105" s="169">
        <f t="shared" si="19"/>
        <v>3.0517215203486647</v>
      </c>
      <c r="L105" s="164"/>
      <c r="M105" s="170">
        <f t="shared" si="20"/>
        <v>8.8198164614818247E-2</v>
      </c>
      <c r="N105" s="164">
        <v>0.05</v>
      </c>
      <c r="O105" s="155">
        <f t="shared" si="21"/>
        <v>8.9103291220919895E-2</v>
      </c>
      <c r="P105" s="155">
        <f t="shared" si="22"/>
        <v>8.8198164614818247E-2</v>
      </c>
      <c r="Q105" s="155">
        <f t="shared" si="23"/>
        <v>0.16216873420784494</v>
      </c>
      <c r="R105" s="164"/>
      <c r="S105" s="164">
        <f t="shared" si="16"/>
        <v>-6.6318566403838583E-2</v>
      </c>
      <c r="T105" s="170">
        <f t="shared" si="24"/>
        <v>0.05</v>
      </c>
      <c r="U105" s="164"/>
      <c r="V105" s="171">
        <f>'Price Deck'!K99</f>
        <v>3.219736719614644</v>
      </c>
      <c r="W105" s="169">
        <f t="shared" si="25"/>
        <v>3.0517215203486647</v>
      </c>
      <c r="X105" s="164"/>
      <c r="Y105" s="169">
        <f t="shared" si="26"/>
        <v>24010.764251244484</v>
      </c>
      <c r="Z105" s="247">
        <f t="shared" si="27"/>
        <v>0.05</v>
      </c>
      <c r="AA105" s="169">
        <f t="shared" si="28"/>
        <v>1200.5382125622243</v>
      </c>
      <c r="AB105" s="169">
        <f t="shared" si="29"/>
        <v>0.16098683598073221</v>
      </c>
    </row>
    <row r="106" spans="1:28">
      <c r="A106" s="164" t="str">
        <f>'Price Deck'!A100</f>
        <v>02/2027</v>
      </c>
      <c r="B106" s="51">
        <f>'Gas Type Curve'!A113</f>
        <v>6.999999999999992</v>
      </c>
      <c r="C106" s="51">
        <f>'Gas Type Curve'!B113</f>
        <v>83.999999999999901</v>
      </c>
      <c r="D106" s="51">
        <f>'Gas Type Curve'!C113</f>
        <v>243.10879945023825</v>
      </c>
      <c r="E106" s="51">
        <f>'Gas Type Curve'!D113</f>
        <v>7394.559316611414</v>
      </c>
      <c r="F106" s="51">
        <f>'Gas Type Curve'!E113</f>
        <v>1568159.7258450717</v>
      </c>
      <c r="G106" s="164"/>
      <c r="H106" s="51">
        <f t="shared" si="17"/>
        <v>209391.7361684854</v>
      </c>
      <c r="I106" s="164">
        <f t="shared" si="18"/>
        <v>209.39173616848541</v>
      </c>
      <c r="J106" s="164">
        <f t="shared" si="15"/>
        <v>7810.311759084505</v>
      </c>
      <c r="K106" s="169">
        <f t="shared" si="19"/>
        <v>3.0072915409293852</v>
      </c>
      <c r="L106" s="164"/>
      <c r="M106" s="170">
        <f t="shared" si="20"/>
        <v>8.6309890489498858E-2</v>
      </c>
      <c r="N106" s="164">
        <v>0.05</v>
      </c>
      <c r="O106" s="155">
        <f t="shared" si="21"/>
        <v>8.6437492455763126E-2</v>
      </c>
      <c r="P106" s="155">
        <f t="shared" si="22"/>
        <v>8.6309890489498858E-2</v>
      </c>
      <c r="Q106" s="155">
        <f t="shared" si="23"/>
        <v>0.16116905967091116</v>
      </c>
      <c r="R106" s="164"/>
      <c r="S106" s="164">
        <f t="shared" si="16"/>
        <v>-6.7196649853618756E-2</v>
      </c>
      <c r="T106" s="170">
        <f t="shared" si="24"/>
        <v>0.05</v>
      </c>
      <c r="U106" s="164"/>
      <c r="V106" s="171">
        <f>'Price Deck'!K100</f>
        <v>3.1728606087919129</v>
      </c>
      <c r="W106" s="169">
        <f t="shared" si="25"/>
        <v>3.0072915409293852</v>
      </c>
      <c r="X106" s="164"/>
      <c r="Y106" s="169">
        <f t="shared" si="26"/>
        <v>23461.905975051603</v>
      </c>
      <c r="Z106" s="247">
        <f t="shared" si="27"/>
        <v>0.05</v>
      </c>
      <c r="AA106" s="169">
        <f t="shared" si="28"/>
        <v>1173.0952987525802</v>
      </c>
      <c r="AB106" s="169">
        <f t="shared" si="29"/>
        <v>0.15864303043959566</v>
      </c>
    </row>
    <row r="107" spans="1:28">
      <c r="A107" s="164" t="str">
        <f>'Price Deck'!A101</f>
        <v>03/2027</v>
      </c>
      <c r="B107" s="51">
        <f>'Gas Type Curve'!A114</f>
        <v>7.083333333333325</v>
      </c>
      <c r="C107" s="51">
        <f>'Gas Type Curve'!B114</f>
        <v>84.999999999999901</v>
      </c>
      <c r="D107" s="51">
        <f>'Gas Type Curve'!C114</f>
        <v>241.08535246994407</v>
      </c>
      <c r="E107" s="51">
        <f>'Gas Type Curve'!D114</f>
        <v>7333.0128042941324</v>
      </c>
      <c r="F107" s="51">
        <f>'Gas Type Curve'!E114</f>
        <v>1575492.738649366</v>
      </c>
      <c r="G107" s="164"/>
      <c r="H107" s="51">
        <f t="shared" si="17"/>
        <v>207648.92357919694</v>
      </c>
      <c r="I107" s="164">
        <f t="shared" si="18"/>
        <v>207.64892357919695</v>
      </c>
      <c r="J107" s="164">
        <f t="shared" si="15"/>
        <v>7745.3048495040457</v>
      </c>
      <c r="K107" s="169">
        <f t="shared" si="19"/>
        <v>2.9247787220078658</v>
      </c>
      <c r="L107" s="164"/>
      <c r="M107" s="170">
        <f t="shared" si="20"/>
        <v>8.1486723320471965E-2</v>
      </c>
      <c r="N107" s="164">
        <v>0.05</v>
      </c>
      <c r="O107" s="155">
        <f t="shared" si="21"/>
        <v>8.1486723320471965E-2</v>
      </c>
      <c r="P107" s="155">
        <f t="shared" si="22"/>
        <v>8.2803095685334296E-2</v>
      </c>
      <c r="Q107" s="155">
        <f t="shared" si="23"/>
        <v>0.15931252124517697</v>
      </c>
      <c r="R107" s="164"/>
      <c r="S107" s="164">
        <f t="shared" si="16"/>
        <v>-6.8057076428950466E-2</v>
      </c>
      <c r="T107" s="170">
        <f t="shared" si="24"/>
        <v>0.05</v>
      </c>
      <c r="U107" s="164"/>
      <c r="V107" s="171">
        <f>'Price Deck'!K101</f>
        <v>3.0858049744068405</v>
      </c>
      <c r="W107" s="169">
        <f t="shared" si="25"/>
        <v>2.9247787220078658</v>
      </c>
      <c r="X107" s="164"/>
      <c r="Y107" s="169">
        <f t="shared" si="26"/>
        <v>22628.247388879889</v>
      </c>
      <c r="Z107" s="247">
        <f t="shared" si="27"/>
        <v>0.05</v>
      </c>
      <c r="AA107" s="169">
        <f t="shared" si="28"/>
        <v>1131.4123694439945</v>
      </c>
      <c r="AB107" s="169">
        <f t="shared" si="29"/>
        <v>0.15429024872034203</v>
      </c>
    </row>
    <row r="108" spans="1:28">
      <c r="A108" s="164" t="str">
        <f>'Price Deck'!A102</f>
        <v>04/2027</v>
      </c>
      <c r="B108" s="51">
        <f>'Gas Type Curve'!A115</f>
        <v>7.1666666666666581</v>
      </c>
      <c r="C108" s="51">
        <f>'Gas Type Curve'!B115</f>
        <v>85.999999999999901</v>
      </c>
      <c r="D108" s="51">
        <f>'Gas Type Curve'!C115</f>
        <v>239.10211988155004</v>
      </c>
      <c r="E108" s="51">
        <f>'Gas Type Curve'!D115</f>
        <v>7272.6894797304803</v>
      </c>
      <c r="F108" s="51">
        <f>'Gas Type Curve'!E115</f>
        <v>1582765.4281290965</v>
      </c>
      <c r="G108" s="164"/>
      <c r="H108" s="51">
        <f t="shared" si="17"/>
        <v>205940.747997528</v>
      </c>
      <c r="I108" s="164">
        <f t="shared" si="18"/>
        <v>205.94074799752801</v>
      </c>
      <c r="J108" s="164">
        <f t="shared" si="15"/>
        <v>7681.5899003077948</v>
      </c>
      <c r="K108" s="169">
        <f t="shared" si="19"/>
        <v>2.6391574257410673</v>
      </c>
      <c r="L108" s="164"/>
      <c r="M108" s="170">
        <f t="shared" si="20"/>
        <v>6.4349445544464048E-2</v>
      </c>
      <c r="N108" s="164">
        <v>0.05</v>
      </c>
      <c r="O108" s="155">
        <f t="shared" si="21"/>
        <v>6.4349445544464048E-2</v>
      </c>
      <c r="P108" s="155">
        <f t="shared" si="22"/>
        <v>7.0664190593995355E-2</v>
      </c>
      <c r="Q108" s="155">
        <f t="shared" si="23"/>
        <v>0.152886042079174</v>
      </c>
      <c r="R108" s="164"/>
      <c r="S108" s="164">
        <f t="shared" si="16"/>
        <v>-6.8900402713620426E-2</v>
      </c>
      <c r="T108" s="170">
        <f t="shared" si="24"/>
        <v>0.05</v>
      </c>
      <c r="U108" s="164"/>
      <c r="V108" s="171">
        <f>'Price Deck'!K102</f>
        <v>2.7844585476892822</v>
      </c>
      <c r="W108" s="169">
        <f t="shared" si="25"/>
        <v>2.6391574257410673</v>
      </c>
      <c r="X108" s="164"/>
      <c r="Y108" s="169">
        <f t="shared" si="26"/>
        <v>20250.502386525455</v>
      </c>
      <c r="Z108" s="247">
        <f t="shared" si="27"/>
        <v>0.05</v>
      </c>
      <c r="AA108" s="169">
        <f t="shared" si="28"/>
        <v>1012.5251193262728</v>
      </c>
      <c r="AB108" s="169">
        <f t="shared" si="29"/>
        <v>0.13922292738446412</v>
      </c>
    </row>
    <row r="109" spans="1:28">
      <c r="A109" s="164" t="str">
        <f>'Price Deck'!A103</f>
        <v>05/2027</v>
      </c>
      <c r="B109" s="51">
        <f>'Gas Type Curve'!A116</f>
        <v>7.2499999999999911</v>
      </c>
      <c r="C109" s="51">
        <f>'Gas Type Curve'!B116</f>
        <v>86.999999999999886</v>
      </c>
      <c r="D109" s="51">
        <f>'Gas Type Curve'!C116</f>
        <v>237.15784863401572</v>
      </c>
      <c r="E109" s="51">
        <f>'Gas Type Curve'!D116</f>
        <v>7213.5512292846452</v>
      </c>
      <c r="F109" s="51">
        <f>'Gas Type Curve'!E116</f>
        <v>1589978.9793583811</v>
      </c>
      <c r="G109" s="164"/>
      <c r="H109" s="51">
        <f t="shared" si="17"/>
        <v>204266.13015965329</v>
      </c>
      <c r="I109" s="164">
        <f t="shared" si="18"/>
        <v>204.2661301596533</v>
      </c>
      <c r="J109" s="164">
        <f t="shared" si="15"/>
        <v>7619.1266549550674</v>
      </c>
      <c r="K109" s="169">
        <f t="shared" si="19"/>
        <v>2.6163077220397231</v>
      </c>
      <c r="L109" s="164"/>
      <c r="M109" s="170">
        <f t="shared" si="20"/>
        <v>6.2978463322383396E-2</v>
      </c>
      <c r="N109" s="164">
        <v>0.05</v>
      </c>
      <c r="O109" s="155">
        <f t="shared" si="21"/>
        <v>6.2978463322383396E-2</v>
      </c>
      <c r="P109" s="155">
        <f t="shared" si="22"/>
        <v>6.9693078186688226E-2</v>
      </c>
      <c r="Q109" s="155">
        <f t="shared" si="23"/>
        <v>0.15237192374589376</v>
      </c>
      <c r="R109" s="164"/>
      <c r="S109" s="164">
        <f t="shared" si="16"/>
        <v>-6.9727161540179175E-2</v>
      </c>
      <c r="T109" s="170">
        <f t="shared" si="24"/>
        <v>0.05</v>
      </c>
      <c r="U109" s="164"/>
      <c r="V109" s="171">
        <f>'Price Deck'!K103</f>
        <v>2.7603508335518776</v>
      </c>
      <c r="W109" s="169">
        <f t="shared" si="25"/>
        <v>2.6163077220397231</v>
      </c>
      <c r="X109" s="164"/>
      <c r="Y109" s="169">
        <f t="shared" si="26"/>
        <v>19911.932148625041</v>
      </c>
      <c r="Z109" s="247">
        <f t="shared" si="27"/>
        <v>0.05</v>
      </c>
      <c r="AA109" s="169">
        <f t="shared" si="28"/>
        <v>995.5966074312521</v>
      </c>
      <c r="AB109" s="169">
        <f t="shared" si="29"/>
        <v>0.13801754167759389</v>
      </c>
    </row>
    <row r="110" spans="1:28">
      <c r="A110" s="164" t="str">
        <f>'Price Deck'!A104</f>
        <v>06/2027</v>
      </c>
      <c r="B110" s="51">
        <f>'Gas Type Curve'!A117</f>
        <v>7.3333333333333242</v>
      </c>
      <c r="C110" s="51">
        <f>'Gas Type Curve'!B117</f>
        <v>87.999999999999886</v>
      </c>
      <c r="D110" s="51">
        <f>'Gas Type Curve'!C117</f>
        <v>235.25133853938632</v>
      </c>
      <c r="E110" s="51">
        <f>'Gas Type Curve'!D117</f>
        <v>7155.5615472396676</v>
      </c>
      <c r="F110" s="51">
        <f>'Gas Type Curve'!E117</f>
        <v>1597134.5409056209</v>
      </c>
      <c r="G110" s="164"/>
      <c r="H110" s="51">
        <f t="shared" si="17"/>
        <v>202624.03633318565</v>
      </c>
      <c r="I110" s="164">
        <f t="shared" si="18"/>
        <v>202.62403633318564</v>
      </c>
      <c r="J110" s="164">
        <f t="shared" si="15"/>
        <v>7557.8765552278246</v>
      </c>
      <c r="K110" s="169">
        <f t="shared" si="19"/>
        <v>2.6505822775917389</v>
      </c>
      <c r="L110" s="164"/>
      <c r="M110" s="170">
        <f t="shared" si="20"/>
        <v>6.5034936655504347E-2</v>
      </c>
      <c r="N110" s="164">
        <v>0.05</v>
      </c>
      <c r="O110" s="155">
        <f t="shared" si="21"/>
        <v>6.5034936655504347E-2</v>
      </c>
      <c r="P110" s="155">
        <f t="shared" si="22"/>
        <v>7.1149746797648891E-2</v>
      </c>
      <c r="Q110" s="155">
        <f t="shared" si="23"/>
        <v>0.15314310124581412</v>
      </c>
      <c r="R110" s="164"/>
      <c r="S110" s="164">
        <f t="shared" si="16"/>
        <v>-7.0537863262306252E-2</v>
      </c>
      <c r="T110" s="170">
        <f t="shared" si="24"/>
        <v>0.05</v>
      </c>
      <c r="U110" s="164"/>
      <c r="V110" s="171">
        <f>'Price Deck'!K104</f>
        <v>2.7965124047579843</v>
      </c>
      <c r="W110" s="169">
        <f t="shared" si="25"/>
        <v>2.6505822775917389</v>
      </c>
      <c r="X110" s="164"/>
      <c r="Y110" s="169">
        <f t="shared" si="26"/>
        <v>20010.616629864966</v>
      </c>
      <c r="Z110" s="247">
        <f t="shared" si="27"/>
        <v>0.05</v>
      </c>
      <c r="AA110" s="169">
        <f t="shared" si="28"/>
        <v>1000.5308314932483</v>
      </c>
      <c r="AB110" s="169">
        <f t="shared" si="29"/>
        <v>0.13982562023789921</v>
      </c>
    </row>
    <row r="111" spans="1:28">
      <c r="A111" s="164" t="str">
        <f>'Price Deck'!A105</f>
        <v>07/2027</v>
      </c>
      <c r="B111" s="51">
        <f>'Gas Type Curve'!A118</f>
        <v>7.4166666666666572</v>
      </c>
      <c r="C111" s="51">
        <f>'Gas Type Curve'!B118</f>
        <v>88.999999999999886</v>
      </c>
      <c r="D111" s="51">
        <f>'Gas Type Curve'!C118</f>
        <v>233.3814394727635</v>
      </c>
      <c r="E111" s="51">
        <f>'Gas Type Curve'!D118</f>
        <v>7098.6854506298905</v>
      </c>
      <c r="F111" s="51">
        <f>'Gas Type Curve'!E118</f>
        <v>1604233.2263562507</v>
      </c>
      <c r="G111" s="164"/>
      <c r="H111" s="51">
        <f t="shared" si="17"/>
        <v>201013.47590548662</v>
      </c>
      <c r="I111" s="164">
        <f t="shared" si="18"/>
        <v>201.01347590548662</v>
      </c>
      <c r="J111" s="164">
        <f t="shared" si="15"/>
        <v>7497.802651274651</v>
      </c>
      <c r="K111" s="169">
        <f t="shared" si="19"/>
        <v>2.6873956891105708</v>
      </c>
      <c r="L111" s="164"/>
      <c r="M111" s="170">
        <f t="shared" si="20"/>
        <v>6.7243741346634259E-2</v>
      </c>
      <c r="N111" s="164">
        <v>0.05</v>
      </c>
      <c r="O111" s="155">
        <f t="shared" si="21"/>
        <v>6.7243741346634259E-2</v>
      </c>
      <c r="P111" s="155">
        <f t="shared" si="22"/>
        <v>7.2714316787199251E-2</v>
      </c>
      <c r="Q111" s="155">
        <f t="shared" si="23"/>
        <v>0.15397140300498785</v>
      </c>
      <c r="R111" s="164"/>
      <c r="S111" s="164">
        <f t="shared" si="16"/>
        <v>-7.1332996945461261E-2</v>
      </c>
      <c r="T111" s="170">
        <f t="shared" si="24"/>
        <v>0.05</v>
      </c>
      <c r="U111" s="164"/>
      <c r="V111" s="171">
        <f>'Price Deck'!K105</f>
        <v>2.8353526108682474</v>
      </c>
      <c r="W111" s="169">
        <f t="shared" si="25"/>
        <v>2.6873956891105708</v>
      </c>
      <c r="X111" s="164"/>
      <c r="Y111" s="169">
        <f t="shared" si="26"/>
        <v>20127.276326175903</v>
      </c>
      <c r="Z111" s="247">
        <f t="shared" si="27"/>
        <v>0.05</v>
      </c>
      <c r="AA111" s="169">
        <f t="shared" si="28"/>
        <v>1006.3638163087952</v>
      </c>
      <c r="AB111" s="169">
        <f t="shared" si="29"/>
        <v>0.14176763054341238</v>
      </c>
    </row>
    <row r="112" spans="1:28">
      <c r="A112" s="164" t="str">
        <f>'Price Deck'!A106</f>
        <v>08/2027</v>
      </c>
      <c r="B112" s="51">
        <f>'Gas Type Curve'!A119</f>
        <v>7.4999999999999902</v>
      </c>
      <c r="C112" s="51">
        <f>'Gas Type Curve'!B119</f>
        <v>89.999999999999886</v>
      </c>
      <c r="D112" s="51">
        <f>'Gas Type Curve'!C119</f>
        <v>231.54704875010199</v>
      </c>
      <c r="E112" s="51">
        <f>'Gas Type Curve'!D119</f>
        <v>7042.8893994822693</v>
      </c>
      <c r="F112" s="51">
        <f>'Gas Type Curve'!E119</f>
        <v>1611276.1157557329</v>
      </c>
      <c r="G112" s="164"/>
      <c r="H112" s="51">
        <f t="shared" si="17"/>
        <v>199433.49912513941</v>
      </c>
      <c r="I112" s="164">
        <f t="shared" si="18"/>
        <v>199.43349912513941</v>
      </c>
      <c r="J112" s="164">
        <f t="shared" si="15"/>
        <v>7438.8695173676997</v>
      </c>
      <c r="K112" s="169">
        <f t="shared" si="19"/>
        <v>2.7102453928119146</v>
      </c>
      <c r="L112" s="164"/>
      <c r="M112" s="170">
        <f t="shared" si="20"/>
        <v>6.8614723568714883E-2</v>
      </c>
      <c r="N112" s="164">
        <v>0.05</v>
      </c>
      <c r="O112" s="155">
        <f t="shared" si="21"/>
        <v>6.8614723568714883E-2</v>
      </c>
      <c r="P112" s="155">
        <f t="shared" si="22"/>
        <v>7.3685429194506366E-2</v>
      </c>
      <c r="Q112" s="155">
        <f t="shared" si="23"/>
        <v>0.15448552133826809</v>
      </c>
      <c r="R112" s="164"/>
      <c r="S112" s="164">
        <f t="shared" si="16"/>
        <v>-7.211303148191868E-2</v>
      </c>
      <c r="T112" s="170">
        <f t="shared" si="24"/>
        <v>0.05</v>
      </c>
      <c r="U112" s="164"/>
      <c r="V112" s="171">
        <f>'Price Deck'!K106</f>
        <v>2.8594603250056521</v>
      </c>
      <c r="W112" s="169">
        <f t="shared" si="25"/>
        <v>2.7102453928119146</v>
      </c>
      <c r="X112" s="164"/>
      <c r="Y112" s="169">
        <f t="shared" si="26"/>
        <v>20138.862811222432</v>
      </c>
      <c r="Z112" s="247">
        <f t="shared" si="27"/>
        <v>0.05</v>
      </c>
      <c r="AA112" s="169">
        <f t="shared" si="28"/>
        <v>1006.9431405611217</v>
      </c>
      <c r="AB112" s="169">
        <f t="shared" si="29"/>
        <v>0.14297301625028264</v>
      </c>
    </row>
    <row r="113" spans="1:28">
      <c r="A113" s="164" t="str">
        <f>'Price Deck'!A107</f>
        <v>09/2027</v>
      </c>
      <c r="B113" s="51">
        <f>'Gas Type Curve'!A120</f>
        <v>7.5833333333333233</v>
      </c>
      <c r="C113" s="51">
        <f>'Gas Type Curve'!B120</f>
        <v>90.999999999999886</v>
      </c>
      <c r="D113" s="51">
        <f>'Gas Type Curve'!C120</f>
        <v>229.74710867070149</v>
      </c>
      <c r="E113" s="51">
        <f>'Gas Type Curve'!D120</f>
        <v>6988.1412220671709</v>
      </c>
      <c r="F113" s="51">
        <f>'Gas Type Curve'!E120</f>
        <v>1618264.2569778</v>
      </c>
      <c r="G113" s="164"/>
      <c r="H113" s="51">
        <f t="shared" si="17"/>
        <v>197883.19498527606</v>
      </c>
      <c r="I113" s="164">
        <f t="shared" si="18"/>
        <v>197.88319498527605</v>
      </c>
      <c r="J113" s="164">
        <f t="shared" si="15"/>
        <v>7381.0431729507973</v>
      </c>
      <c r="K113" s="169">
        <f t="shared" si="19"/>
        <v>2.7165925327289546</v>
      </c>
      <c r="L113" s="164"/>
      <c r="M113" s="170">
        <f t="shared" si="20"/>
        <v>6.8995551963737287E-2</v>
      </c>
      <c r="N113" s="164">
        <v>0.05</v>
      </c>
      <c r="O113" s="155">
        <f t="shared" si="21"/>
        <v>6.8995551963737287E-2</v>
      </c>
      <c r="P113" s="155">
        <f t="shared" si="22"/>
        <v>7.3955182640980568E-2</v>
      </c>
      <c r="Q113" s="155">
        <f t="shared" si="23"/>
        <v>0.15462833198640147</v>
      </c>
      <c r="R113" s="164"/>
      <c r="S113" s="164">
        <f t="shared" si="16"/>
        <v>-7.2878416635769216E-2</v>
      </c>
      <c r="T113" s="170">
        <f t="shared" si="24"/>
        <v>0.05</v>
      </c>
      <c r="U113" s="164"/>
      <c r="V113" s="171">
        <f>'Price Deck'!K107</f>
        <v>2.8661569122660424</v>
      </c>
      <c r="W113" s="169">
        <f t="shared" si="25"/>
        <v>2.7165925327289546</v>
      </c>
      <c r="X113" s="164"/>
      <c r="Y113" s="169">
        <f t="shared" si="26"/>
        <v>20029.109267519092</v>
      </c>
      <c r="Z113" s="247">
        <f t="shared" si="27"/>
        <v>0.05</v>
      </c>
      <c r="AA113" s="169">
        <f t="shared" si="28"/>
        <v>1001.4554633759547</v>
      </c>
      <c r="AB113" s="169">
        <f t="shared" si="29"/>
        <v>0.14330784561330215</v>
      </c>
    </row>
    <row r="114" spans="1:28">
      <c r="A114" s="164" t="str">
        <f>'Price Deck'!A108</f>
        <v>10/2027</v>
      </c>
      <c r="B114" s="51">
        <f>'Gas Type Curve'!A121</f>
        <v>7.6666666666666563</v>
      </c>
      <c r="C114" s="51">
        <f>'Gas Type Curve'!B121</f>
        <v>91.999999999999872</v>
      </c>
      <c r="D114" s="51">
        <f>'Gas Type Curve'!C121</f>
        <v>227.98060421237065</v>
      </c>
      <c r="E114" s="51">
        <f>'Gas Type Curve'!D121</f>
        <v>6934.4100447929413</v>
      </c>
      <c r="F114" s="51">
        <f>'Gas Type Curve'!E121</f>
        <v>1625198.6670225931</v>
      </c>
      <c r="G114" s="164"/>
      <c r="H114" s="51">
        <f t="shared" si="17"/>
        <v>196361.68923840171</v>
      </c>
      <c r="I114" s="164">
        <f t="shared" si="18"/>
        <v>196.36168923840171</v>
      </c>
      <c r="J114" s="164">
        <f t="shared" si="15"/>
        <v>7324.2910085923841</v>
      </c>
      <c r="K114" s="169">
        <f t="shared" si="19"/>
        <v>2.7521365162643789</v>
      </c>
      <c r="L114" s="164"/>
      <c r="M114" s="170">
        <f t="shared" si="20"/>
        <v>7.1128190975862746E-2</v>
      </c>
      <c r="N114" s="164">
        <v>0.05</v>
      </c>
      <c r="O114" s="155">
        <f t="shared" si="21"/>
        <v>7.1128190975862746E-2</v>
      </c>
      <c r="P114" s="155">
        <f t="shared" si="22"/>
        <v>7.5465801941236102E-2</v>
      </c>
      <c r="Q114" s="155">
        <f t="shared" si="23"/>
        <v>0.15542807161594852</v>
      </c>
      <c r="R114" s="164"/>
      <c r="S114" s="164">
        <f t="shared" si="16"/>
        <v>-7.3629584023001085E-2</v>
      </c>
      <c r="T114" s="170">
        <f t="shared" si="24"/>
        <v>0.05</v>
      </c>
      <c r="U114" s="164"/>
      <c r="V114" s="171">
        <f>'Price Deck'!K108</f>
        <v>2.9036578009242278</v>
      </c>
      <c r="W114" s="169">
        <f t="shared" si="25"/>
        <v>2.7521365162643789</v>
      </c>
      <c r="X114" s="164"/>
      <c r="Y114" s="169">
        <f t="shared" si="26"/>
        <v>20135.153821370346</v>
      </c>
      <c r="Z114" s="247">
        <f t="shared" si="27"/>
        <v>0.05</v>
      </c>
      <c r="AA114" s="169">
        <f t="shared" si="28"/>
        <v>1006.7576910685174</v>
      </c>
      <c r="AB114" s="169">
        <f t="shared" si="29"/>
        <v>0.14518289004621138</v>
      </c>
    </row>
    <row r="115" spans="1:28">
      <c r="A115" s="164" t="str">
        <f>'Price Deck'!A109</f>
        <v>11/2027</v>
      </c>
      <c r="B115" s="51">
        <f>'Gas Type Curve'!A122</f>
        <v>7.7499999999999893</v>
      </c>
      <c r="C115" s="51">
        <f>'Gas Type Curve'!B122</f>
        <v>92.999999999999872</v>
      </c>
      <c r="D115" s="51">
        <f>'Gas Type Curve'!C122</f>
        <v>226.2465608682383</v>
      </c>
      <c r="E115" s="51">
        <f>'Gas Type Curve'!D122</f>
        <v>6881.6662264089155</v>
      </c>
      <c r="F115" s="51">
        <f>'Gas Type Curve'!E122</f>
        <v>1632080.333249002</v>
      </c>
      <c r="G115" s="164"/>
      <c r="H115" s="51">
        <f t="shared" si="17"/>
        <v>194868.14253322125</v>
      </c>
      <c r="I115" s="164">
        <f t="shared" si="18"/>
        <v>194.86814253322126</v>
      </c>
      <c r="J115" s="164">
        <f t="shared" si="15"/>
        <v>7268.5817164891523</v>
      </c>
      <c r="K115" s="169">
        <f t="shared" si="19"/>
        <v>2.8359187631693055</v>
      </c>
      <c r="L115" s="164"/>
      <c r="M115" s="170">
        <f t="shared" si="20"/>
        <v>7.6155125790158332E-2</v>
      </c>
      <c r="N115" s="164">
        <v>0.05</v>
      </c>
      <c r="O115" s="155">
        <f t="shared" si="21"/>
        <v>7.6155125790158332E-2</v>
      </c>
      <c r="P115" s="155">
        <f t="shared" si="22"/>
        <v>7.9026547434695477E-2</v>
      </c>
      <c r="Q115" s="155">
        <f t="shared" si="23"/>
        <v>0.15731317217130936</v>
      </c>
      <c r="R115" s="164"/>
      <c r="S115" s="164">
        <f t="shared" si="16"/>
        <v>-7.4366948031348662E-2</v>
      </c>
      <c r="T115" s="170">
        <f t="shared" si="24"/>
        <v>0.05</v>
      </c>
      <c r="U115" s="164"/>
      <c r="V115" s="171">
        <f>'Price Deck'!K109</f>
        <v>2.9920527527613774</v>
      </c>
      <c r="W115" s="169">
        <f t="shared" si="25"/>
        <v>2.8359187631693055</v>
      </c>
      <c r="X115" s="164"/>
      <c r="Y115" s="169">
        <f t="shared" si="26"/>
        <v>20590.308376311794</v>
      </c>
      <c r="Z115" s="247">
        <f t="shared" si="27"/>
        <v>0.05</v>
      </c>
      <c r="AA115" s="169">
        <f t="shared" si="28"/>
        <v>1029.5154188155898</v>
      </c>
      <c r="AB115" s="169">
        <f t="shared" si="29"/>
        <v>0.14960263763806886</v>
      </c>
    </row>
    <row r="116" spans="1:28">
      <c r="A116" s="164" t="str">
        <f>'Price Deck'!A110</f>
        <v>12/2027</v>
      </c>
      <c r="B116" s="51">
        <f>'Gas Type Curve'!A123</f>
        <v>7.8333333333333224</v>
      </c>
      <c r="C116" s="51">
        <f>'Gas Type Curve'!B123</f>
        <v>93.999999999999872</v>
      </c>
      <c r="D116" s="51">
        <f>'Gas Type Curve'!C123</f>
        <v>224.54404261508714</v>
      </c>
      <c r="E116" s="51">
        <f>'Gas Type Curve'!D123</f>
        <v>6829.8812962089005</v>
      </c>
      <c r="F116" s="51">
        <f>'Gas Type Curve'!E123</f>
        <v>1638910.2145452108</v>
      </c>
      <c r="G116" s="164"/>
      <c r="H116" s="51">
        <f t="shared" si="17"/>
        <v>193401.74866474743</v>
      </c>
      <c r="I116" s="164">
        <f t="shared" si="18"/>
        <v>193.40174866474743</v>
      </c>
      <c r="J116" s="164">
        <f t="shared" si="15"/>
        <v>7213.8852251950793</v>
      </c>
      <c r="K116" s="169">
        <f t="shared" si="19"/>
        <v>3.027602388663913</v>
      </c>
      <c r="L116" s="164"/>
      <c r="M116" s="170">
        <f t="shared" si="20"/>
        <v>8.7173101518216292E-2</v>
      </c>
      <c r="N116" s="164">
        <v>0.05</v>
      </c>
      <c r="O116" s="155">
        <f t="shared" si="21"/>
        <v>8.7656143319834789E-2</v>
      </c>
      <c r="P116" s="155">
        <f t="shared" si="22"/>
        <v>8.7173101518216292E-2</v>
      </c>
      <c r="Q116" s="155">
        <f t="shared" si="23"/>
        <v>0.16162605374493805</v>
      </c>
      <c r="R116" s="164"/>
      <c r="S116" s="164">
        <f t="shared" si="16"/>
        <v>-7.5090906684214198E-2</v>
      </c>
      <c r="T116" s="170">
        <f t="shared" si="24"/>
        <v>0.05</v>
      </c>
      <c r="U116" s="164"/>
      <c r="V116" s="171">
        <f>'Price Deck'!K110</f>
        <v>3.1942896880251612</v>
      </c>
      <c r="W116" s="169">
        <f t="shared" si="25"/>
        <v>3.027602388663913</v>
      </c>
      <c r="X116" s="164"/>
      <c r="Y116" s="169">
        <f t="shared" si="26"/>
        <v>21816.619394916012</v>
      </c>
      <c r="Z116" s="247">
        <f t="shared" si="27"/>
        <v>0.05</v>
      </c>
      <c r="AA116" s="169">
        <f t="shared" si="28"/>
        <v>1090.8309697458005</v>
      </c>
      <c r="AB116" s="169">
        <f t="shared" si="29"/>
        <v>0.15971448440125804</v>
      </c>
    </row>
    <row r="117" spans="1:28">
      <c r="A117" s="164" t="str">
        <f>'Price Deck'!A111</f>
        <v>01/2028</v>
      </c>
      <c r="B117" s="51">
        <f>'Gas Type Curve'!A124</f>
        <v>7.9166666666666554</v>
      </c>
      <c r="C117" s="51">
        <f>'Gas Type Curve'!B124</f>
        <v>94.999999999999858</v>
      </c>
      <c r="D117" s="51">
        <f>'Gas Type Curve'!C124</f>
        <v>222.87215000391251</v>
      </c>
      <c r="E117" s="51">
        <f>'Gas Type Curve'!D124</f>
        <v>6779.0278959523393</v>
      </c>
      <c r="F117" s="51">
        <f>'Gas Type Curve'!E124</f>
        <v>1645689.2424411632</v>
      </c>
      <c r="G117" s="164"/>
      <c r="H117" s="51">
        <f t="shared" si="17"/>
        <v>191961.73292968239</v>
      </c>
      <c r="I117" s="164">
        <f t="shared" si="18"/>
        <v>191.9617329296824</v>
      </c>
      <c r="J117" s="164">
        <f t="shared" si="15"/>
        <v>7160.1726382771531</v>
      </c>
      <c r="K117" s="169">
        <f t="shared" si="19"/>
        <v>3.1824726026396881</v>
      </c>
      <c r="L117" s="164"/>
      <c r="M117" s="170">
        <f t="shared" si="20"/>
        <v>9.3755085612186734E-2</v>
      </c>
      <c r="N117" s="164">
        <v>0.05</v>
      </c>
      <c r="O117" s="155">
        <f t="shared" si="21"/>
        <v>9.6948356158381294E-2</v>
      </c>
      <c r="P117" s="155">
        <f t="shared" si="22"/>
        <v>9.3755085612186734E-2</v>
      </c>
      <c r="Q117" s="155">
        <f t="shared" si="23"/>
        <v>0.16511063355939298</v>
      </c>
      <c r="R117" s="164"/>
      <c r="S117" s="164">
        <f t="shared" si="16"/>
        <v>-7.58018424526158E-2</v>
      </c>
      <c r="T117" s="170">
        <f t="shared" si="24"/>
        <v>0.05</v>
      </c>
      <c r="U117" s="164"/>
      <c r="V117" s="171">
        <f>'Price Deck'!K111</f>
        <v>3.3576864171786815</v>
      </c>
      <c r="W117" s="169">
        <f t="shared" si="25"/>
        <v>3.1824726026396881</v>
      </c>
      <c r="X117" s="164"/>
      <c r="Y117" s="169">
        <f t="shared" si="26"/>
        <v>22761.849887914545</v>
      </c>
      <c r="Z117" s="247">
        <f t="shared" si="27"/>
        <v>0.05</v>
      </c>
      <c r="AA117" s="169">
        <f t="shared" si="28"/>
        <v>1138.0924943957273</v>
      </c>
      <c r="AB117" s="169">
        <f t="shared" si="29"/>
        <v>0.16788432085893407</v>
      </c>
    </row>
    <row r="118" spans="1:28">
      <c r="A118" s="164" t="str">
        <f>'Price Deck'!A112</f>
        <v>02/2028</v>
      </c>
      <c r="B118" s="51">
        <f>'Gas Type Curve'!A125</f>
        <v>7.9999999999999885</v>
      </c>
      <c r="C118" s="51">
        <f>'Gas Type Curve'!B125</f>
        <v>95.999999999999858</v>
      </c>
      <c r="D118" s="51">
        <f>'Gas Type Curve'!C125</f>
        <v>221.23001836415435</v>
      </c>
      <c r="E118" s="51">
        <f>'Gas Type Curve'!D125</f>
        <v>6729.0797252430284</v>
      </c>
      <c r="F118" s="51">
        <f>'Gas Type Curve'!E125</f>
        <v>1652418.3221664061</v>
      </c>
      <c r="G118" s="164"/>
      <c r="H118" s="51">
        <f t="shared" si="17"/>
        <v>190547.35057970681</v>
      </c>
      <c r="I118" s="164">
        <f t="shared" si="18"/>
        <v>190.5473505797068</v>
      </c>
      <c r="J118" s="164">
        <f t="shared" si="15"/>
        <v>7107.4161766230636</v>
      </c>
      <c r="K118" s="169">
        <f t="shared" si="19"/>
        <v>3.1380426232204082</v>
      </c>
      <c r="L118" s="164"/>
      <c r="M118" s="170">
        <f t="shared" si="20"/>
        <v>9.1866811486867345E-2</v>
      </c>
      <c r="N118" s="164">
        <v>0.05</v>
      </c>
      <c r="O118" s="155">
        <f t="shared" si="21"/>
        <v>9.4282557393224498E-2</v>
      </c>
      <c r="P118" s="155">
        <f t="shared" si="22"/>
        <v>9.1866811486867345E-2</v>
      </c>
      <c r="Q118" s="155">
        <f t="shared" si="23"/>
        <v>0.16411095902245917</v>
      </c>
      <c r="R118" s="164"/>
      <c r="S118" s="164">
        <f t="shared" si="16"/>
        <v>-7.6500123018798757E-2</v>
      </c>
      <c r="T118" s="170">
        <f t="shared" si="24"/>
        <v>0.05</v>
      </c>
      <c r="U118" s="164"/>
      <c r="V118" s="171">
        <f>'Price Deck'!K112</f>
        <v>3.3108103063559504</v>
      </c>
      <c r="W118" s="169">
        <f t="shared" si="25"/>
        <v>3.1380426232204082</v>
      </c>
      <c r="X118" s="164"/>
      <c r="Y118" s="169">
        <f t="shared" si="26"/>
        <v>22278.706506625487</v>
      </c>
      <c r="Z118" s="247">
        <f t="shared" si="27"/>
        <v>0.05</v>
      </c>
      <c r="AA118" s="169">
        <f t="shared" si="28"/>
        <v>1113.9353253312745</v>
      </c>
      <c r="AB118" s="169">
        <f t="shared" si="29"/>
        <v>0.16554051531779757</v>
      </c>
    </row>
    <row r="119" spans="1:28">
      <c r="A119" s="164" t="str">
        <f>'Price Deck'!A113</f>
        <v>03/2028</v>
      </c>
      <c r="B119" s="51">
        <f>'Gas Type Curve'!A126</f>
        <v>8.0833333333333215</v>
      </c>
      <c r="C119" s="51">
        <f>'Gas Type Curve'!B126</f>
        <v>96.999999999999858</v>
      </c>
      <c r="D119" s="51">
        <f>'Gas Type Curve'!C126</f>
        <v>219.61681611373223</v>
      </c>
      <c r="E119" s="51">
        <f>'Gas Type Curve'!D126</f>
        <v>6680.0114901260222</v>
      </c>
      <c r="F119" s="51">
        <f>'Gas Type Curve'!E126</f>
        <v>1659098.333656532</v>
      </c>
      <c r="G119" s="164"/>
      <c r="H119" s="51">
        <f t="shared" si="17"/>
        <v>189157.88536589855</v>
      </c>
      <c r="I119" s="164">
        <f t="shared" si="18"/>
        <v>189.15788536589855</v>
      </c>
      <c r="J119" s="164">
        <f t="shared" si="15"/>
        <v>7055.5891241480158</v>
      </c>
      <c r="K119" s="169">
        <f t="shared" si="19"/>
        <v>3.0555298042988888</v>
      </c>
      <c r="L119" s="164"/>
      <c r="M119" s="170">
        <f t="shared" si="20"/>
        <v>8.8360016682702769E-2</v>
      </c>
      <c r="N119" s="164">
        <v>0.05</v>
      </c>
      <c r="O119" s="155">
        <f t="shared" si="21"/>
        <v>8.9331788257933337E-2</v>
      </c>
      <c r="P119" s="155">
        <f t="shared" si="22"/>
        <v>8.8360016682702769E-2</v>
      </c>
      <c r="Q119" s="155">
        <f t="shared" si="23"/>
        <v>0.16225442059672499</v>
      </c>
      <c r="R119" s="164"/>
      <c r="S119" s="164">
        <f t="shared" si="16"/>
        <v>-7.7186101994855885E-2</v>
      </c>
      <c r="T119" s="170">
        <f t="shared" si="24"/>
        <v>0.05</v>
      </c>
      <c r="U119" s="164"/>
      <c r="V119" s="171">
        <f>'Price Deck'!K113</f>
        <v>3.2237546719708781</v>
      </c>
      <c r="W119" s="169">
        <f t="shared" si="25"/>
        <v>3.0555298042988888</v>
      </c>
      <c r="X119" s="164"/>
      <c r="Y119" s="169">
        <f t="shared" si="26"/>
        <v>21534.71825011291</v>
      </c>
      <c r="Z119" s="247">
        <f t="shared" si="27"/>
        <v>0.05</v>
      </c>
      <c r="AA119" s="169">
        <f t="shared" si="28"/>
        <v>1076.7359125056455</v>
      </c>
      <c r="AB119" s="169">
        <f t="shared" si="29"/>
        <v>0.16118773359854391</v>
      </c>
    </row>
    <row r="120" spans="1:28">
      <c r="A120" s="164" t="str">
        <f>'Price Deck'!A114</f>
        <v>04/2028</v>
      </c>
      <c r="B120" s="51">
        <f>'Gas Type Curve'!A127</f>
        <v>8.1666666666666554</v>
      </c>
      <c r="C120" s="51">
        <f>'Gas Type Curve'!B127</f>
        <v>97.999999999999858</v>
      </c>
      <c r="D120" s="51">
        <f>'Gas Type Curve'!C127</f>
        <v>218.03174316763062</v>
      </c>
      <c r="E120" s="51">
        <f>'Gas Type Curve'!D127</f>
        <v>6631.798854682098</v>
      </c>
      <c r="F120" s="51">
        <f>'Gas Type Curve'!E127</f>
        <v>1665730.1325112141</v>
      </c>
      <c r="G120" s="164"/>
      <c r="H120" s="51">
        <f t="shared" si="17"/>
        <v>187792.64816803296</v>
      </c>
      <c r="I120" s="164">
        <f t="shared" si="18"/>
        <v>187.79264816803297</v>
      </c>
      <c r="J120" s="164">
        <f t="shared" si="15"/>
        <v>7004.665776667629</v>
      </c>
      <c r="K120" s="169">
        <f t="shared" si="19"/>
        <v>2.7305562405464427</v>
      </c>
      <c r="L120" s="164"/>
      <c r="M120" s="170">
        <f t="shared" si="20"/>
        <v>6.9833374432786574E-2</v>
      </c>
      <c r="N120" s="164">
        <v>0.05</v>
      </c>
      <c r="O120" s="155">
        <f t="shared" si="21"/>
        <v>6.9833374432786574E-2</v>
      </c>
      <c r="P120" s="155">
        <f t="shared" si="22"/>
        <v>7.4548640223223814E-2</v>
      </c>
      <c r="Q120" s="155">
        <f t="shared" si="23"/>
        <v>0.15494251541229498</v>
      </c>
      <c r="R120" s="164"/>
      <c r="S120" s="164">
        <f t="shared" si="16"/>
        <v>-7.7860119599442126E-2</v>
      </c>
      <c r="T120" s="170">
        <f t="shared" si="24"/>
        <v>0.05</v>
      </c>
      <c r="U120" s="164"/>
      <c r="V120" s="171">
        <f>'Price Deck'!K114</f>
        <v>2.8808894042389008</v>
      </c>
      <c r="W120" s="169">
        <f t="shared" si="25"/>
        <v>2.7305562405464427</v>
      </c>
      <c r="X120" s="164"/>
      <c r="Y120" s="169">
        <f t="shared" si="26"/>
        <v>19105.479051497336</v>
      </c>
      <c r="Z120" s="247">
        <f t="shared" si="27"/>
        <v>0.05</v>
      </c>
      <c r="AA120" s="169">
        <f t="shared" si="28"/>
        <v>955.27395257486683</v>
      </c>
      <c r="AB120" s="169">
        <f t="shared" si="29"/>
        <v>0.14404447021194505</v>
      </c>
    </row>
    <row r="121" spans="1:28">
      <c r="A121" s="164" t="str">
        <f>'Price Deck'!A115</f>
        <v>05/2028</v>
      </c>
      <c r="B121" s="51">
        <f>'Gas Type Curve'!A128</f>
        <v>8.2499999999999893</v>
      </c>
      <c r="C121" s="51">
        <f>'Gas Type Curve'!B128</f>
        <v>98.999999999999872</v>
      </c>
      <c r="D121" s="51">
        <f>'Gas Type Curve'!C128</f>
        <v>216.47402943834939</v>
      </c>
      <c r="E121" s="51">
        <f>'Gas Type Curve'!D128</f>
        <v>6584.418395416461</v>
      </c>
      <c r="F121" s="51">
        <f>'Gas Type Curve'!E128</f>
        <v>1672314.5509066305</v>
      </c>
      <c r="G121" s="164"/>
      <c r="H121" s="51">
        <f t="shared" si="17"/>
        <v>186450.97570300792</v>
      </c>
      <c r="I121" s="164">
        <f t="shared" si="18"/>
        <v>186.45097570300791</v>
      </c>
      <c r="J121" s="164">
        <f t="shared" si="15"/>
        <v>6954.6213937221955</v>
      </c>
      <c r="K121" s="169">
        <f t="shared" si="19"/>
        <v>2.7051676808782825</v>
      </c>
      <c r="L121" s="164"/>
      <c r="M121" s="170">
        <f t="shared" si="20"/>
        <v>6.831006085269696E-2</v>
      </c>
      <c r="N121" s="164">
        <v>0.05</v>
      </c>
      <c r="O121" s="155">
        <f t="shared" si="21"/>
        <v>6.831006085269696E-2</v>
      </c>
      <c r="P121" s="155">
        <f t="shared" si="22"/>
        <v>7.3469626437327004E-2</v>
      </c>
      <c r="Q121" s="155">
        <f t="shared" si="23"/>
        <v>0.15437127281976137</v>
      </c>
      <c r="R121" s="164"/>
      <c r="S121" s="164">
        <f t="shared" si="16"/>
        <v>-7.8522503295424997E-2</v>
      </c>
      <c r="T121" s="170">
        <f t="shared" si="24"/>
        <v>0.05</v>
      </c>
      <c r="U121" s="164"/>
      <c r="V121" s="171">
        <f>'Price Deck'!K115</f>
        <v>2.8541030551973399</v>
      </c>
      <c r="W121" s="169">
        <f t="shared" si="25"/>
        <v>2.7051676808782825</v>
      </c>
      <c r="X121" s="164"/>
      <c r="Y121" s="169">
        <f t="shared" si="26"/>
        <v>18792.608659055688</v>
      </c>
      <c r="Z121" s="247">
        <f t="shared" si="27"/>
        <v>0.05</v>
      </c>
      <c r="AA121" s="169">
        <f t="shared" si="28"/>
        <v>939.63043295278442</v>
      </c>
      <c r="AB121" s="169">
        <f t="shared" si="29"/>
        <v>0.142705152759867</v>
      </c>
    </row>
    <row r="122" spans="1:28">
      <c r="A122" s="164" t="str">
        <f>'Price Deck'!A116</f>
        <v>06/2028</v>
      </c>
      <c r="B122" s="51">
        <f>'Gas Type Curve'!A129</f>
        <v>8.3333333333333233</v>
      </c>
      <c r="C122" s="51">
        <f>'Gas Type Curve'!B129</f>
        <v>99.999999999999886</v>
      </c>
      <c r="D122" s="51">
        <f>'Gas Type Curve'!C129</f>
        <v>214.94293342205032</v>
      </c>
      <c r="E122" s="51">
        <f>'Gas Type Curve'!D129</f>
        <v>6537.8475582540304</v>
      </c>
      <c r="F122" s="51">
        <f>'Gas Type Curve'!E129</f>
        <v>1678852.3984648846</v>
      </c>
      <c r="G122" s="164"/>
      <c r="H122" s="51">
        <f t="shared" si="17"/>
        <v>185132.22930707937</v>
      </c>
      <c r="I122" s="164">
        <f t="shared" si="18"/>
        <v>185.13222930707937</v>
      </c>
      <c r="J122" s="164">
        <f t="shared" si="15"/>
        <v>6905.43215315406</v>
      </c>
      <c r="K122" s="169">
        <f t="shared" si="19"/>
        <v>2.743250520380522</v>
      </c>
      <c r="L122" s="164"/>
      <c r="M122" s="170">
        <f t="shared" si="20"/>
        <v>7.0595031222831325E-2</v>
      </c>
      <c r="N122" s="164">
        <v>0.05</v>
      </c>
      <c r="O122" s="155">
        <f t="shared" si="21"/>
        <v>7.0595031222831325E-2</v>
      </c>
      <c r="P122" s="155">
        <f t="shared" si="22"/>
        <v>7.5088147116172177E-2</v>
      </c>
      <c r="Q122" s="155">
        <f t="shared" si="23"/>
        <v>0.15522813670856173</v>
      </c>
      <c r="R122" s="164"/>
      <c r="S122" s="164">
        <f t="shared" si="16"/>
        <v>-7.917356839109492E-2</v>
      </c>
      <c r="T122" s="170">
        <f t="shared" si="24"/>
        <v>0.05</v>
      </c>
      <c r="U122" s="164"/>
      <c r="V122" s="171">
        <f>'Price Deck'!K116</f>
        <v>2.8942825787596806</v>
      </c>
      <c r="W122" s="169">
        <f t="shared" si="25"/>
        <v>2.743250520380522</v>
      </c>
      <c r="X122" s="164"/>
      <c r="Y122" s="169">
        <f t="shared" si="26"/>
        <v>18922.378290441156</v>
      </c>
      <c r="Z122" s="247">
        <f t="shared" si="27"/>
        <v>0.05</v>
      </c>
      <c r="AA122" s="169">
        <f t="shared" si="28"/>
        <v>946.11891452205782</v>
      </c>
      <c r="AB122" s="169">
        <f t="shared" si="29"/>
        <v>0.14471412893798402</v>
      </c>
    </row>
    <row r="123" spans="1:28">
      <c r="A123" s="164" t="str">
        <f>'Price Deck'!A117</f>
        <v>07/2028</v>
      </c>
      <c r="B123" s="51">
        <f>'Gas Type Curve'!A130</f>
        <v>8.4166666666666572</v>
      </c>
      <c r="C123" s="51">
        <f>'Gas Type Curve'!B130</f>
        <v>100.99999999999989</v>
      </c>
      <c r="D123" s="51">
        <f>'Gas Type Curve'!C130</f>
        <v>213.43774086469944</v>
      </c>
      <c r="E123" s="51">
        <f>'Gas Type Curve'!D130</f>
        <v>6492.0646179679416</v>
      </c>
      <c r="F123" s="51">
        <f>'Gas Type Curve'!E130</f>
        <v>1685344.4630828525</v>
      </c>
      <c r="G123" s="164"/>
      <c r="H123" s="51">
        <f t="shared" si="17"/>
        <v>183835.7937869982</v>
      </c>
      <c r="I123" s="164">
        <f t="shared" si="18"/>
        <v>183.83579378699821</v>
      </c>
      <c r="J123" s="164">
        <f t="shared" si="15"/>
        <v>6857.0751082550323</v>
      </c>
      <c r="K123" s="169">
        <f t="shared" si="19"/>
        <v>2.794027639716842</v>
      </c>
      <c r="L123" s="164"/>
      <c r="M123" s="170">
        <f t="shared" si="20"/>
        <v>7.3641658383010525E-2</v>
      </c>
      <c r="N123" s="164">
        <v>0.05</v>
      </c>
      <c r="O123" s="155">
        <f t="shared" si="21"/>
        <v>7.3641658383010525E-2</v>
      </c>
      <c r="P123" s="155">
        <f t="shared" si="22"/>
        <v>7.7246174687965782E-2</v>
      </c>
      <c r="Q123" s="155">
        <f t="shared" si="23"/>
        <v>0.15637062189362894</v>
      </c>
      <c r="R123" s="164"/>
      <c r="S123" s="164">
        <f t="shared" si="16"/>
        <v>-7.9813618607358985E-2</v>
      </c>
      <c r="T123" s="170">
        <f t="shared" si="24"/>
        <v>0.05</v>
      </c>
      <c r="U123" s="164"/>
      <c r="V123" s="171">
        <f>'Price Deck'!K117</f>
        <v>2.9478552768428026</v>
      </c>
      <c r="W123" s="169">
        <f t="shared" si="25"/>
        <v>2.794027639716842</v>
      </c>
      <c r="X123" s="164"/>
      <c r="Y123" s="169">
        <f t="shared" si="26"/>
        <v>19137.666941681251</v>
      </c>
      <c r="Z123" s="247">
        <f t="shared" si="27"/>
        <v>0.05</v>
      </c>
      <c r="AA123" s="169">
        <f t="shared" si="28"/>
        <v>956.88334708406262</v>
      </c>
      <c r="AB123" s="169">
        <f t="shared" si="29"/>
        <v>0.14739276384214015</v>
      </c>
    </row>
    <row r="124" spans="1:28">
      <c r="A124" s="164" t="str">
        <f>'Price Deck'!A118</f>
        <v>08/2028</v>
      </c>
      <c r="B124" s="51">
        <f>'Gas Type Curve'!A131</f>
        <v>8.4999999999999911</v>
      </c>
      <c r="C124" s="51">
        <f>'Gas Type Curve'!B131</f>
        <v>101.99999999999989</v>
      </c>
      <c r="D124" s="51">
        <f>'Gas Type Curve'!C131</f>
        <v>211.95776350293963</v>
      </c>
      <c r="E124" s="51">
        <f>'Gas Type Curve'!D131</f>
        <v>6447.0486398810808</v>
      </c>
      <c r="F124" s="51">
        <f>'Gas Type Curve'!E131</f>
        <v>1691791.5117227337</v>
      </c>
      <c r="G124" s="164"/>
      <c r="H124" s="51">
        <f t="shared" si="17"/>
        <v>182561.07633551257</v>
      </c>
      <c r="I124" s="164">
        <f t="shared" si="18"/>
        <v>182.56107633551258</v>
      </c>
      <c r="J124" s="164">
        <f t="shared" si="15"/>
        <v>6809.5281473146188</v>
      </c>
      <c r="K124" s="169">
        <f t="shared" si="19"/>
        <v>2.844804759053162</v>
      </c>
      <c r="L124" s="164"/>
      <c r="M124" s="170">
        <f t="shared" si="20"/>
        <v>7.6688285543189724E-2</v>
      </c>
      <c r="N124" s="164">
        <v>0.05</v>
      </c>
      <c r="O124" s="155">
        <f t="shared" si="21"/>
        <v>7.6688285543189724E-2</v>
      </c>
      <c r="P124" s="155">
        <f t="shared" si="22"/>
        <v>7.9404202259759374E-2</v>
      </c>
      <c r="Q124" s="155">
        <f t="shared" si="23"/>
        <v>0.15751310707869615</v>
      </c>
      <c r="R124" s="164"/>
      <c r="S124" s="164">
        <f t="shared" si="16"/>
        <v>-8.0442946613157443E-2</v>
      </c>
      <c r="T124" s="170">
        <f t="shared" si="24"/>
        <v>0.05</v>
      </c>
      <c r="U124" s="164"/>
      <c r="V124" s="171">
        <f>'Price Deck'!K118</f>
        <v>3.0014279749259241</v>
      </c>
      <c r="W124" s="169">
        <f t="shared" si="25"/>
        <v>2.844804759053162</v>
      </c>
      <c r="X124" s="164"/>
      <c r="Y124" s="169">
        <f t="shared" si="26"/>
        <v>19350.352143447206</v>
      </c>
      <c r="Z124" s="247">
        <f t="shared" si="27"/>
        <v>0.05</v>
      </c>
      <c r="AA124" s="169">
        <f t="shared" si="28"/>
        <v>967.51760717236039</v>
      </c>
      <c r="AB124" s="169">
        <f t="shared" si="29"/>
        <v>0.15007139874629621</v>
      </c>
    </row>
    <row r="125" spans="1:28">
      <c r="A125" s="164" t="str">
        <f>'Price Deck'!A119</f>
        <v>09/2028</v>
      </c>
      <c r="B125" s="51">
        <f>'Gas Type Curve'!A132</f>
        <v>8.583333333333325</v>
      </c>
      <c r="C125" s="51">
        <f>'Gas Type Curve'!B132</f>
        <v>102.9999999999999</v>
      </c>
      <c r="D125" s="51">
        <f>'Gas Type Curve'!C132</f>
        <v>210.50233787482057</v>
      </c>
      <c r="E125" s="51">
        <f>'Gas Type Curve'!D132</f>
        <v>6402.7794436924596</v>
      </c>
      <c r="F125" s="51">
        <f>'Gas Type Curve'!E132</f>
        <v>1698194.2911664261</v>
      </c>
      <c r="G125" s="164"/>
      <c r="H125" s="51">
        <f t="shared" si="17"/>
        <v>181307.50550703937</v>
      </c>
      <c r="I125" s="164">
        <f t="shared" si="18"/>
        <v>181.30750550703937</v>
      </c>
      <c r="J125" s="164">
        <f t="shared" si="15"/>
        <v>6762.7699554125684</v>
      </c>
      <c r="K125" s="169">
        <f t="shared" si="19"/>
        <v>2.8613073228374657</v>
      </c>
      <c r="L125" s="164"/>
      <c r="M125" s="170">
        <f t="shared" si="20"/>
        <v>7.7678439370247945E-2</v>
      </c>
      <c r="N125" s="164">
        <v>0.05</v>
      </c>
      <c r="O125" s="155">
        <f t="shared" si="21"/>
        <v>7.7678439370247945E-2</v>
      </c>
      <c r="P125" s="155">
        <f t="shared" si="22"/>
        <v>8.0105561220592286E-2</v>
      </c>
      <c r="Q125" s="155">
        <f t="shared" si="23"/>
        <v>0.15788441476384296</v>
      </c>
      <c r="R125" s="164"/>
      <c r="S125" s="164">
        <f t="shared" si="16"/>
        <v>-8.1061834531174673E-2</v>
      </c>
      <c r="T125" s="170">
        <f t="shared" si="24"/>
        <v>0.05</v>
      </c>
      <c r="U125" s="164"/>
      <c r="V125" s="171">
        <f>'Price Deck'!K119</f>
        <v>3.0188391018029384</v>
      </c>
      <c r="W125" s="169">
        <f t="shared" si="25"/>
        <v>2.8613073228374657</v>
      </c>
      <c r="X125" s="164"/>
      <c r="Y125" s="169">
        <f t="shared" si="26"/>
        <v>19328.960944838862</v>
      </c>
      <c r="Z125" s="247">
        <f t="shared" si="27"/>
        <v>0.05</v>
      </c>
      <c r="AA125" s="169">
        <f t="shared" si="28"/>
        <v>966.44804724194319</v>
      </c>
      <c r="AB125" s="169">
        <f t="shared" si="29"/>
        <v>0.15094195509014693</v>
      </c>
    </row>
    <row r="126" spans="1:28">
      <c r="A126" s="164" t="str">
        <f>'Price Deck'!A120</f>
        <v>10/2028</v>
      </c>
      <c r="B126" s="51">
        <f>'Gas Type Curve'!A133</f>
        <v>8.666666666666659</v>
      </c>
      <c r="C126" s="51">
        <f>'Gas Type Curve'!B133</f>
        <v>103.99999999999991</v>
      </c>
      <c r="D126" s="51">
        <f>'Gas Type Curve'!C133</f>
        <v>209.07082419587343</v>
      </c>
      <c r="E126" s="51">
        <f>'Gas Type Curve'!D133</f>
        <v>6359.2375692911501</v>
      </c>
      <c r="F126" s="51">
        <f>'Gas Type Curve'!E133</f>
        <v>1704553.5287357173</v>
      </c>
      <c r="G126" s="164"/>
      <c r="H126" s="51">
        <f t="shared" si="17"/>
        <v>180074.5302496175</v>
      </c>
      <c r="I126" s="164">
        <f t="shared" si="18"/>
        <v>180.07453024961751</v>
      </c>
      <c r="J126" s="164">
        <f t="shared" si="15"/>
        <v>6716.779978310733</v>
      </c>
      <c r="K126" s="169">
        <f t="shared" si="19"/>
        <v>2.9197010100742338</v>
      </c>
      <c r="L126" s="164"/>
      <c r="M126" s="170">
        <f t="shared" si="20"/>
        <v>8.1182060604454029E-2</v>
      </c>
      <c r="N126" s="164">
        <v>0.05</v>
      </c>
      <c r="O126" s="155">
        <f t="shared" si="21"/>
        <v>8.1182060604454029E-2</v>
      </c>
      <c r="P126" s="155">
        <f t="shared" si="22"/>
        <v>8.2587292928154935E-2</v>
      </c>
      <c r="Q126" s="155">
        <f t="shared" si="23"/>
        <v>0.15919827272667025</v>
      </c>
      <c r="R126" s="164"/>
      <c r="S126" s="164">
        <f t="shared" si="16"/>
        <v>-8.1670554415763832E-2</v>
      </c>
      <c r="T126" s="170">
        <f t="shared" si="24"/>
        <v>0.05</v>
      </c>
      <c r="U126" s="164"/>
      <c r="V126" s="171">
        <f>'Price Deck'!K120</f>
        <v>3.0804477045985283</v>
      </c>
      <c r="W126" s="169">
        <f t="shared" si="25"/>
        <v>2.9197010100742338</v>
      </c>
      <c r="X126" s="164"/>
      <c r="Y126" s="169">
        <f t="shared" si="26"/>
        <v>19589.29877331965</v>
      </c>
      <c r="Z126" s="247">
        <f t="shared" si="27"/>
        <v>0.05</v>
      </c>
      <c r="AA126" s="169">
        <f t="shared" si="28"/>
        <v>979.46493866598257</v>
      </c>
      <c r="AB126" s="169">
        <f t="shared" si="29"/>
        <v>0.15402238522992645</v>
      </c>
    </row>
    <row r="127" spans="1:28">
      <c r="A127" s="164" t="str">
        <f>'Price Deck'!A121</f>
        <v>11/2028</v>
      </c>
      <c r="B127" s="51">
        <f>'Gas Type Curve'!A134</f>
        <v>8.7499999999999929</v>
      </c>
      <c r="C127" s="51">
        <f>'Gas Type Curve'!B134</f>
        <v>104.99999999999991</v>
      </c>
      <c r="D127" s="51">
        <f>'Gas Type Curve'!C134</f>
        <v>207.66260529635315</v>
      </c>
      <c r="E127" s="51">
        <f>'Gas Type Curve'!D134</f>
        <v>6316.4042444307415</v>
      </c>
      <c r="F127" s="51">
        <f>'Gas Type Curve'!E134</f>
        <v>1710869.9329801481</v>
      </c>
      <c r="G127" s="164"/>
      <c r="H127" s="51">
        <f t="shared" si="17"/>
        <v>178861.6189895453</v>
      </c>
      <c r="I127" s="164">
        <f t="shared" si="18"/>
        <v>178.86161898954529</v>
      </c>
      <c r="J127" s="164">
        <f t="shared" si="15"/>
        <v>6671.5383883100394</v>
      </c>
      <c r="K127" s="169">
        <f t="shared" si="19"/>
        <v>3.0034832569791607</v>
      </c>
      <c r="L127" s="164"/>
      <c r="M127" s="170">
        <f t="shared" si="20"/>
        <v>8.6148038421614323E-2</v>
      </c>
      <c r="N127" s="164">
        <v>0.05</v>
      </c>
      <c r="O127" s="155">
        <f t="shared" si="21"/>
        <v>8.6208995418749657E-2</v>
      </c>
      <c r="P127" s="155">
        <f t="shared" si="22"/>
        <v>8.6148038421614323E-2</v>
      </c>
      <c r="Q127" s="155">
        <f t="shared" si="23"/>
        <v>0.16108337328203109</v>
      </c>
      <c r="R127" s="164"/>
      <c r="S127" s="164">
        <f t="shared" si="16"/>
        <v>-8.2269368704861498E-2</v>
      </c>
      <c r="T127" s="170">
        <f t="shared" si="24"/>
        <v>0.05</v>
      </c>
      <c r="U127" s="164"/>
      <c r="V127" s="171">
        <f>'Price Deck'!K121</f>
        <v>3.1688426564356784</v>
      </c>
      <c r="W127" s="169">
        <f t="shared" si="25"/>
        <v>3.0034832569791607</v>
      </c>
      <c r="X127" s="164"/>
      <c r="Y127" s="169">
        <f t="shared" si="26"/>
        <v>20015.691205043506</v>
      </c>
      <c r="Z127" s="247">
        <f t="shared" si="27"/>
        <v>0.05</v>
      </c>
      <c r="AA127" s="169">
        <f t="shared" si="28"/>
        <v>1000.7845602521753</v>
      </c>
      <c r="AB127" s="169">
        <f t="shared" si="29"/>
        <v>0.15844213282178393</v>
      </c>
    </row>
    <row r="128" spans="1:28">
      <c r="A128" s="164" t="str">
        <f>'Price Deck'!A122</f>
        <v>12/2028</v>
      </c>
      <c r="B128" s="51">
        <f>'Gas Type Curve'!A135</f>
        <v>8.8333333333333268</v>
      </c>
      <c r="C128" s="51">
        <f>'Gas Type Curve'!B135</f>
        <v>105.99999999999991</v>
      </c>
      <c r="D128" s="51">
        <f>'Gas Type Curve'!C135</f>
        <v>206.27708561577086</v>
      </c>
      <c r="E128" s="51">
        <f>'Gas Type Curve'!D135</f>
        <v>6274.2613541463643</v>
      </c>
      <c r="F128" s="51">
        <f>'Gas Type Curve'!E135</f>
        <v>1717144.1943342944</v>
      </c>
      <c r="G128" s="164"/>
      <c r="H128" s="51">
        <f t="shared" si="17"/>
        <v>177668.25876536258</v>
      </c>
      <c r="I128" s="164">
        <f t="shared" si="18"/>
        <v>177.66825876536259</v>
      </c>
      <c r="J128" s="164">
        <f t="shared" si="15"/>
        <v>6627.0260519480244</v>
      </c>
      <c r="K128" s="169">
        <f t="shared" si="19"/>
        <v>3.1951668824737687</v>
      </c>
      <c r="L128" s="164"/>
      <c r="M128" s="170">
        <f t="shared" si="20"/>
        <v>9.4294592505135166E-2</v>
      </c>
      <c r="N128" s="164">
        <v>0.05</v>
      </c>
      <c r="O128" s="155">
        <f t="shared" si="21"/>
        <v>9.7710012948426128E-2</v>
      </c>
      <c r="P128" s="155">
        <f t="shared" si="22"/>
        <v>9.4294592505135166E-2</v>
      </c>
      <c r="Q128" s="155">
        <f t="shared" si="23"/>
        <v>0.16539625485565979</v>
      </c>
      <c r="R128" s="164"/>
      <c r="S128" s="164">
        <f t="shared" si="16"/>
        <v>-8.2858530647540493E-2</v>
      </c>
      <c r="T128" s="170">
        <f t="shared" si="24"/>
        <v>0.05</v>
      </c>
      <c r="U128" s="164"/>
      <c r="V128" s="171">
        <f>'Price Deck'!K122</f>
        <v>3.3710795916994627</v>
      </c>
      <c r="W128" s="169">
        <f t="shared" si="25"/>
        <v>3.1951668824737687</v>
      </c>
      <c r="X128" s="164"/>
      <c r="Y128" s="169">
        <f t="shared" si="26"/>
        <v>21151.034403951442</v>
      </c>
      <c r="Z128" s="247">
        <f t="shared" si="27"/>
        <v>0.05</v>
      </c>
      <c r="AA128" s="169">
        <f t="shared" si="28"/>
        <v>1057.5517201975722</v>
      </c>
      <c r="AB128" s="169">
        <f t="shared" si="29"/>
        <v>0.16855397958497315</v>
      </c>
    </row>
    <row r="129" spans="1:28">
      <c r="A129" s="164" t="str">
        <f>'Price Deck'!A123</f>
        <v>01/2029</v>
      </c>
      <c r="B129" s="51">
        <f>'Gas Type Curve'!A136</f>
        <v>8.9166666666666607</v>
      </c>
      <c r="C129" s="51">
        <f>'Gas Type Curve'!B136</f>
        <v>106.99999999999993</v>
      </c>
      <c r="D129" s="51">
        <f>'Gas Type Curve'!C136</f>
        <v>204.91369025112272</v>
      </c>
      <c r="E129" s="51">
        <f>'Gas Type Curve'!D136</f>
        <v>6232.791411804983</v>
      </c>
      <c r="F129" s="51">
        <f>'Gas Type Curve'!E136</f>
        <v>1723376.9857460994</v>
      </c>
      <c r="G129" s="164"/>
      <c r="H129" s="51">
        <f t="shared" si="17"/>
        <v>176493.95440808171</v>
      </c>
      <c r="I129" s="164">
        <f t="shared" si="18"/>
        <v>176.49395440808172</v>
      </c>
      <c r="J129" s="164">
        <f t="shared" si="15"/>
        <v>6583.2244994214479</v>
      </c>
      <c r="K129" s="169">
        <f t="shared" si="19"/>
        <v>3.3487676684661358</v>
      </c>
      <c r="L129" s="164"/>
      <c r="M129" s="170">
        <f t="shared" si="20"/>
        <v>0.10082262590981077</v>
      </c>
      <c r="N129" s="164">
        <v>0.05</v>
      </c>
      <c r="O129" s="155">
        <f t="shared" si="21"/>
        <v>0.10692606010796815</v>
      </c>
      <c r="P129" s="155">
        <f t="shared" si="22"/>
        <v>0.10082262590981077</v>
      </c>
      <c r="Q129" s="155">
        <f t="shared" si="23"/>
        <v>0.16885227254048804</v>
      </c>
      <c r="R129" s="164"/>
      <c r="S129" s="164">
        <f t="shared" si="16"/>
        <v>-8.3438284708730062E-2</v>
      </c>
      <c r="T129" s="170">
        <f t="shared" si="24"/>
        <v>0.05</v>
      </c>
      <c r="U129" s="164"/>
      <c r="V129" s="171">
        <f>'Price Deck'!K123</f>
        <v>3.5331370034009049</v>
      </c>
      <c r="W129" s="169">
        <f t="shared" si="25"/>
        <v>3.3487676684661358</v>
      </c>
      <c r="X129" s="164"/>
      <c r="Y129" s="169">
        <f t="shared" si="26"/>
        <v>22021.305971527552</v>
      </c>
      <c r="Z129" s="247">
        <f t="shared" si="27"/>
        <v>0.05</v>
      </c>
      <c r="AA129" s="169">
        <f t="shared" si="28"/>
        <v>1101.0652985763777</v>
      </c>
      <c r="AB129" s="169">
        <f t="shared" si="29"/>
        <v>0.17665685017004526</v>
      </c>
    </row>
    <row r="130" spans="1:28">
      <c r="A130" s="164" t="str">
        <f>'Price Deck'!A124</f>
        <v>02/2029</v>
      </c>
      <c r="B130" s="51">
        <f>'Gas Type Curve'!A137</f>
        <v>8.9999999999999947</v>
      </c>
      <c r="C130" s="51">
        <f>'Gas Type Curve'!B137</f>
        <v>107.99999999999994</v>
      </c>
      <c r="D130" s="51">
        <f>'Gas Type Curve'!C137</f>
        <v>203.57186405547512</v>
      </c>
      <c r="E130" s="51">
        <f>'Gas Type Curve'!D137</f>
        <v>6191.9775316873684</v>
      </c>
      <c r="F130" s="51">
        <f>'Gas Type Curve'!E137</f>
        <v>1729568.9632777867</v>
      </c>
      <c r="G130" s="164"/>
      <c r="H130" s="51">
        <f t="shared" si="17"/>
        <v>175338.2277647912</v>
      </c>
      <c r="I130" s="164">
        <f t="shared" si="18"/>
        <v>175.33822776479118</v>
      </c>
      <c r="J130" s="164">
        <f t="shared" si="15"/>
        <v>6540.1158956267118</v>
      </c>
      <c r="K130" s="169">
        <f t="shared" si="19"/>
        <v>3.3043376890468554</v>
      </c>
      <c r="L130" s="164"/>
      <c r="M130" s="170">
        <f t="shared" si="20"/>
        <v>9.8934351784491351E-2</v>
      </c>
      <c r="N130" s="164">
        <v>0.05</v>
      </c>
      <c r="O130" s="155">
        <f t="shared" si="21"/>
        <v>0.10426026134281133</v>
      </c>
      <c r="P130" s="155">
        <f t="shared" si="22"/>
        <v>9.8934351784491351E-2</v>
      </c>
      <c r="Q130" s="155">
        <f t="shared" si="23"/>
        <v>0.16785259800355423</v>
      </c>
      <c r="R130" s="164"/>
      <c r="S130" s="164">
        <f t="shared" si="16"/>
        <v>-8.400886695252259E-2</v>
      </c>
      <c r="T130" s="170">
        <f t="shared" si="24"/>
        <v>0.05</v>
      </c>
      <c r="U130" s="164"/>
      <c r="V130" s="171">
        <f>'Price Deck'!K124</f>
        <v>3.4862608925781733</v>
      </c>
      <c r="W130" s="169">
        <f t="shared" si="25"/>
        <v>3.3043376890468554</v>
      </c>
      <c r="X130" s="164"/>
      <c r="Y130" s="169">
        <f t="shared" si="26"/>
        <v>21586.849116444399</v>
      </c>
      <c r="Z130" s="247">
        <f t="shared" si="27"/>
        <v>0.05</v>
      </c>
      <c r="AA130" s="169">
        <f t="shared" si="28"/>
        <v>1079.34245582222</v>
      </c>
      <c r="AB130" s="169">
        <f t="shared" si="29"/>
        <v>0.17431304462890868</v>
      </c>
    </row>
    <row r="131" spans="1:28">
      <c r="A131" s="164" t="str">
        <f>'Price Deck'!A125</f>
        <v>03/2029</v>
      </c>
      <c r="B131" s="51">
        <f>'Gas Type Curve'!A138</f>
        <v>9.0833333333333286</v>
      </c>
      <c r="C131" s="51">
        <f>'Gas Type Curve'!B138</f>
        <v>108.99999999999994</v>
      </c>
      <c r="D131" s="51">
        <f>'Gas Type Curve'!C138</f>
        <v>202.2510707838035</v>
      </c>
      <c r="E131" s="51">
        <f>'Gas Type Curve'!D138</f>
        <v>6151.8034030073568</v>
      </c>
      <c r="F131" s="51">
        <f>'Gas Type Curve'!E138</f>
        <v>1735720.7666807941</v>
      </c>
      <c r="G131" s="164"/>
      <c r="H131" s="51">
        <f t="shared" si="17"/>
        <v>174200.61696295929</v>
      </c>
      <c r="I131" s="164">
        <f t="shared" si="18"/>
        <v>174.20061696295929</v>
      </c>
      <c r="J131" s="164">
        <f t="shared" si="15"/>
        <v>6497.6830127183812</v>
      </c>
      <c r="K131" s="169">
        <f t="shared" si="19"/>
        <v>3.2218248701253365</v>
      </c>
      <c r="L131" s="164"/>
      <c r="M131" s="170">
        <f t="shared" si="20"/>
        <v>9.5427556980326789E-2</v>
      </c>
      <c r="N131" s="164">
        <v>0.05</v>
      </c>
      <c r="O131" s="155">
        <f t="shared" si="21"/>
        <v>9.9309492207520195E-2</v>
      </c>
      <c r="P131" s="155">
        <f t="shared" si="22"/>
        <v>9.5427556980326789E-2</v>
      </c>
      <c r="Q131" s="155">
        <f t="shared" si="23"/>
        <v>0.16599605957782004</v>
      </c>
      <c r="R131" s="164"/>
      <c r="S131" s="164">
        <f t="shared" si="16"/>
        <v>-8.4570505405387006E-2</v>
      </c>
      <c r="T131" s="170">
        <f t="shared" si="24"/>
        <v>0.05</v>
      </c>
      <c r="U131" s="164"/>
      <c r="V131" s="171">
        <f>'Price Deck'!K125</f>
        <v>3.3992052581931014</v>
      </c>
      <c r="W131" s="169">
        <f t="shared" si="25"/>
        <v>3.2218248701253365</v>
      </c>
      <c r="X131" s="164"/>
      <c r="Y131" s="169">
        <f t="shared" si="26"/>
        <v>20911.242474872823</v>
      </c>
      <c r="Z131" s="247">
        <f t="shared" si="27"/>
        <v>0.05</v>
      </c>
      <c r="AA131" s="169">
        <f t="shared" si="28"/>
        <v>1045.5621237436412</v>
      </c>
      <c r="AB131" s="169">
        <f t="shared" si="29"/>
        <v>0.1699602629096551</v>
      </c>
    </row>
    <row r="132" spans="1:28">
      <c r="A132" s="164" t="str">
        <f>'Price Deck'!A126</f>
        <v>04/2029</v>
      </c>
      <c r="B132" s="51">
        <f>'Gas Type Curve'!A139</f>
        <v>9.1666666666666625</v>
      </c>
      <c r="C132" s="51">
        <f>'Gas Type Curve'!B139</f>
        <v>109.99999999999994</v>
      </c>
      <c r="D132" s="51">
        <f>'Gas Type Curve'!C139</f>
        <v>200.95079228320145</v>
      </c>
      <c r="E132" s="51">
        <f>'Gas Type Curve'!D139</f>
        <v>6112.2532652807113</v>
      </c>
      <c r="F132" s="51">
        <f>'Gas Type Curve'!E139</f>
        <v>1741833.0199460748</v>
      </c>
      <c r="G132" s="164"/>
      <c r="H132" s="51">
        <f t="shared" si="17"/>
        <v>173080.6757129539</v>
      </c>
      <c r="I132" s="164">
        <f t="shared" si="18"/>
        <v>173.08067571295391</v>
      </c>
      <c r="J132" s="164">
        <f t="shared" si="15"/>
        <v>6455.909204093181</v>
      </c>
      <c r="K132" s="169">
        <f t="shared" si="19"/>
        <v>2.847343615019978</v>
      </c>
      <c r="L132" s="164"/>
      <c r="M132" s="170">
        <f t="shared" si="20"/>
        <v>7.6840616901198686E-2</v>
      </c>
      <c r="N132" s="164">
        <v>0.05</v>
      </c>
      <c r="O132" s="155">
        <f t="shared" si="21"/>
        <v>7.6840616901198686E-2</v>
      </c>
      <c r="P132" s="155">
        <f t="shared" si="22"/>
        <v>7.9512103638349055E-2</v>
      </c>
      <c r="Q132" s="155">
        <f t="shared" si="23"/>
        <v>0.15757023133794951</v>
      </c>
      <c r="R132" s="164"/>
      <c r="S132" s="164">
        <f t="shared" si="16"/>
        <v>-8.5123420400514654E-2</v>
      </c>
      <c r="T132" s="170">
        <f t="shared" si="24"/>
        <v>0.05</v>
      </c>
      <c r="U132" s="164"/>
      <c r="V132" s="171">
        <f>'Price Deck'!K126</f>
        <v>3.0041066098300804</v>
      </c>
      <c r="W132" s="169">
        <f t="shared" si="25"/>
        <v>2.847343615019978</v>
      </c>
      <c r="X132" s="164"/>
      <c r="Y132" s="169">
        <f t="shared" si="26"/>
        <v>18361.860435185277</v>
      </c>
      <c r="Z132" s="247">
        <f t="shared" si="27"/>
        <v>0.05</v>
      </c>
      <c r="AA132" s="169">
        <f t="shared" si="28"/>
        <v>918.09302175926393</v>
      </c>
      <c r="AB132" s="169">
        <f t="shared" si="29"/>
        <v>0.15020533049150403</v>
      </c>
    </row>
    <row r="133" spans="1:28">
      <c r="A133" s="164" t="str">
        <f>'Price Deck'!A127</f>
        <v>05/2029</v>
      </c>
      <c r="B133" s="51">
        <f>'Gas Type Curve'!A140</f>
        <v>9.2499999999999964</v>
      </c>
      <c r="C133" s="51">
        <f>'Gas Type Curve'!B140</f>
        <v>110.99999999999996</v>
      </c>
      <c r="D133" s="51">
        <f>'Gas Type Curve'!C140</f>
        <v>199.67052772477433</v>
      </c>
      <c r="E133" s="51">
        <f>'Gas Type Curve'!D140</f>
        <v>6073.3118849618859</v>
      </c>
      <c r="F133" s="51">
        <f>'Gas Type Curve'!E140</f>
        <v>1747906.3318310366</v>
      </c>
      <c r="G133" s="164"/>
      <c r="H133" s="51">
        <f t="shared" si="17"/>
        <v>171977.97264646573</v>
      </c>
      <c r="I133" s="164">
        <f t="shared" si="18"/>
        <v>171.97797264646573</v>
      </c>
      <c r="J133" s="164">
        <f t="shared" si="15"/>
        <v>6414.7783797131715</v>
      </c>
      <c r="K133" s="169">
        <f t="shared" si="19"/>
        <v>2.8194161993850018</v>
      </c>
      <c r="L133" s="164"/>
      <c r="M133" s="170">
        <f t="shared" si="20"/>
        <v>7.5164971963100111E-2</v>
      </c>
      <c r="N133" s="164">
        <v>0.05</v>
      </c>
      <c r="O133" s="155">
        <f t="shared" si="21"/>
        <v>7.5164971963100111E-2</v>
      </c>
      <c r="P133" s="155">
        <f t="shared" si="22"/>
        <v>7.8325188473862564E-2</v>
      </c>
      <c r="Q133" s="155">
        <f t="shared" si="23"/>
        <v>0.15694186448616254</v>
      </c>
      <c r="R133" s="164"/>
      <c r="S133" s="164">
        <f t="shared" si="16"/>
        <v>-8.5667824904439874E-2</v>
      </c>
      <c r="T133" s="170">
        <f t="shared" si="24"/>
        <v>0.05</v>
      </c>
      <c r="U133" s="164"/>
      <c r="V133" s="171">
        <f>'Price Deck'!K127</f>
        <v>2.9746416258843631</v>
      </c>
      <c r="W133" s="169">
        <f t="shared" si="25"/>
        <v>2.8194161993850018</v>
      </c>
      <c r="X133" s="164"/>
      <c r="Y133" s="169">
        <f t="shared" si="26"/>
        <v>18065.92633998585</v>
      </c>
      <c r="Z133" s="247">
        <f t="shared" si="27"/>
        <v>0.05</v>
      </c>
      <c r="AA133" s="169">
        <f t="shared" si="28"/>
        <v>903.29631699929257</v>
      </c>
      <c r="AB133" s="169">
        <f t="shared" si="29"/>
        <v>0.14873208129421817</v>
      </c>
    </row>
    <row r="134" spans="1:28">
      <c r="A134" s="164" t="str">
        <f>'Price Deck'!A128</f>
        <v>06/2029</v>
      </c>
      <c r="B134" s="51">
        <f>'Gas Type Curve'!A141</f>
        <v>9.3333333333333304</v>
      </c>
      <c r="C134" s="51">
        <f>'Gas Type Curve'!B141</f>
        <v>111.99999999999997</v>
      </c>
      <c r="D134" s="51">
        <f>'Gas Type Curve'!C141</f>
        <v>198.40979287471927</v>
      </c>
      <c r="E134" s="51">
        <f>'Gas Type Curve'!D141</f>
        <v>6034.9645332727114</v>
      </c>
      <c r="F134" s="51">
        <f>'Gas Type Curve'!E141</f>
        <v>1753941.2963643093</v>
      </c>
      <c r="G134" s="164"/>
      <c r="H134" s="51">
        <f t="shared" si="17"/>
        <v>170892.09068868335</v>
      </c>
      <c r="I134" s="164">
        <f t="shared" si="18"/>
        <v>170.89209068868337</v>
      </c>
      <c r="J134" s="164">
        <f t="shared" si="15"/>
        <v>6374.274982687889</v>
      </c>
      <c r="K134" s="169">
        <f t="shared" si="19"/>
        <v>2.8574990388872421</v>
      </c>
      <c r="L134" s="164"/>
      <c r="M134" s="170">
        <f t="shared" si="20"/>
        <v>7.7449942333234531E-2</v>
      </c>
      <c r="N134" s="164">
        <v>0.05</v>
      </c>
      <c r="O134" s="155">
        <f t="shared" si="21"/>
        <v>7.7449942333234531E-2</v>
      </c>
      <c r="P134" s="155">
        <f t="shared" si="22"/>
        <v>7.9943709152707779E-2</v>
      </c>
      <c r="Q134" s="155">
        <f t="shared" si="23"/>
        <v>0.15779872837496295</v>
      </c>
      <c r="R134" s="164"/>
      <c r="S134" s="164">
        <f t="shared" si="16"/>
        <v>-8.6203924826997028E-2</v>
      </c>
      <c r="T134" s="170">
        <f t="shared" si="24"/>
        <v>0.05</v>
      </c>
      <c r="U134" s="164"/>
      <c r="V134" s="171">
        <f>'Price Deck'!K128</f>
        <v>3.0148211494467048</v>
      </c>
      <c r="W134" s="169">
        <f t="shared" si="25"/>
        <v>2.8574990388872421</v>
      </c>
      <c r="X134" s="164"/>
      <c r="Y134" s="169">
        <f t="shared" si="26"/>
        <v>18194.33871107133</v>
      </c>
      <c r="Z134" s="247">
        <f t="shared" si="27"/>
        <v>0.05</v>
      </c>
      <c r="AA134" s="169">
        <f t="shared" si="28"/>
        <v>909.7169355535666</v>
      </c>
      <c r="AB134" s="169">
        <f t="shared" si="29"/>
        <v>0.15074105747233524</v>
      </c>
    </row>
    <row r="135" spans="1:28">
      <c r="A135" s="164" t="str">
        <f>'Price Deck'!A129</f>
        <v>07/2029</v>
      </c>
      <c r="B135" s="51">
        <f>'Gas Type Curve'!A142</f>
        <v>9.4166666666666643</v>
      </c>
      <c r="C135" s="51">
        <f>'Gas Type Curve'!B142</f>
        <v>112.99999999999997</v>
      </c>
      <c r="D135" s="51">
        <f>'Gas Type Curve'!C142</f>
        <v>197.16811940226239</v>
      </c>
      <c r="E135" s="51">
        <f>'Gas Type Curve'!D142</f>
        <v>5997.1969651521476</v>
      </c>
      <c r="F135" s="51">
        <f>'Gas Type Curve'!E142</f>
        <v>1759938.4933294614</v>
      </c>
      <c r="G135" s="164"/>
      <c r="H135" s="51">
        <f t="shared" si="17"/>
        <v>169822.62646221335</v>
      </c>
      <c r="I135" s="164">
        <f t="shared" si="18"/>
        <v>169.82262646221335</v>
      </c>
      <c r="J135" s="164">
        <f t="shared" si="15"/>
        <v>6334.3839670405578</v>
      </c>
      <c r="K135" s="169">
        <f t="shared" si="19"/>
        <v>2.9082761582235621</v>
      </c>
      <c r="L135" s="164"/>
      <c r="M135" s="170">
        <f t="shared" si="20"/>
        <v>8.049656949341373E-2</v>
      </c>
      <c r="N135" s="164">
        <v>0.05</v>
      </c>
      <c r="O135" s="155">
        <f t="shared" si="21"/>
        <v>8.049656949341373E-2</v>
      </c>
      <c r="P135" s="155">
        <f t="shared" si="22"/>
        <v>8.2101736724501384E-2</v>
      </c>
      <c r="Q135" s="155">
        <f t="shared" si="23"/>
        <v>0.15894121356003013</v>
      </c>
      <c r="R135" s="164"/>
      <c r="S135" s="164">
        <f t="shared" si="16"/>
        <v>-8.6731919315605269E-2</v>
      </c>
      <c r="T135" s="170">
        <f t="shared" si="24"/>
        <v>0.05</v>
      </c>
      <c r="U135" s="164"/>
      <c r="V135" s="171">
        <f>'Price Deck'!K129</f>
        <v>3.0683938475298262</v>
      </c>
      <c r="W135" s="169">
        <f t="shared" si="25"/>
        <v>2.9082761582235621</v>
      </c>
      <c r="X135" s="164"/>
      <c r="Y135" s="169">
        <f t="shared" si="26"/>
        <v>18401.762270297397</v>
      </c>
      <c r="Z135" s="247">
        <f t="shared" si="27"/>
        <v>0.05</v>
      </c>
      <c r="AA135" s="169">
        <f t="shared" si="28"/>
        <v>920.08811351486986</v>
      </c>
      <c r="AB135" s="169">
        <f t="shared" si="29"/>
        <v>0.15341969237649133</v>
      </c>
    </row>
    <row r="136" spans="1:28">
      <c r="A136" s="164" t="str">
        <f>'Price Deck'!A130</f>
        <v>08/2029</v>
      </c>
      <c r="B136" s="51">
        <f>'Gas Type Curve'!A143</f>
        <v>9.4999999999999982</v>
      </c>
      <c r="C136" s="51">
        <f>'Gas Type Curve'!B143</f>
        <v>113.99999999999997</v>
      </c>
      <c r="D136" s="51">
        <f>'Gas Type Curve'!C143</f>
        <v>195.94505422228104</v>
      </c>
      <c r="E136" s="51">
        <f>'Gas Type Curve'!D143</f>
        <v>5959.995399261049</v>
      </c>
      <c r="F136" s="51">
        <f>'Gas Type Curve'!E143</f>
        <v>1765898.4887287226</v>
      </c>
      <c r="G136" s="164"/>
      <c r="H136" s="51">
        <f t="shared" si="17"/>
        <v>168769.18972087512</v>
      </c>
      <c r="I136" s="164">
        <f t="shared" si="18"/>
        <v>168.76918972087512</v>
      </c>
      <c r="J136" s="164">
        <f t="shared" si="15"/>
        <v>6295.0907765886423</v>
      </c>
      <c r="K136" s="169">
        <f t="shared" si="19"/>
        <v>2.9590532775598817</v>
      </c>
      <c r="L136" s="164"/>
      <c r="M136" s="170">
        <f t="shared" si="20"/>
        <v>8.3543196653592916E-2</v>
      </c>
      <c r="N136" s="164">
        <v>0.05</v>
      </c>
      <c r="O136" s="155">
        <f t="shared" si="21"/>
        <v>8.3543196653592916E-2</v>
      </c>
      <c r="P136" s="155">
        <f t="shared" si="22"/>
        <v>8.4259764296294962E-2</v>
      </c>
      <c r="Q136" s="155">
        <f t="shared" si="23"/>
        <v>0.16008369874509731</v>
      </c>
      <c r="R136" s="164"/>
      <c r="S136" s="164">
        <f t="shared" si="16"/>
        <v>-8.7252001034803961E-2</v>
      </c>
      <c r="T136" s="170">
        <f t="shared" si="24"/>
        <v>0.05</v>
      </c>
      <c r="U136" s="164"/>
      <c r="V136" s="171">
        <f>'Price Deck'!K130</f>
        <v>3.1219665456129477</v>
      </c>
      <c r="W136" s="169">
        <f t="shared" si="25"/>
        <v>2.9590532775598817</v>
      </c>
      <c r="X136" s="164"/>
      <c r="Y136" s="169">
        <f t="shared" si="26"/>
        <v>18606.90624850008</v>
      </c>
      <c r="Z136" s="247">
        <f t="shared" si="27"/>
        <v>0.05</v>
      </c>
      <c r="AA136" s="169">
        <f t="shared" si="28"/>
        <v>930.34531242500407</v>
      </c>
      <c r="AB136" s="169">
        <f t="shared" si="29"/>
        <v>0.1560983272806474</v>
      </c>
    </row>
    <row r="137" spans="1:28">
      <c r="A137" s="164" t="str">
        <f>'Price Deck'!A131</f>
        <v>09/2029</v>
      </c>
      <c r="B137" s="51">
        <f>'Gas Type Curve'!A144</f>
        <v>9.5833333333333321</v>
      </c>
      <c r="C137" s="51">
        <f>'Gas Type Curve'!B144</f>
        <v>114.99999999999999</v>
      </c>
      <c r="D137" s="51">
        <f>'Gas Type Curve'!C144</f>
        <v>194.74015887058908</v>
      </c>
      <c r="E137" s="51">
        <f>'Gas Type Curve'!D144</f>
        <v>5923.3464989804179</v>
      </c>
      <c r="F137" s="51">
        <f>'Gas Type Curve'!E144</f>
        <v>1771821.835227703</v>
      </c>
      <c r="G137" s="164"/>
      <c r="H137" s="51">
        <f t="shared" si="17"/>
        <v>167731.40281162848</v>
      </c>
      <c r="I137" s="164">
        <f t="shared" si="18"/>
        <v>167.73140281162847</v>
      </c>
      <c r="J137" s="164">
        <f t="shared" si="15"/>
        <v>6256.3813248737424</v>
      </c>
      <c r="K137" s="169">
        <f t="shared" si="19"/>
        <v>2.9780946973110014</v>
      </c>
      <c r="L137" s="164"/>
      <c r="M137" s="170">
        <f t="shared" si="20"/>
        <v>8.4685681838660098E-2</v>
      </c>
      <c r="N137" s="164">
        <v>0.05</v>
      </c>
      <c r="O137" s="155">
        <f t="shared" si="21"/>
        <v>8.4685681838660098E-2</v>
      </c>
      <c r="P137" s="155">
        <f t="shared" si="22"/>
        <v>8.5069024635717555E-2</v>
      </c>
      <c r="Q137" s="155">
        <f t="shared" si="23"/>
        <v>0.16051213068949752</v>
      </c>
      <c r="R137" s="164"/>
      <c r="S137" s="164">
        <f t="shared" si="16"/>
        <v>-8.7764356431899032E-2</v>
      </c>
      <c r="T137" s="170">
        <f t="shared" si="24"/>
        <v>0.05</v>
      </c>
      <c r="U137" s="164"/>
      <c r="V137" s="171">
        <f>'Price Deck'!K131</f>
        <v>3.1420563073941179</v>
      </c>
      <c r="W137" s="169">
        <f t="shared" si="25"/>
        <v>2.9780946973110014</v>
      </c>
      <c r="X137" s="164"/>
      <c r="Y137" s="169">
        <f t="shared" si="26"/>
        <v>18611.488228002287</v>
      </c>
      <c r="Z137" s="247">
        <f t="shared" si="27"/>
        <v>0.05</v>
      </c>
      <c r="AA137" s="169">
        <f t="shared" si="28"/>
        <v>930.5744114001144</v>
      </c>
      <c r="AB137" s="169">
        <f t="shared" si="29"/>
        <v>0.15710281536970588</v>
      </c>
    </row>
    <row r="138" spans="1:28">
      <c r="A138" s="164" t="str">
        <f>'Price Deck'!A132</f>
        <v>10/2029</v>
      </c>
      <c r="B138" s="51">
        <f>'Gas Type Curve'!A145</f>
        <v>9.6666666666666661</v>
      </c>
      <c r="C138" s="51">
        <f>'Gas Type Curve'!B145</f>
        <v>116</v>
      </c>
      <c r="D138" s="51">
        <f>'Gas Type Curve'!C145</f>
        <v>193.55300890999069</v>
      </c>
      <c r="E138" s="51">
        <f>'Gas Type Curve'!D145</f>
        <v>5887.2373543455506</v>
      </c>
      <c r="F138" s="51">
        <f>'Gas Type Curve'!E145</f>
        <v>1777709.0725820486</v>
      </c>
      <c r="G138" s="164"/>
      <c r="H138" s="51">
        <f t="shared" si="17"/>
        <v>166708.90016300295</v>
      </c>
      <c r="I138" s="164">
        <f t="shared" si="18"/>
        <v>166.70890016300297</v>
      </c>
      <c r="J138" s="164">
        <f t="shared" si="15"/>
        <v>6218.2419760800103</v>
      </c>
      <c r="K138" s="169">
        <f t="shared" si="19"/>
        <v>3.0364883845477695</v>
      </c>
      <c r="L138" s="164"/>
      <c r="M138" s="170">
        <f t="shared" si="20"/>
        <v>8.7550756343280189E-2</v>
      </c>
      <c r="N138" s="164">
        <v>0.05</v>
      </c>
      <c r="O138" s="155">
        <f t="shared" si="21"/>
        <v>8.8189303072866182E-2</v>
      </c>
      <c r="P138" s="155">
        <f t="shared" si="22"/>
        <v>8.7550756343280189E-2</v>
      </c>
      <c r="Q138" s="155">
        <f t="shared" si="23"/>
        <v>0.16182598865232481</v>
      </c>
      <c r="R138" s="164"/>
      <c r="S138" s="164">
        <f t="shared" si="16"/>
        <v>-8.8269165989525444E-2</v>
      </c>
      <c r="T138" s="170">
        <f t="shared" si="24"/>
        <v>0.05</v>
      </c>
      <c r="U138" s="164"/>
      <c r="V138" s="171">
        <f>'Price Deck'!K132</f>
        <v>3.2036649101897083</v>
      </c>
      <c r="W138" s="169">
        <f t="shared" si="25"/>
        <v>3.0364883845477695</v>
      </c>
      <c r="X138" s="164"/>
      <c r="Y138" s="169">
        <f t="shared" si="26"/>
        <v>18860.735730074935</v>
      </c>
      <c r="Z138" s="247">
        <f t="shared" si="27"/>
        <v>0.05</v>
      </c>
      <c r="AA138" s="169">
        <f t="shared" si="28"/>
        <v>943.03678650374684</v>
      </c>
      <c r="AB138" s="169">
        <f t="shared" si="29"/>
        <v>0.16018324550948543</v>
      </c>
    </row>
    <row r="139" spans="1:28">
      <c r="A139" s="164" t="str">
        <f>'Price Deck'!A133</f>
        <v>11/2029</v>
      </c>
      <c r="B139" s="51">
        <f>'Gas Type Curve'!A146</f>
        <v>9.75</v>
      </c>
      <c r="C139" s="51">
        <f>'Gas Type Curve'!B146</f>
        <v>117</v>
      </c>
      <c r="D139" s="51">
        <f>'Gas Type Curve'!C146</f>
        <v>192.38319336533851</v>
      </c>
      <c r="E139" s="51">
        <f>'Gas Type Curve'!D146</f>
        <v>5851.6554648623796</v>
      </c>
      <c r="F139" s="51">
        <f>'Gas Type Curve'!E146</f>
        <v>1783560.7280469111</v>
      </c>
      <c r="G139" s="164"/>
      <c r="H139" s="51">
        <f t="shared" si="17"/>
        <v>165701.32779850799</v>
      </c>
      <c r="I139" s="164">
        <f t="shared" si="18"/>
        <v>165.701327798508</v>
      </c>
      <c r="J139" s="164">
        <f t="shared" ref="J139:J202" si="30">H139*$E$2</f>
        <v>6180.6595268843485</v>
      </c>
      <c r="K139" s="169">
        <f t="shared" si="19"/>
        <v>3.127887199353145</v>
      </c>
      <c r="L139" s="164"/>
      <c r="M139" s="170">
        <f t="shared" si="20"/>
        <v>9.1435205972508649E-2</v>
      </c>
      <c r="N139" s="164">
        <v>0.05</v>
      </c>
      <c r="O139" s="155">
        <f t="shared" si="21"/>
        <v>9.3673231961188708E-2</v>
      </c>
      <c r="P139" s="155">
        <f t="shared" si="22"/>
        <v>9.1435205972508649E-2</v>
      </c>
      <c r="Q139" s="155">
        <f t="shared" si="23"/>
        <v>0.16388246198544576</v>
      </c>
      <c r="R139" s="164"/>
      <c r="S139" s="164">
        <f t="shared" ref="S139:S202" si="31">IF(I139&gt;$C$2,0, ((I139-$C$2)*0.0004937))</f>
        <v>-8.87666044658766E-2</v>
      </c>
      <c r="T139" s="170">
        <f t="shared" si="24"/>
        <v>0.05</v>
      </c>
      <c r="U139" s="164"/>
      <c r="V139" s="171">
        <f>'Price Deck'!K133</f>
        <v>3.3000957667393265</v>
      </c>
      <c r="W139" s="169">
        <f t="shared" si="25"/>
        <v>3.127887199353145</v>
      </c>
      <c r="X139" s="164"/>
      <c r="Y139" s="169">
        <f t="shared" si="26"/>
        <v>19311.023428009386</v>
      </c>
      <c r="Z139" s="247">
        <f t="shared" si="27"/>
        <v>0.05</v>
      </c>
      <c r="AA139" s="169">
        <f t="shared" si="28"/>
        <v>965.55117140046934</v>
      </c>
      <c r="AB139" s="169">
        <f t="shared" si="29"/>
        <v>0.16500478833696633</v>
      </c>
    </row>
    <row r="140" spans="1:28">
      <c r="A140" s="164" t="str">
        <f>'Price Deck'!A134</f>
        <v>12/2029</v>
      </c>
      <c r="B140" s="51">
        <f>'Gas Type Curve'!A147</f>
        <v>9.8333333333333339</v>
      </c>
      <c r="C140" s="51">
        <f>'Gas Type Curve'!B147</f>
        <v>118</v>
      </c>
      <c r="D140" s="51">
        <f>'Gas Type Curve'!C147</f>
        <v>191.23031418594687</v>
      </c>
      <c r="E140" s="51">
        <f>'Gas Type Curve'!D147</f>
        <v>5816.5887231558845</v>
      </c>
      <c r="F140" s="51">
        <f>'Gas Type Curve'!E147</f>
        <v>1789377.316770067</v>
      </c>
      <c r="G140" s="164"/>
      <c r="H140" s="51">
        <f t="shared" ref="H140:H203" si="32">E140*1000*$D$2</f>
        <v>164708.34287360517</v>
      </c>
      <c r="I140" s="164">
        <f t="shared" ref="I140:I203" si="33">H140/1000</f>
        <v>164.70834287360518</v>
      </c>
      <c r="J140" s="164">
        <f t="shared" si="30"/>
        <v>6143.6211891854728</v>
      </c>
      <c r="K140" s="169">
        <f t="shared" ref="K140:K203" si="34">W140</f>
        <v>3.3208402528311596</v>
      </c>
      <c r="L140" s="164"/>
      <c r="M140" s="170">
        <f t="shared" ref="M140:M203" si="35">MIN(IF(K140&gt;$M$4,Q140,IF(K140&gt;$L$4,P140,IF(K140&gt;$K$4,O140,N140))),0.36)</f>
        <v>9.9635710745324277E-2</v>
      </c>
      <c r="N140" s="164">
        <v>0.05</v>
      </c>
      <c r="O140" s="155">
        <f t="shared" ref="O140:O203" si="36">((K140-$K$4)*0.06+0.05)</f>
        <v>0.10525041516986958</v>
      </c>
      <c r="P140" s="155">
        <f t="shared" ref="P140:P203" si="37">((K140-$L$4)*0.0425+0.086)</f>
        <v>9.9635710745324277E-2</v>
      </c>
      <c r="Q140" s="155">
        <f t="shared" ref="Q140:Q203" si="38">((K140-$M$4)*0.0225+0.24538)</f>
        <v>0.16822390568870108</v>
      </c>
      <c r="R140" s="164"/>
      <c r="S140" s="164">
        <f t="shared" si="31"/>
        <v>-8.9256841123301123E-2</v>
      </c>
      <c r="T140" s="170">
        <f t="shared" ref="T140:T203" si="39">MAX(S140+M140,0.05)</f>
        <v>0.05</v>
      </c>
      <c r="U140" s="164"/>
      <c r="V140" s="171">
        <f>'Price Deck'!K134</f>
        <v>3.5036720194551876</v>
      </c>
      <c r="W140" s="169">
        <f t="shared" ref="W140:W203" si="40">V140*$P$2</f>
        <v>3.3208402528311596</v>
      </c>
      <c r="X140" s="164"/>
      <c r="Y140" s="169">
        <f t="shared" ref="Y140:Y203" si="41">V140*E140</f>
        <v>20379.419157999848</v>
      </c>
      <c r="Z140" s="247">
        <f t="shared" ref="Z140:Z203" si="42">IF(C140&lt;$A$5,0.05,T140)</f>
        <v>0.05</v>
      </c>
      <c r="AA140" s="169">
        <f t="shared" ref="AA140:AA203" si="43">+Z140*Y140</f>
        <v>1018.9709578999924</v>
      </c>
      <c r="AB140" s="169">
        <f t="shared" ref="AB140:AB203" si="44">AA140/E140</f>
        <v>0.17518360097275937</v>
      </c>
    </row>
    <row r="141" spans="1:28">
      <c r="A141" s="164" t="str">
        <f>'Price Deck'!A135</f>
        <v>01/2030</v>
      </c>
      <c r="B141" s="51">
        <f>'Gas Type Curve'!A148</f>
        <v>9.9166666666666679</v>
      </c>
      <c r="C141" s="51">
        <f>'Gas Type Curve'!B148</f>
        <v>119.00000000000001</v>
      </c>
      <c r="D141" s="51">
        <f>'Gas Type Curve'!C148</f>
        <v>190.09398573381407</v>
      </c>
      <c r="E141" s="51">
        <f>'Gas Type Curve'!D148</f>
        <v>5782.0253994035111</v>
      </c>
      <c r="F141" s="51">
        <f>'Gas Type Curve'!E148</f>
        <v>1795159.3421694704</v>
      </c>
      <c r="G141" s="164"/>
      <c r="H141" s="51">
        <f t="shared" si="32"/>
        <v>163729.61323490919</v>
      </c>
      <c r="I141" s="164">
        <f t="shared" si="33"/>
        <v>163.72961323490918</v>
      </c>
      <c r="J141" s="164">
        <f t="shared" si="30"/>
        <v>6107.1145736621129</v>
      </c>
      <c r="K141" s="169">
        <f t="shared" si="34"/>
        <v>3.4858658906741988</v>
      </c>
      <c r="L141" s="164"/>
      <c r="M141" s="170">
        <f t="shared" si="35"/>
        <v>0.10664930035365344</v>
      </c>
      <c r="N141" s="164">
        <v>0.05</v>
      </c>
      <c r="O141" s="155">
        <f t="shared" si="36"/>
        <v>0.11515195344045194</v>
      </c>
      <c r="P141" s="155">
        <f t="shared" si="37"/>
        <v>0.10664930035365344</v>
      </c>
      <c r="Q141" s="155">
        <f t="shared" si="38"/>
        <v>0.17193698254016948</v>
      </c>
      <c r="R141" s="164"/>
      <c r="S141" s="164">
        <f t="shared" si="31"/>
        <v>-8.9740039945925346E-2</v>
      </c>
      <c r="T141" s="170">
        <f t="shared" si="39"/>
        <v>0.05</v>
      </c>
      <c r="U141" s="164"/>
      <c r="V141" s="171">
        <f>'Price Deck'!K135</f>
        <v>3.6777832882253327</v>
      </c>
      <c r="W141" s="169">
        <f t="shared" si="40"/>
        <v>3.4858658906741988</v>
      </c>
      <c r="X141" s="164"/>
      <c r="Y141" s="169">
        <f t="shared" si="41"/>
        <v>21265.036386020638</v>
      </c>
      <c r="Z141" s="247">
        <f t="shared" si="42"/>
        <v>0.05</v>
      </c>
      <c r="AA141" s="169">
        <f t="shared" si="43"/>
        <v>1063.2518193010319</v>
      </c>
      <c r="AB141" s="169">
        <f t="shared" si="44"/>
        <v>0.18388916441126663</v>
      </c>
    </row>
    <row r="142" spans="1:28">
      <c r="A142" s="164" t="str">
        <f>'Price Deck'!A136</f>
        <v>02/2030</v>
      </c>
      <c r="B142" s="51">
        <f>'Gas Type Curve'!A149</f>
        <v>10.000000000000002</v>
      </c>
      <c r="C142" s="51">
        <f>'Gas Type Curve'!B149</f>
        <v>120.00000000000003</v>
      </c>
      <c r="D142" s="51">
        <f>'Gas Type Curve'!C149</f>
        <v>188.97383429621172</v>
      </c>
      <c r="E142" s="51">
        <f>'Gas Type Curve'!D149</f>
        <v>5747.9541265097732</v>
      </c>
      <c r="F142" s="51">
        <f>'Gas Type Curve'!E149</f>
        <v>1800907.2962959802</v>
      </c>
      <c r="G142" s="164"/>
      <c r="H142" s="51">
        <f t="shared" si="32"/>
        <v>162764.81700037725</v>
      </c>
      <c r="I142" s="164">
        <f t="shared" si="33"/>
        <v>162.76481700037726</v>
      </c>
      <c r="J142" s="164">
        <f t="shared" si="30"/>
        <v>6071.1276741140719</v>
      </c>
      <c r="K142" s="169">
        <f t="shared" si="34"/>
        <v>3.4414359112549193</v>
      </c>
      <c r="L142" s="164"/>
      <c r="M142" s="170">
        <f t="shared" si="35"/>
        <v>0.10476102622833407</v>
      </c>
      <c r="N142" s="164">
        <v>0.05</v>
      </c>
      <c r="O142" s="155">
        <f t="shared" si="36"/>
        <v>0.11248615467529516</v>
      </c>
      <c r="P142" s="155">
        <f t="shared" si="37"/>
        <v>0.10476102622833407</v>
      </c>
      <c r="Q142" s="155">
        <f t="shared" si="38"/>
        <v>0.17093730800323567</v>
      </c>
      <c r="R142" s="164"/>
      <c r="S142" s="164">
        <f t="shared" si="31"/>
        <v>-9.0216359846913743E-2</v>
      </c>
      <c r="T142" s="170">
        <f t="shared" si="39"/>
        <v>0.05</v>
      </c>
      <c r="U142" s="164"/>
      <c r="V142" s="171">
        <f>'Price Deck'!K136</f>
        <v>3.6309071774026016</v>
      </c>
      <c r="W142" s="169">
        <f t="shared" si="40"/>
        <v>3.4414359112549193</v>
      </c>
      <c r="X142" s="164"/>
      <c r="Y142" s="169">
        <f t="shared" si="41"/>
        <v>20870.287893325236</v>
      </c>
      <c r="Z142" s="247">
        <f t="shared" si="42"/>
        <v>0.05</v>
      </c>
      <c r="AA142" s="169">
        <f t="shared" si="43"/>
        <v>1043.5143946662618</v>
      </c>
      <c r="AB142" s="169">
        <f t="shared" si="44"/>
        <v>0.18154535887013007</v>
      </c>
    </row>
    <row r="143" spans="1:28">
      <c r="A143" s="164" t="str">
        <f>'Price Deck'!A137</f>
        <v>03/2030</v>
      </c>
      <c r="B143" s="51">
        <f>'Gas Type Curve'!A150</f>
        <v>10.083333333333336</v>
      </c>
      <c r="C143" s="51">
        <f>'Gas Type Curve'!B150</f>
        <v>121.00000000000003</v>
      </c>
      <c r="D143" s="51">
        <f>'Gas Type Curve'!C150</f>
        <v>187.86949762128711</v>
      </c>
      <c r="E143" s="51">
        <f>'Gas Type Curve'!D150</f>
        <v>5714.3638859808161</v>
      </c>
      <c r="F143" s="51">
        <f>'Gas Type Curve'!E150</f>
        <v>1806621.660181961</v>
      </c>
      <c r="G143" s="164"/>
      <c r="H143" s="51">
        <f t="shared" si="32"/>
        <v>161813.64215931878</v>
      </c>
      <c r="I143" s="164">
        <f t="shared" si="33"/>
        <v>161.81364215931879</v>
      </c>
      <c r="J143" s="164">
        <f t="shared" si="30"/>
        <v>6035.6488525425902</v>
      </c>
      <c r="K143" s="169">
        <f t="shared" si="34"/>
        <v>3.3589230923333999</v>
      </c>
      <c r="L143" s="164"/>
      <c r="M143" s="170">
        <f t="shared" si="35"/>
        <v>0.10125423142416949</v>
      </c>
      <c r="N143" s="164">
        <v>0.05</v>
      </c>
      <c r="O143" s="155">
        <f t="shared" si="36"/>
        <v>0.107535385540004</v>
      </c>
      <c r="P143" s="155">
        <f t="shared" si="37"/>
        <v>0.10125423142416949</v>
      </c>
      <c r="Q143" s="155">
        <f t="shared" si="38"/>
        <v>0.16908076957750148</v>
      </c>
      <c r="R143" s="164"/>
      <c r="S143" s="164">
        <f t="shared" si="31"/>
        <v>-9.0685954865944315E-2</v>
      </c>
      <c r="T143" s="170">
        <f t="shared" si="39"/>
        <v>0.05</v>
      </c>
      <c r="U143" s="164"/>
      <c r="V143" s="171">
        <f>'Price Deck'!K137</f>
        <v>3.5438515430175292</v>
      </c>
      <c r="W143" s="169">
        <f t="shared" si="40"/>
        <v>3.3589230923333999</v>
      </c>
      <c r="X143" s="164"/>
      <c r="Y143" s="169">
        <f t="shared" si="41"/>
        <v>20250.857274696758</v>
      </c>
      <c r="Z143" s="247">
        <f t="shared" si="42"/>
        <v>0.05</v>
      </c>
      <c r="AA143" s="169">
        <f t="shared" si="43"/>
        <v>1012.542863734838</v>
      </c>
      <c r="AB143" s="169">
        <f t="shared" si="44"/>
        <v>0.17719257715087647</v>
      </c>
    </row>
    <row r="144" spans="1:28">
      <c r="A144" s="164" t="str">
        <f>'Price Deck'!A138</f>
        <v>04/2030</v>
      </c>
      <c r="B144" s="51">
        <f>'Gas Type Curve'!A151</f>
        <v>10.16666666666667</v>
      </c>
      <c r="C144" s="51">
        <f>'Gas Type Curve'!B151</f>
        <v>122.00000000000003</v>
      </c>
      <c r="D144" s="51">
        <f>'Gas Type Curve'!C151</f>
        <v>186.78062447541461</v>
      </c>
      <c r="E144" s="51">
        <f>'Gas Type Curve'!D151</f>
        <v>5681.2439944605276</v>
      </c>
      <c r="F144" s="51">
        <f>'Gas Type Curve'!E151</f>
        <v>1812302.9041764215</v>
      </c>
      <c r="G144" s="164"/>
      <c r="H144" s="51">
        <f t="shared" si="32"/>
        <v>160875.78619113876</v>
      </c>
      <c r="I144" s="164">
        <f t="shared" si="33"/>
        <v>160.87578619113876</v>
      </c>
      <c r="J144" s="164">
        <f t="shared" si="30"/>
        <v>6000.6668249294753</v>
      </c>
      <c r="K144" s="169">
        <f t="shared" si="34"/>
        <v>2.9692087014271458</v>
      </c>
      <c r="L144" s="164"/>
      <c r="M144" s="170">
        <f t="shared" si="35"/>
        <v>8.4152522085628761E-2</v>
      </c>
      <c r="N144" s="164">
        <v>0.05</v>
      </c>
      <c r="O144" s="155">
        <f t="shared" si="36"/>
        <v>8.4152522085628761E-2</v>
      </c>
      <c r="P144" s="155">
        <f t="shared" si="37"/>
        <v>8.4691369810653686E-2</v>
      </c>
      <c r="Q144" s="155">
        <f t="shared" si="38"/>
        <v>0.16031219578211076</v>
      </c>
      <c r="R144" s="164"/>
      <c r="S144" s="164">
        <f t="shared" si="31"/>
        <v>-9.1148974357434798E-2</v>
      </c>
      <c r="T144" s="170">
        <f t="shared" si="39"/>
        <v>0.05</v>
      </c>
      <c r="U144" s="164"/>
      <c r="V144" s="171">
        <f>'Price Deck'!K138</f>
        <v>3.1326810852295721</v>
      </c>
      <c r="W144" s="169">
        <f t="shared" si="40"/>
        <v>2.9692087014271458</v>
      </c>
      <c r="X144" s="164"/>
      <c r="Y144" s="169">
        <f t="shared" si="41"/>
        <v>17797.525602020596</v>
      </c>
      <c r="Z144" s="247">
        <f t="shared" si="42"/>
        <v>0.05</v>
      </c>
      <c r="AA144" s="169">
        <f t="shared" si="43"/>
        <v>889.87628010102981</v>
      </c>
      <c r="AB144" s="169">
        <f t="shared" si="44"/>
        <v>0.15663405426147861</v>
      </c>
    </row>
    <row r="145" spans="1:28">
      <c r="A145" s="164" t="str">
        <f>'Price Deck'!A139</f>
        <v>05/2030</v>
      </c>
      <c r="B145" s="51">
        <f>'Gas Type Curve'!A152</f>
        <v>10.250000000000004</v>
      </c>
      <c r="C145" s="51">
        <f>'Gas Type Curve'!B152</f>
        <v>123.00000000000004</v>
      </c>
      <c r="D145" s="51">
        <f>'Gas Type Curve'!C152</f>
        <v>185.70687422110572</v>
      </c>
      <c r="E145" s="51">
        <f>'Gas Type Curve'!D152</f>
        <v>5648.5840908919663</v>
      </c>
      <c r="F145" s="51">
        <f>'Gas Type Curve'!E152</f>
        <v>1817951.4882673135</v>
      </c>
      <c r="G145" s="164"/>
      <c r="H145" s="51">
        <f t="shared" si="32"/>
        <v>159950.95570178781</v>
      </c>
      <c r="I145" s="164">
        <f t="shared" si="33"/>
        <v>159.95095570178782</v>
      </c>
      <c r="J145" s="164">
        <f t="shared" si="30"/>
        <v>5966.1706476766849</v>
      </c>
      <c r="K145" s="169">
        <f t="shared" si="34"/>
        <v>2.9412812857921695</v>
      </c>
      <c r="L145" s="164"/>
      <c r="M145" s="170">
        <f t="shared" si="35"/>
        <v>8.2476877147530187E-2</v>
      </c>
      <c r="N145" s="164">
        <v>0.05</v>
      </c>
      <c r="O145" s="155">
        <f t="shared" si="36"/>
        <v>8.2476877147530187E-2</v>
      </c>
      <c r="P145" s="155">
        <f t="shared" si="37"/>
        <v>8.3504454646167195E-2</v>
      </c>
      <c r="Q145" s="155">
        <f t="shared" si="38"/>
        <v>0.15968382893032379</v>
      </c>
      <c r="R145" s="164"/>
      <c r="S145" s="164">
        <f t="shared" si="31"/>
        <v>-9.1605563170027354E-2</v>
      </c>
      <c r="T145" s="170">
        <f t="shared" si="39"/>
        <v>0.05</v>
      </c>
      <c r="U145" s="164"/>
      <c r="V145" s="171">
        <f>'Price Deck'!K139</f>
        <v>3.1032161012838548</v>
      </c>
      <c r="W145" s="169">
        <f t="shared" si="40"/>
        <v>2.9412812857921695</v>
      </c>
      <c r="X145" s="164"/>
      <c r="Y145" s="169">
        <f t="shared" si="41"/>
        <v>17528.777100311774</v>
      </c>
      <c r="Z145" s="247">
        <f t="shared" si="42"/>
        <v>0.05</v>
      </c>
      <c r="AA145" s="169">
        <f t="shared" si="43"/>
        <v>876.43885501558873</v>
      </c>
      <c r="AB145" s="169">
        <f t="shared" si="44"/>
        <v>0.15516080506419275</v>
      </c>
    </row>
    <row r="146" spans="1:28">
      <c r="A146" s="164" t="str">
        <f>'Price Deck'!A140</f>
        <v>06/2030</v>
      </c>
      <c r="B146" s="51">
        <f>'Gas Type Curve'!A153</f>
        <v>10.333333333333337</v>
      </c>
      <c r="C146" s="51">
        <f>'Gas Type Curve'!B153</f>
        <v>124.00000000000006</v>
      </c>
      <c r="D146" s="51">
        <f>'Gas Type Curve'!C153</f>
        <v>184.6479164143671</v>
      </c>
      <c r="E146" s="51">
        <f>'Gas Type Curve'!D153</f>
        <v>5616.3741242703327</v>
      </c>
      <c r="F146" s="51">
        <f>'Gas Type Curve'!E153</f>
        <v>1823567.8623915839</v>
      </c>
      <c r="G146" s="164"/>
      <c r="H146" s="51">
        <f t="shared" si="32"/>
        <v>159038.86607696302</v>
      </c>
      <c r="I146" s="164">
        <f t="shared" si="33"/>
        <v>159.03886607696302</v>
      </c>
      <c r="J146" s="164">
        <f t="shared" si="30"/>
        <v>5932.1497046707209</v>
      </c>
      <c r="K146" s="169">
        <f t="shared" si="34"/>
        <v>2.9857112652114495</v>
      </c>
      <c r="L146" s="164"/>
      <c r="M146" s="170">
        <f t="shared" si="35"/>
        <v>8.5142675912686983E-2</v>
      </c>
      <c r="N146" s="164">
        <v>0.05</v>
      </c>
      <c r="O146" s="155">
        <f t="shared" si="36"/>
        <v>8.5142675912686983E-2</v>
      </c>
      <c r="P146" s="155">
        <f t="shared" si="37"/>
        <v>8.5392728771486598E-2</v>
      </c>
      <c r="Q146" s="155">
        <f t="shared" si="38"/>
        <v>0.1606835034672576</v>
      </c>
      <c r="R146" s="164"/>
      <c r="S146" s="164">
        <f t="shared" si="31"/>
        <v>-9.2055861817803356E-2</v>
      </c>
      <c r="T146" s="170">
        <f t="shared" si="39"/>
        <v>0.05</v>
      </c>
      <c r="U146" s="164"/>
      <c r="V146" s="171">
        <f>'Price Deck'!K140</f>
        <v>3.1500922121065864</v>
      </c>
      <c r="W146" s="169">
        <f t="shared" si="40"/>
        <v>2.9857112652114495</v>
      </c>
      <c r="X146" s="164"/>
      <c r="Y146" s="169">
        <f t="shared" si="41"/>
        <v>17692.096389140923</v>
      </c>
      <c r="Z146" s="247">
        <f t="shared" si="42"/>
        <v>0.05</v>
      </c>
      <c r="AA146" s="169">
        <f t="shared" si="43"/>
        <v>884.60481945704623</v>
      </c>
      <c r="AB146" s="169">
        <f t="shared" si="44"/>
        <v>0.15750461060532933</v>
      </c>
    </row>
    <row r="147" spans="1:28">
      <c r="A147" s="164" t="str">
        <f>'Price Deck'!A141</f>
        <v>07/2030</v>
      </c>
      <c r="B147" s="51">
        <f>'Gas Type Curve'!A154</f>
        <v>10.416666666666671</v>
      </c>
      <c r="C147" s="51">
        <f>'Gas Type Curve'!B154</f>
        <v>125.00000000000006</v>
      </c>
      <c r="D147" s="51">
        <f>'Gas Type Curve'!C154</f>
        <v>183.60343042046051</v>
      </c>
      <c r="E147" s="51">
        <f>'Gas Type Curve'!D154</f>
        <v>5584.6043419556745</v>
      </c>
      <c r="F147" s="51">
        <f>'Gas Type Curve'!E154</f>
        <v>1829152.4667335395</v>
      </c>
      <c r="G147" s="164"/>
      <c r="H147" s="51">
        <f t="shared" si="32"/>
        <v>158139.24115115884</v>
      </c>
      <c r="I147" s="164">
        <f t="shared" si="33"/>
        <v>158.13924115115884</v>
      </c>
      <c r="J147" s="164">
        <f t="shared" si="30"/>
        <v>5898.5936949382249</v>
      </c>
      <c r="K147" s="169">
        <f t="shared" si="34"/>
        <v>3.0364883845477695</v>
      </c>
      <c r="L147" s="164"/>
      <c r="M147" s="170">
        <f t="shared" si="35"/>
        <v>8.7550756343280189E-2</v>
      </c>
      <c r="N147" s="164">
        <v>0.05</v>
      </c>
      <c r="O147" s="155">
        <f t="shared" si="36"/>
        <v>8.8189303072866182E-2</v>
      </c>
      <c r="P147" s="155">
        <f t="shared" si="37"/>
        <v>8.7550756343280189E-2</v>
      </c>
      <c r="Q147" s="155">
        <f t="shared" si="38"/>
        <v>0.16182598865232481</v>
      </c>
      <c r="R147" s="164"/>
      <c r="S147" s="164">
        <f t="shared" si="31"/>
        <v>-9.2500006643672888E-2</v>
      </c>
      <c r="T147" s="170">
        <f t="shared" si="39"/>
        <v>0.05</v>
      </c>
      <c r="U147" s="164"/>
      <c r="V147" s="171">
        <f>'Price Deck'!K141</f>
        <v>3.2036649101897083</v>
      </c>
      <c r="W147" s="169">
        <f t="shared" si="40"/>
        <v>3.0364883845477695</v>
      </c>
      <c r="X147" s="164"/>
      <c r="Y147" s="169">
        <f t="shared" si="41"/>
        <v>17891.200967616482</v>
      </c>
      <c r="Z147" s="247">
        <f t="shared" si="42"/>
        <v>0.05</v>
      </c>
      <c r="AA147" s="169">
        <f t="shared" si="43"/>
        <v>894.56004838082413</v>
      </c>
      <c r="AB147" s="169">
        <f t="shared" si="44"/>
        <v>0.16018324550948543</v>
      </c>
    </row>
    <row r="148" spans="1:28">
      <c r="A148" s="164" t="str">
        <f>'Price Deck'!A142</f>
        <v>08/2030</v>
      </c>
      <c r="B148" s="51">
        <f>'Gas Type Curve'!A155</f>
        <v>10.500000000000005</v>
      </c>
      <c r="C148" s="51">
        <f>'Gas Type Curve'!B155</f>
        <v>126.00000000000006</v>
      </c>
      <c r="D148" s="51">
        <f>'Gas Type Curve'!C155</f>
        <v>182.57310504708522</v>
      </c>
      <c r="E148" s="51">
        <f>'Gas Type Curve'!D155</f>
        <v>5553.2652785155087</v>
      </c>
      <c r="F148" s="51">
        <f>'Gas Type Curve'!E155</f>
        <v>1834705.7320120549</v>
      </c>
      <c r="G148" s="164"/>
      <c r="H148" s="51">
        <f t="shared" si="32"/>
        <v>157251.81289172365</v>
      </c>
      <c r="I148" s="164">
        <f t="shared" si="33"/>
        <v>157.25181289172366</v>
      </c>
      <c r="J148" s="164">
        <f t="shared" si="30"/>
        <v>5865.4926208612924</v>
      </c>
      <c r="K148" s="169">
        <f t="shared" si="34"/>
        <v>3.087265503884089</v>
      </c>
      <c r="L148" s="164"/>
      <c r="M148" s="170">
        <f t="shared" si="35"/>
        <v>8.9708783915073781E-2</v>
      </c>
      <c r="N148" s="164">
        <v>0.05</v>
      </c>
      <c r="O148" s="155">
        <f t="shared" si="36"/>
        <v>9.1235930233045354E-2</v>
      </c>
      <c r="P148" s="155">
        <f t="shared" si="37"/>
        <v>8.9708783915073781E-2</v>
      </c>
      <c r="Q148" s="155">
        <f t="shared" si="38"/>
        <v>0.16296847383739199</v>
      </c>
      <c r="R148" s="164"/>
      <c r="S148" s="164">
        <f t="shared" si="31"/>
        <v>-9.2938129975356026E-2</v>
      </c>
      <c r="T148" s="170">
        <f t="shared" si="39"/>
        <v>0.05</v>
      </c>
      <c r="U148" s="164"/>
      <c r="V148" s="171">
        <f>'Price Deck'!K142</f>
        <v>3.2572376082728294</v>
      </c>
      <c r="W148" s="169">
        <f t="shared" si="40"/>
        <v>3.087265503884089</v>
      </c>
      <c r="X148" s="164"/>
      <c r="Y148" s="169">
        <f t="shared" si="41"/>
        <v>18088.304513896404</v>
      </c>
      <c r="Z148" s="247">
        <f t="shared" si="42"/>
        <v>0.05</v>
      </c>
      <c r="AA148" s="169">
        <f t="shared" si="43"/>
        <v>904.41522569482026</v>
      </c>
      <c r="AB148" s="169">
        <f t="shared" si="44"/>
        <v>0.1628618804136415</v>
      </c>
    </row>
    <row r="149" spans="1:28">
      <c r="A149" s="164" t="str">
        <f>'Price Deck'!A143</f>
        <v>09/2030</v>
      </c>
      <c r="B149" s="51">
        <f>'Gas Type Curve'!A156</f>
        <v>10.583333333333339</v>
      </c>
      <c r="C149" s="51">
        <f>'Gas Type Curve'!B156</f>
        <v>127.00000000000007</v>
      </c>
      <c r="D149" s="51">
        <f>'Gas Type Curve'!C156</f>
        <v>181.55663819406055</v>
      </c>
      <c r="E149" s="51">
        <f>'Gas Type Curve'!D156</f>
        <v>5522.3477450693417</v>
      </c>
      <c r="F149" s="51">
        <f>'Gas Type Curve'!E156</f>
        <v>1840228.0797571242</v>
      </c>
      <c r="G149" s="164"/>
      <c r="H149" s="51">
        <f t="shared" si="32"/>
        <v>156376.32109712853</v>
      </c>
      <c r="I149" s="164">
        <f t="shared" si="33"/>
        <v>156.37632109712854</v>
      </c>
      <c r="J149" s="164">
        <f t="shared" si="30"/>
        <v>5832.8367769228944</v>
      </c>
      <c r="K149" s="169">
        <f t="shared" si="34"/>
        <v>3.1063069236352092</v>
      </c>
      <c r="L149" s="164"/>
      <c r="M149" s="170">
        <f t="shared" si="35"/>
        <v>9.0518044254496388E-2</v>
      </c>
      <c r="N149" s="164">
        <v>0.05</v>
      </c>
      <c r="O149" s="155">
        <f t="shared" si="36"/>
        <v>9.2378415418112564E-2</v>
      </c>
      <c r="P149" s="155">
        <f t="shared" si="37"/>
        <v>9.0518044254496388E-2</v>
      </c>
      <c r="Q149" s="155">
        <f t="shared" si="38"/>
        <v>0.1633969057817922</v>
      </c>
      <c r="R149" s="164"/>
      <c r="S149" s="164">
        <f t="shared" si="31"/>
        <v>-9.3370360274347641E-2</v>
      </c>
      <c r="T149" s="170">
        <f t="shared" si="39"/>
        <v>0.05</v>
      </c>
      <c r="U149" s="164"/>
      <c r="V149" s="171">
        <f>'Price Deck'!K143</f>
        <v>3.277327370054</v>
      </c>
      <c r="W149" s="169">
        <f t="shared" si="40"/>
        <v>3.1063069236352092</v>
      </c>
      <c r="X149" s="164"/>
      <c r="Y149" s="169">
        <f t="shared" si="41"/>
        <v>18098.541411871742</v>
      </c>
      <c r="Z149" s="247">
        <f t="shared" si="42"/>
        <v>0.05</v>
      </c>
      <c r="AA149" s="169">
        <f t="shared" si="43"/>
        <v>904.92707059358713</v>
      </c>
      <c r="AB149" s="169">
        <f t="shared" si="44"/>
        <v>0.1638663685027</v>
      </c>
    </row>
    <row r="150" spans="1:28">
      <c r="A150" s="164" t="str">
        <f>'Price Deck'!A144</f>
        <v>10/2030</v>
      </c>
      <c r="B150" s="51">
        <f>'Gas Type Curve'!A157</f>
        <v>10.666666666666673</v>
      </c>
      <c r="C150" s="51">
        <f>'Gas Type Curve'!B157</f>
        <v>128.00000000000009</v>
      </c>
      <c r="D150" s="51">
        <f>'Gas Type Curve'!C157</f>
        <v>180.55373651864394</v>
      </c>
      <c r="E150" s="51">
        <f>'Gas Type Curve'!D157</f>
        <v>5491.8428191087532</v>
      </c>
      <c r="F150" s="51">
        <f>'Gas Type Curve'!E157</f>
        <v>1845719.922576233</v>
      </c>
      <c r="G150" s="164"/>
      <c r="H150" s="51">
        <f t="shared" si="32"/>
        <v>155512.51310870255</v>
      </c>
      <c r="I150" s="164">
        <f t="shared" si="33"/>
        <v>155.51251310870256</v>
      </c>
      <c r="J150" s="164">
        <f t="shared" si="30"/>
        <v>5800.6167389546054</v>
      </c>
      <c r="K150" s="169">
        <f t="shared" si="34"/>
        <v>3.1647006108719764</v>
      </c>
      <c r="L150" s="164"/>
      <c r="M150" s="170">
        <f t="shared" si="35"/>
        <v>9.2999775962058995E-2</v>
      </c>
      <c r="N150" s="164">
        <v>0.05</v>
      </c>
      <c r="O150" s="155">
        <f t="shared" si="36"/>
        <v>9.5882036652318592E-2</v>
      </c>
      <c r="P150" s="155">
        <f t="shared" si="37"/>
        <v>9.2999775962058995E-2</v>
      </c>
      <c r="Q150" s="155">
        <f t="shared" si="38"/>
        <v>0.16471076374461946</v>
      </c>
      <c r="R150" s="164"/>
      <c r="S150" s="164">
        <f t="shared" si="31"/>
        <v>-9.3796822278233549E-2</v>
      </c>
      <c r="T150" s="170">
        <f t="shared" si="39"/>
        <v>0.05</v>
      </c>
      <c r="U150" s="164"/>
      <c r="V150" s="171">
        <f>'Price Deck'!K144</f>
        <v>3.3389359728495895</v>
      </c>
      <c r="W150" s="169">
        <f t="shared" si="40"/>
        <v>3.1647006108719764</v>
      </c>
      <c r="X150" s="164"/>
      <c r="Y150" s="169">
        <f t="shared" si="41"/>
        <v>18336.911545957919</v>
      </c>
      <c r="Z150" s="247">
        <f t="shared" si="42"/>
        <v>0.05</v>
      </c>
      <c r="AA150" s="169">
        <f t="shared" si="43"/>
        <v>916.84557729789594</v>
      </c>
      <c r="AB150" s="169">
        <f t="shared" si="44"/>
        <v>0.16694679864247949</v>
      </c>
    </row>
    <row r="151" spans="1:28">
      <c r="A151" s="164" t="str">
        <f>'Price Deck'!A145</f>
        <v>11/2030</v>
      </c>
      <c r="B151" s="51">
        <f>'Gas Type Curve'!A158</f>
        <v>10.750000000000007</v>
      </c>
      <c r="C151" s="51">
        <f>'Gas Type Curve'!B158</f>
        <v>129.00000000000009</v>
      </c>
      <c r="D151" s="51">
        <f>'Gas Type Curve'!C158</f>
        <v>179.56411511567032</v>
      </c>
      <c r="E151" s="51">
        <f>'Gas Type Curve'!D158</f>
        <v>5461.741834768306</v>
      </c>
      <c r="F151" s="51">
        <f>'Gas Type Curve'!E158</f>
        <v>1851181.6644110014</v>
      </c>
      <c r="G151" s="164"/>
      <c r="H151" s="51">
        <f t="shared" si="32"/>
        <v>154660.14353513412</v>
      </c>
      <c r="I151" s="164">
        <f t="shared" si="33"/>
        <v>154.66014353513413</v>
      </c>
      <c r="J151" s="164">
        <f t="shared" si="30"/>
        <v>5768.8233538605027</v>
      </c>
      <c r="K151" s="169">
        <f t="shared" si="34"/>
        <v>3.2560994256773523</v>
      </c>
      <c r="L151" s="164"/>
      <c r="M151" s="170">
        <f t="shared" si="35"/>
        <v>9.6884225591287468E-2</v>
      </c>
      <c r="N151" s="164">
        <v>0.05</v>
      </c>
      <c r="O151" s="155">
        <f t="shared" si="36"/>
        <v>0.10136596554064115</v>
      </c>
      <c r="P151" s="155">
        <f t="shared" si="37"/>
        <v>9.6884225591287468E-2</v>
      </c>
      <c r="Q151" s="155">
        <f t="shared" si="38"/>
        <v>0.16676723707774044</v>
      </c>
      <c r="R151" s="164"/>
      <c r="S151" s="164">
        <f t="shared" si="31"/>
        <v>-9.421763713670428E-2</v>
      </c>
      <c r="T151" s="170">
        <f t="shared" si="39"/>
        <v>0.05</v>
      </c>
      <c r="U151" s="164"/>
      <c r="V151" s="171">
        <f>'Price Deck'!K145</f>
        <v>3.4353668293992086</v>
      </c>
      <c r="W151" s="169">
        <f t="shared" si="40"/>
        <v>3.2560994256773523</v>
      </c>
      <c r="X151" s="164"/>
      <c r="Y151" s="169">
        <f t="shared" si="41"/>
        <v>18763.086729905011</v>
      </c>
      <c r="Z151" s="247">
        <f t="shared" si="42"/>
        <v>0.05</v>
      </c>
      <c r="AA151" s="169">
        <f t="shared" si="43"/>
        <v>938.15433649525062</v>
      </c>
      <c r="AB151" s="169">
        <f t="shared" si="44"/>
        <v>0.17176834146996042</v>
      </c>
    </row>
    <row r="152" spans="1:28">
      <c r="A152" s="164" t="str">
        <f>'Price Deck'!A146</f>
        <v>12/2030</v>
      </c>
      <c r="B152" s="51">
        <f>'Gas Type Curve'!A159</f>
        <v>10.833333333333341</v>
      </c>
      <c r="C152" s="51">
        <f>'Gas Type Curve'!B159</f>
        <v>130.00000000000009</v>
      </c>
      <c r="D152" s="51">
        <f>'Gas Type Curve'!C159</f>
        <v>178.58749721174817</v>
      </c>
      <c r="E152" s="51">
        <f>'Gas Type Curve'!D159</f>
        <v>5432.0363735240071</v>
      </c>
      <c r="F152" s="51">
        <f>'Gas Type Curve'!E159</f>
        <v>1856613.7007845254</v>
      </c>
      <c r="G152" s="164"/>
      <c r="H152" s="51">
        <f t="shared" si="32"/>
        <v>153818.9739890793</v>
      </c>
      <c r="I152" s="164">
        <f t="shared" si="33"/>
        <v>153.8189739890793</v>
      </c>
      <c r="J152" s="164">
        <f t="shared" si="30"/>
        <v>5737.4477297926578</v>
      </c>
      <c r="K152" s="169">
        <f t="shared" si="34"/>
        <v>3.4528607631055914</v>
      </c>
      <c r="L152" s="164"/>
      <c r="M152" s="170">
        <f t="shared" si="35"/>
        <v>0.10524658243198763</v>
      </c>
      <c r="N152" s="164">
        <v>0.05</v>
      </c>
      <c r="O152" s="155">
        <f t="shared" si="36"/>
        <v>0.1131716457863355</v>
      </c>
      <c r="P152" s="155">
        <f t="shared" si="37"/>
        <v>0.10524658243198763</v>
      </c>
      <c r="Q152" s="155">
        <f t="shared" si="38"/>
        <v>0.17119436716987579</v>
      </c>
      <c r="R152" s="164"/>
      <c r="S152" s="164">
        <f t="shared" si="31"/>
        <v>-9.4632922541591558E-2</v>
      </c>
      <c r="T152" s="170">
        <f t="shared" si="39"/>
        <v>0.05</v>
      </c>
      <c r="U152" s="164"/>
      <c r="V152" s="171">
        <f>'Price Deck'!K146</f>
        <v>3.6429610344713041</v>
      </c>
      <c r="W152" s="169">
        <f t="shared" si="40"/>
        <v>3.4528607631055914</v>
      </c>
      <c r="X152" s="164"/>
      <c r="Y152" s="169">
        <f t="shared" si="41"/>
        <v>19788.696846578769</v>
      </c>
      <c r="Z152" s="247">
        <f t="shared" si="42"/>
        <v>0.05</v>
      </c>
      <c r="AA152" s="169">
        <f t="shared" si="43"/>
        <v>989.43484232893843</v>
      </c>
      <c r="AB152" s="169">
        <f t="shared" si="44"/>
        <v>0.18214805172356521</v>
      </c>
    </row>
    <row r="153" spans="1:28">
      <c r="A153" s="164" t="str">
        <f>'Price Deck'!A147</f>
        <v>01/2031</v>
      </c>
      <c r="B153" s="51">
        <f>'Gas Type Curve'!A160</f>
        <v>10.916666666666675</v>
      </c>
      <c r="C153" s="51">
        <f>'Gas Type Curve'!B160</f>
        <v>131.00000000000011</v>
      </c>
      <c r="D153" s="51">
        <f>'Gas Type Curve'!C160</f>
        <v>177.62361387279017</v>
      </c>
      <c r="E153" s="51">
        <f>'Gas Type Curve'!D160</f>
        <v>5402.7182552973682</v>
      </c>
      <c r="F153" s="51">
        <f>'Gas Type Curve'!E160</f>
        <v>1862016.4190398226</v>
      </c>
      <c r="G153" s="164"/>
      <c r="H153" s="51">
        <f t="shared" si="32"/>
        <v>152988.77283525557</v>
      </c>
      <c r="I153" s="164">
        <f t="shared" si="33"/>
        <v>152.98877283525556</v>
      </c>
      <c r="J153" s="164">
        <f t="shared" si="30"/>
        <v>5706.4812267550324</v>
      </c>
      <c r="K153" s="169">
        <f t="shared" si="34"/>
        <v>3.6178864009486302</v>
      </c>
      <c r="L153" s="164"/>
      <c r="M153" s="170">
        <f t="shared" si="35"/>
        <v>0.11226017204031678</v>
      </c>
      <c r="N153" s="164">
        <v>0.05</v>
      </c>
      <c r="O153" s="155">
        <f t="shared" si="36"/>
        <v>0.12307318405691782</v>
      </c>
      <c r="P153" s="155">
        <f t="shared" si="37"/>
        <v>0.11226017204031678</v>
      </c>
      <c r="Q153" s="155">
        <f t="shared" si="38"/>
        <v>0.17490744402134417</v>
      </c>
      <c r="R153" s="164"/>
      <c r="S153" s="164">
        <f t="shared" si="31"/>
        <v>-9.5042792851234334E-2</v>
      </c>
      <c r="T153" s="170">
        <f t="shared" si="39"/>
        <v>0.05</v>
      </c>
      <c r="U153" s="164"/>
      <c r="V153" s="171">
        <f>'Price Deck'!K147</f>
        <v>3.8170723032414484</v>
      </c>
      <c r="W153" s="169">
        <f t="shared" si="40"/>
        <v>3.6178864009486302</v>
      </c>
      <c r="X153" s="164"/>
      <c r="Y153" s="169">
        <f t="shared" si="41"/>
        <v>20622.566214512546</v>
      </c>
      <c r="Z153" s="247">
        <f t="shared" si="42"/>
        <v>0.05</v>
      </c>
      <c r="AA153" s="169">
        <f t="shared" si="43"/>
        <v>1031.1283107256274</v>
      </c>
      <c r="AB153" s="169">
        <f t="shared" si="44"/>
        <v>0.19085361516207247</v>
      </c>
    </row>
    <row r="154" spans="1:28">
      <c r="A154" s="164" t="str">
        <f>'Price Deck'!A148</f>
        <v>02/2031</v>
      </c>
      <c r="B154" s="51">
        <f>'Gas Type Curve'!A161</f>
        <v>11.000000000000009</v>
      </c>
      <c r="C154" s="51">
        <f>'Gas Type Curve'!B161</f>
        <v>132.00000000000011</v>
      </c>
      <c r="D154" s="51">
        <f>'Gas Type Curve'!C161</f>
        <v>176.67220372420249</v>
      </c>
      <c r="E154" s="51">
        <f>'Gas Type Curve'!D161</f>
        <v>5373.7795299444924</v>
      </c>
      <c r="F154" s="51">
        <f>'Gas Type Curve'!E161</f>
        <v>1867390.1985697672</v>
      </c>
      <c r="G154" s="164"/>
      <c r="H154" s="51">
        <f t="shared" si="32"/>
        <v>152169.31494943818</v>
      </c>
      <c r="I154" s="164">
        <f t="shared" si="33"/>
        <v>152.16931494943819</v>
      </c>
      <c r="J154" s="164">
        <f t="shared" si="30"/>
        <v>5675.9154476140438</v>
      </c>
      <c r="K154" s="169">
        <f t="shared" si="34"/>
        <v>3.5734564215293507</v>
      </c>
      <c r="L154" s="164"/>
      <c r="M154" s="170">
        <f t="shared" si="35"/>
        <v>0.11037189791499741</v>
      </c>
      <c r="N154" s="164">
        <v>0.05</v>
      </c>
      <c r="O154" s="155">
        <f t="shared" si="36"/>
        <v>0.12040738529176105</v>
      </c>
      <c r="P154" s="155">
        <f t="shared" si="37"/>
        <v>0.11037189791499741</v>
      </c>
      <c r="Q154" s="155">
        <f t="shared" si="38"/>
        <v>0.17390776948441039</v>
      </c>
      <c r="R154" s="164"/>
      <c r="S154" s="164">
        <f t="shared" si="31"/>
        <v>-9.5447359209462374E-2</v>
      </c>
      <c r="T154" s="170">
        <f t="shared" si="39"/>
        <v>0.05</v>
      </c>
      <c r="U154" s="164"/>
      <c r="V154" s="171">
        <f>'Price Deck'!K148</f>
        <v>3.7701961924187177</v>
      </c>
      <c r="W154" s="169">
        <f t="shared" si="40"/>
        <v>3.5734564215293507</v>
      </c>
      <c r="X154" s="164"/>
      <c r="Y154" s="169">
        <f t="shared" si="41"/>
        <v>20260.203122694373</v>
      </c>
      <c r="Z154" s="247">
        <f t="shared" si="42"/>
        <v>0.05</v>
      </c>
      <c r="AA154" s="169">
        <f t="shared" si="43"/>
        <v>1013.0101561347187</v>
      </c>
      <c r="AB154" s="169">
        <f t="shared" si="44"/>
        <v>0.18850980962093591</v>
      </c>
    </row>
    <row r="155" spans="1:28">
      <c r="A155" s="164" t="str">
        <f>'Price Deck'!A149</f>
        <v>03/2031</v>
      </c>
      <c r="B155" s="51">
        <f>'Gas Type Curve'!A162</f>
        <v>11.083333333333343</v>
      </c>
      <c r="C155" s="51">
        <f>'Gas Type Curve'!B162</f>
        <v>133.00000000000011</v>
      </c>
      <c r="D155" s="51">
        <f>'Gas Type Curve'!C162</f>
        <v>175.73301268309115</v>
      </c>
      <c r="E155" s="51">
        <f>'Gas Type Curve'!D162</f>
        <v>5345.2124691106892</v>
      </c>
      <c r="F155" s="51">
        <f>'Gas Type Curve'!E162</f>
        <v>1872735.4110388779</v>
      </c>
      <c r="G155" s="164"/>
      <c r="H155" s="51">
        <f t="shared" si="32"/>
        <v>151360.38148780738</v>
      </c>
      <c r="I155" s="164">
        <f t="shared" si="33"/>
        <v>151.36038148780739</v>
      </c>
      <c r="J155" s="164">
        <f t="shared" si="30"/>
        <v>5645.7422294952148</v>
      </c>
      <c r="K155" s="169">
        <f t="shared" si="34"/>
        <v>3.4909436026078304</v>
      </c>
      <c r="L155" s="164"/>
      <c r="M155" s="170">
        <f t="shared" si="35"/>
        <v>0.10686510311083279</v>
      </c>
      <c r="N155" s="164">
        <v>0.05</v>
      </c>
      <c r="O155" s="155">
        <f t="shared" si="36"/>
        <v>0.11545661615646984</v>
      </c>
      <c r="P155" s="155">
        <f t="shared" si="37"/>
        <v>0.10686510311083279</v>
      </c>
      <c r="Q155" s="155">
        <f t="shared" si="38"/>
        <v>0.17205123105867617</v>
      </c>
      <c r="R155" s="164"/>
      <c r="S155" s="164">
        <f t="shared" si="31"/>
        <v>-9.5846729659469498E-2</v>
      </c>
      <c r="T155" s="170">
        <f t="shared" si="39"/>
        <v>0.05</v>
      </c>
      <c r="U155" s="164"/>
      <c r="V155" s="171">
        <f>'Price Deck'!K149</f>
        <v>3.6831405580336445</v>
      </c>
      <c r="W155" s="169">
        <f t="shared" si="40"/>
        <v>3.4909436026078304</v>
      </c>
      <c r="X155" s="164"/>
      <c r="Y155" s="169">
        <f t="shared" si="41"/>
        <v>19687.16883628874</v>
      </c>
      <c r="Z155" s="247">
        <f t="shared" si="42"/>
        <v>0.05</v>
      </c>
      <c r="AA155" s="169">
        <f t="shared" si="43"/>
        <v>984.35844181443701</v>
      </c>
      <c r="AB155" s="169">
        <f t="shared" si="44"/>
        <v>0.18415702790168223</v>
      </c>
    </row>
    <row r="156" spans="1:28">
      <c r="A156" s="164" t="str">
        <f>'Price Deck'!A150</f>
        <v>04/2031</v>
      </c>
      <c r="B156" s="51">
        <f>'Gas Type Curve'!A163</f>
        <v>11.166666666666677</v>
      </c>
      <c r="C156" s="51">
        <f>'Gas Type Curve'!B163</f>
        <v>134.00000000000011</v>
      </c>
      <c r="D156" s="51">
        <f>'Gas Type Curve'!C163</f>
        <v>174.80579370188622</v>
      </c>
      <c r="E156" s="51">
        <f>'Gas Type Curve'!D163</f>
        <v>5317.0095584323726</v>
      </c>
      <c r="F156" s="51">
        <f>'Gas Type Curve'!E163</f>
        <v>1878052.4205973102</v>
      </c>
      <c r="G156" s="164"/>
      <c r="H156" s="51">
        <f t="shared" si="32"/>
        <v>150561.75966612948</v>
      </c>
      <c r="I156" s="164">
        <f t="shared" si="33"/>
        <v>150.56175966612949</v>
      </c>
      <c r="J156" s="164">
        <f t="shared" si="30"/>
        <v>5615.9536355466298</v>
      </c>
      <c r="K156" s="169">
        <f t="shared" si="34"/>
        <v>3.0974209277513531</v>
      </c>
      <c r="L156" s="164"/>
      <c r="M156" s="170">
        <f t="shared" si="35"/>
        <v>9.0140389429432505E-2</v>
      </c>
      <c r="N156" s="164">
        <v>0.05</v>
      </c>
      <c r="O156" s="155">
        <f t="shared" si="36"/>
        <v>9.1845255665081199E-2</v>
      </c>
      <c r="P156" s="155">
        <f t="shared" si="37"/>
        <v>9.0140389429432505E-2</v>
      </c>
      <c r="Q156" s="155">
        <f t="shared" si="38"/>
        <v>0.16319697087440543</v>
      </c>
      <c r="R156" s="164"/>
      <c r="S156" s="164">
        <f t="shared" si="31"/>
        <v>-9.6241009252831869E-2</v>
      </c>
      <c r="T156" s="170">
        <f t="shared" si="39"/>
        <v>0.05</v>
      </c>
      <c r="U156" s="164"/>
      <c r="V156" s="171">
        <f>'Price Deck'!K150</f>
        <v>3.2679521478894538</v>
      </c>
      <c r="W156" s="169">
        <f t="shared" si="40"/>
        <v>3.0974209277513531</v>
      </c>
      <c r="X156" s="164"/>
      <c r="Y156" s="169">
        <f t="shared" si="41"/>
        <v>17375.732806827829</v>
      </c>
      <c r="Z156" s="247">
        <f t="shared" si="42"/>
        <v>0.05</v>
      </c>
      <c r="AA156" s="169">
        <f t="shared" si="43"/>
        <v>868.78664034139149</v>
      </c>
      <c r="AB156" s="169">
        <f t="shared" si="44"/>
        <v>0.1633976073944727</v>
      </c>
    </row>
    <row r="157" spans="1:28">
      <c r="A157" s="164" t="str">
        <f>'Price Deck'!A151</f>
        <v>05/2031</v>
      </c>
      <c r="B157" s="51">
        <f>'Gas Type Curve'!A164</f>
        <v>11.250000000000011</v>
      </c>
      <c r="C157" s="51">
        <f>'Gas Type Curve'!B164</f>
        <v>135.00000000000011</v>
      </c>
      <c r="D157" s="51">
        <f>'Gas Type Curve'!C164</f>
        <v>173.89030652281272</v>
      </c>
      <c r="E157" s="51">
        <f>'Gas Type Curve'!D164</f>
        <v>5289.1634900688869</v>
      </c>
      <c r="F157" s="51">
        <f>'Gas Type Curve'!E164</f>
        <v>1883341.584087379</v>
      </c>
      <c r="G157" s="164"/>
      <c r="H157" s="51">
        <f t="shared" si="32"/>
        <v>149773.24254828066</v>
      </c>
      <c r="I157" s="164">
        <f t="shared" si="33"/>
        <v>149.77324254828065</v>
      </c>
      <c r="J157" s="164">
        <f t="shared" si="30"/>
        <v>5586.5419470508687</v>
      </c>
      <c r="K157" s="169">
        <f t="shared" si="34"/>
        <v>3.0694935121163773</v>
      </c>
      <c r="L157" s="164"/>
      <c r="M157" s="170">
        <f t="shared" si="35"/>
        <v>8.8953474264946028E-2</v>
      </c>
      <c r="N157" s="164">
        <v>0.05</v>
      </c>
      <c r="O157" s="155">
        <f t="shared" si="36"/>
        <v>9.0169610726982652E-2</v>
      </c>
      <c r="P157" s="155">
        <f t="shared" si="37"/>
        <v>8.8953474264946028E-2</v>
      </c>
      <c r="Q157" s="155">
        <f t="shared" si="38"/>
        <v>0.16256860402261847</v>
      </c>
      <c r="R157" s="164"/>
      <c r="S157" s="164">
        <f t="shared" si="31"/>
        <v>-9.6630300153913842E-2</v>
      </c>
      <c r="T157" s="170">
        <f t="shared" si="39"/>
        <v>0.05</v>
      </c>
      <c r="U157" s="164"/>
      <c r="V157" s="171">
        <f>'Price Deck'!K151</f>
        <v>3.2384871639437369</v>
      </c>
      <c r="W157" s="169">
        <f t="shared" si="40"/>
        <v>3.0694935121163773</v>
      </c>
      <c r="X157" s="164"/>
      <c r="Y157" s="169">
        <f t="shared" si="41"/>
        <v>17128.888070587946</v>
      </c>
      <c r="Z157" s="247">
        <f t="shared" si="42"/>
        <v>0.05</v>
      </c>
      <c r="AA157" s="169">
        <f t="shared" si="43"/>
        <v>856.44440352939728</v>
      </c>
      <c r="AB157" s="169">
        <f t="shared" si="44"/>
        <v>0.16192435819718684</v>
      </c>
    </row>
    <row r="158" spans="1:28">
      <c r="A158" s="164" t="str">
        <f>'Price Deck'!A152</f>
        <v>06/2031</v>
      </c>
      <c r="B158" s="51">
        <f>'Gas Type Curve'!A165</f>
        <v>11.333333333333345</v>
      </c>
      <c r="C158" s="51">
        <f>'Gas Type Curve'!B165</f>
        <v>136.00000000000014</v>
      </c>
      <c r="D158" s="51">
        <f>'Gas Type Curve'!C165</f>
        <v>172.98631744267672</v>
      </c>
      <c r="E158" s="51">
        <f>'Gas Type Curve'!D165</f>
        <v>5261.6671555480834</v>
      </c>
      <c r="F158" s="51">
        <f>'Gas Type Curve'!E165</f>
        <v>1888603.251242927</v>
      </c>
      <c r="G158" s="164"/>
      <c r="H158" s="51">
        <f t="shared" si="32"/>
        <v>148994.62884365508</v>
      </c>
      <c r="I158" s="164">
        <f t="shared" si="33"/>
        <v>148.99462884365508</v>
      </c>
      <c r="J158" s="164">
        <f t="shared" si="30"/>
        <v>5557.4996558683342</v>
      </c>
      <c r="K158" s="169">
        <f t="shared" si="34"/>
        <v>3.1139234915356573</v>
      </c>
      <c r="L158" s="164"/>
      <c r="M158" s="170">
        <f t="shared" si="35"/>
        <v>9.0841748390265431E-2</v>
      </c>
      <c r="N158" s="164">
        <v>0.05</v>
      </c>
      <c r="O158" s="155">
        <f t="shared" si="36"/>
        <v>9.2835409492139448E-2</v>
      </c>
      <c r="P158" s="155">
        <f t="shared" si="37"/>
        <v>9.0841748390265431E-2</v>
      </c>
      <c r="Q158" s="155">
        <f t="shared" si="38"/>
        <v>0.16356827855955228</v>
      </c>
      <c r="R158" s="164"/>
      <c r="S158" s="164">
        <f t="shared" si="31"/>
        <v>-9.7014701739887493E-2</v>
      </c>
      <c r="T158" s="170">
        <f t="shared" si="39"/>
        <v>0.05</v>
      </c>
      <c r="U158" s="164"/>
      <c r="V158" s="171">
        <f>'Price Deck'!K152</f>
        <v>3.2853632747664685</v>
      </c>
      <c r="W158" s="169">
        <f t="shared" si="40"/>
        <v>3.1139234915356573</v>
      </c>
      <c r="X158" s="164"/>
      <c r="Y158" s="169">
        <f t="shared" si="41"/>
        <v>17286.48803688262</v>
      </c>
      <c r="Z158" s="247">
        <f t="shared" si="42"/>
        <v>0.05</v>
      </c>
      <c r="AA158" s="169">
        <f t="shared" si="43"/>
        <v>864.32440184413099</v>
      </c>
      <c r="AB158" s="169">
        <f t="shared" si="44"/>
        <v>0.16426816373832342</v>
      </c>
    </row>
    <row r="159" spans="1:28">
      <c r="A159" s="164" t="str">
        <f>'Price Deck'!A153</f>
        <v>07/2031</v>
      </c>
      <c r="B159" s="51">
        <f>'Gas Type Curve'!A166</f>
        <v>11.416666666666679</v>
      </c>
      <c r="C159" s="51">
        <f>'Gas Type Curve'!B166</f>
        <v>137.00000000000014</v>
      </c>
      <c r="D159" s="51">
        <f>'Gas Type Curve'!C166</f>
        <v>172.09359908745697</v>
      </c>
      <c r="E159" s="51">
        <f>'Gas Type Curve'!D166</f>
        <v>5234.5136389101499</v>
      </c>
      <c r="F159" s="51">
        <f>'Gas Type Curve'!E166</f>
        <v>1893837.7648818372</v>
      </c>
      <c r="G159" s="164"/>
      <c r="H159" s="51">
        <f t="shared" si="32"/>
        <v>148225.72271301871</v>
      </c>
      <c r="I159" s="164">
        <f t="shared" si="33"/>
        <v>148.22572271301871</v>
      </c>
      <c r="J159" s="164">
        <f t="shared" si="30"/>
        <v>5528.8194571955983</v>
      </c>
      <c r="K159" s="169">
        <f t="shared" si="34"/>
        <v>3.1647006108719764</v>
      </c>
      <c r="L159" s="164"/>
      <c r="M159" s="170">
        <f t="shared" si="35"/>
        <v>9.2999775962058995E-2</v>
      </c>
      <c r="N159" s="164">
        <v>0.05</v>
      </c>
      <c r="O159" s="155">
        <f t="shared" si="36"/>
        <v>9.5882036652318592E-2</v>
      </c>
      <c r="P159" s="155">
        <f t="shared" si="37"/>
        <v>9.2999775962058995E-2</v>
      </c>
      <c r="Q159" s="155">
        <f t="shared" si="38"/>
        <v>0.16471076374461946</v>
      </c>
      <c r="R159" s="164"/>
      <c r="S159" s="164">
        <f t="shared" si="31"/>
        <v>-9.7394310696582664E-2</v>
      </c>
      <c r="T159" s="170">
        <f t="shared" si="39"/>
        <v>0.05</v>
      </c>
      <c r="U159" s="164"/>
      <c r="V159" s="171">
        <f>'Price Deck'!K153</f>
        <v>3.3389359728495895</v>
      </c>
      <c r="W159" s="169">
        <f t="shared" si="40"/>
        <v>3.1647006108719764</v>
      </c>
      <c r="X159" s="164"/>
      <c r="Y159" s="169">
        <f t="shared" si="41"/>
        <v>17477.705889328907</v>
      </c>
      <c r="Z159" s="247">
        <f t="shared" si="42"/>
        <v>0.05</v>
      </c>
      <c r="AA159" s="169">
        <f t="shared" si="43"/>
        <v>873.88529446644543</v>
      </c>
      <c r="AB159" s="169">
        <f t="shared" si="44"/>
        <v>0.16694679864247949</v>
      </c>
    </row>
    <row r="160" spans="1:28">
      <c r="A160" s="164" t="str">
        <f>'Price Deck'!A154</f>
        <v>08/2031</v>
      </c>
      <c r="B160" s="51">
        <f>'Gas Type Curve'!A167</f>
        <v>11.500000000000012</v>
      </c>
      <c r="C160" s="51">
        <f>'Gas Type Curve'!B167</f>
        <v>138.00000000000014</v>
      </c>
      <c r="D160" s="51">
        <f>'Gas Type Curve'!C167</f>
        <v>171.21193019622837</v>
      </c>
      <c r="E160" s="51">
        <f>'Gas Type Curve'!D167</f>
        <v>5207.6962101352792</v>
      </c>
      <c r="F160" s="51">
        <f>'Gas Type Curve'!E167</f>
        <v>1899045.4610919724</v>
      </c>
      <c r="G160" s="164"/>
      <c r="H160" s="51">
        <f t="shared" si="32"/>
        <v>147466.33358240069</v>
      </c>
      <c r="I160" s="164">
        <f t="shared" si="33"/>
        <v>147.46633358240069</v>
      </c>
      <c r="J160" s="164">
        <f t="shared" si="30"/>
        <v>5500.4942426235457</v>
      </c>
      <c r="K160" s="169">
        <f t="shared" si="34"/>
        <v>3.2154777302082969</v>
      </c>
      <c r="L160" s="164"/>
      <c r="M160" s="170">
        <f t="shared" si="35"/>
        <v>9.5157803533852614E-2</v>
      </c>
      <c r="N160" s="164">
        <v>0.05</v>
      </c>
      <c r="O160" s="155">
        <f t="shared" si="36"/>
        <v>9.8928663812497819E-2</v>
      </c>
      <c r="P160" s="155">
        <f t="shared" si="37"/>
        <v>9.5157803533852614E-2</v>
      </c>
      <c r="Q160" s="155">
        <f t="shared" si="38"/>
        <v>0.16585324892968667</v>
      </c>
      <c r="R160" s="164"/>
      <c r="S160" s="164">
        <f t="shared" si="31"/>
        <v>-9.7769221110368787E-2</v>
      </c>
      <c r="T160" s="170">
        <f t="shared" si="39"/>
        <v>0.05</v>
      </c>
      <c r="U160" s="164"/>
      <c r="V160" s="171">
        <f>'Price Deck'!K154</f>
        <v>3.3925086709327115</v>
      </c>
      <c r="W160" s="169">
        <f t="shared" si="40"/>
        <v>3.2154777302082969</v>
      </c>
      <c r="X160" s="164"/>
      <c r="Y160" s="169">
        <f t="shared" si="41"/>
        <v>17667.154548467355</v>
      </c>
      <c r="Z160" s="247">
        <f t="shared" si="42"/>
        <v>0.05</v>
      </c>
      <c r="AA160" s="169">
        <f t="shared" si="43"/>
        <v>883.35772742336781</v>
      </c>
      <c r="AB160" s="169">
        <f t="shared" si="44"/>
        <v>0.16962543354663559</v>
      </c>
    </row>
    <row r="161" spans="1:28">
      <c r="A161" s="164" t="str">
        <f>'Price Deck'!A155</f>
        <v>09/2031</v>
      </c>
      <c r="B161" s="51">
        <f>'Gas Type Curve'!A168</f>
        <v>11.583333333333346</v>
      </c>
      <c r="C161" s="51">
        <f>'Gas Type Curve'!B168</f>
        <v>139.00000000000017</v>
      </c>
      <c r="D161" s="51">
        <f>'Gas Type Curve'!C168</f>
        <v>170.34109541396532</v>
      </c>
      <c r="E161" s="51">
        <f>'Gas Type Curve'!D168</f>
        <v>5181.2083188414454</v>
      </c>
      <c r="F161" s="51">
        <f>'Gas Type Curve'!E168</f>
        <v>1904226.6694108138</v>
      </c>
      <c r="G161" s="164"/>
      <c r="H161" s="51">
        <f t="shared" si="32"/>
        <v>146716.27596463318</v>
      </c>
      <c r="I161" s="164">
        <f t="shared" si="33"/>
        <v>146.71627596463318</v>
      </c>
      <c r="J161" s="164">
        <f t="shared" si="30"/>
        <v>5472.5170934808175</v>
      </c>
      <c r="K161" s="169">
        <f t="shared" si="34"/>
        <v>3.2345191499594157</v>
      </c>
      <c r="L161" s="164"/>
      <c r="M161" s="170">
        <f t="shared" si="35"/>
        <v>9.5967063873275166E-2</v>
      </c>
      <c r="N161" s="164">
        <v>0.05</v>
      </c>
      <c r="O161" s="155">
        <f t="shared" si="36"/>
        <v>0.10007114899756495</v>
      </c>
      <c r="P161" s="155">
        <f t="shared" si="37"/>
        <v>9.5967063873275166E-2</v>
      </c>
      <c r="Q161" s="155">
        <f t="shared" si="38"/>
        <v>0.16628168087408685</v>
      </c>
      <c r="R161" s="164"/>
      <c r="S161" s="164">
        <f t="shared" si="31"/>
        <v>-9.8139524556260599E-2</v>
      </c>
      <c r="T161" s="170">
        <f t="shared" si="39"/>
        <v>0.05</v>
      </c>
      <c r="U161" s="164"/>
      <c r="V161" s="171">
        <f>'Price Deck'!K155</f>
        <v>3.4125984327138812</v>
      </c>
      <c r="W161" s="169">
        <f t="shared" si="40"/>
        <v>3.2345191499594157</v>
      </c>
      <c r="X161" s="164"/>
      <c r="Y161" s="169">
        <f t="shared" si="41"/>
        <v>17681.383388442438</v>
      </c>
      <c r="Z161" s="247">
        <f t="shared" si="42"/>
        <v>0.05</v>
      </c>
      <c r="AA161" s="169">
        <f t="shared" si="43"/>
        <v>884.06916942212194</v>
      </c>
      <c r="AB161" s="169">
        <f t="shared" si="44"/>
        <v>0.17062992163569404</v>
      </c>
    </row>
    <row r="162" spans="1:28">
      <c r="A162" s="164" t="str">
        <f>'Price Deck'!A156</f>
        <v>10/2031</v>
      </c>
      <c r="B162" s="51">
        <f>'Gas Type Curve'!A169</f>
        <v>11.66666666666668</v>
      </c>
      <c r="C162" s="51">
        <f>'Gas Type Curve'!B169</f>
        <v>140.00000000000017</v>
      </c>
      <c r="D162" s="51">
        <f>'Gas Type Curve'!C169</f>
        <v>169.4808850927983</v>
      </c>
      <c r="E162" s="51">
        <f>'Gas Type Curve'!D169</f>
        <v>5155.0435882392821</v>
      </c>
      <c r="F162" s="51">
        <f>'Gas Type Curve'!E169</f>
        <v>1909381.7129990531</v>
      </c>
      <c r="G162" s="164"/>
      <c r="H162" s="51">
        <f t="shared" si="32"/>
        <v>145975.36928817176</v>
      </c>
      <c r="I162" s="164">
        <f t="shared" si="33"/>
        <v>145.97536928817175</v>
      </c>
      <c r="J162" s="164">
        <f t="shared" si="30"/>
        <v>5444.8812744488068</v>
      </c>
      <c r="K162" s="169">
        <f t="shared" si="34"/>
        <v>3.2929128371961842</v>
      </c>
      <c r="L162" s="164"/>
      <c r="M162" s="170">
        <f t="shared" si="35"/>
        <v>9.8448795580837828E-2</v>
      </c>
      <c r="N162" s="164">
        <v>0.05</v>
      </c>
      <c r="O162" s="155">
        <f t="shared" si="36"/>
        <v>0.10357477023177106</v>
      </c>
      <c r="P162" s="155">
        <f t="shared" si="37"/>
        <v>9.8448795580837828E-2</v>
      </c>
      <c r="Q162" s="155">
        <f t="shared" si="38"/>
        <v>0.16759553883691414</v>
      </c>
      <c r="R162" s="164"/>
      <c r="S162" s="164">
        <f t="shared" si="31"/>
        <v>-9.8505310182429612E-2</v>
      </c>
      <c r="T162" s="170">
        <f t="shared" si="39"/>
        <v>0.05</v>
      </c>
      <c r="U162" s="164"/>
      <c r="V162" s="171">
        <f>'Price Deck'!K156</f>
        <v>3.4742070355094716</v>
      </c>
      <c r="W162" s="169">
        <f t="shared" si="40"/>
        <v>3.2929128371961842</v>
      </c>
      <c r="X162" s="164"/>
      <c r="Y162" s="169">
        <f t="shared" si="41"/>
        <v>17909.688702618907</v>
      </c>
      <c r="Z162" s="247">
        <f t="shared" si="42"/>
        <v>0.05</v>
      </c>
      <c r="AA162" s="169">
        <f t="shared" si="43"/>
        <v>895.48443513094537</v>
      </c>
      <c r="AB162" s="169">
        <f t="shared" si="44"/>
        <v>0.17371035177547359</v>
      </c>
    </row>
    <row r="163" spans="1:28">
      <c r="A163" s="164" t="str">
        <f>'Price Deck'!A157</f>
        <v>11/2031</v>
      </c>
      <c r="B163" s="51">
        <f>'Gas Type Curve'!A170</f>
        <v>11.750000000000014</v>
      </c>
      <c r="C163" s="51">
        <f>'Gas Type Curve'!B170</f>
        <v>141.00000000000017</v>
      </c>
      <c r="D163" s="51">
        <f>'Gas Type Curve'!C170</f>
        <v>168.63109510132253</v>
      </c>
      <c r="E163" s="51">
        <f>'Gas Type Curve'!D170</f>
        <v>5129.1958093318935</v>
      </c>
      <c r="F163" s="51">
        <f>'Gas Type Curve'!E170</f>
        <v>1914510.908808385</v>
      </c>
      <c r="G163" s="164"/>
      <c r="H163" s="51">
        <f t="shared" si="32"/>
        <v>145243.43773285122</v>
      </c>
      <c r="I163" s="164">
        <f t="shared" si="33"/>
        <v>145.24343773285122</v>
      </c>
      <c r="J163" s="164">
        <f t="shared" si="30"/>
        <v>5417.5802274353509</v>
      </c>
      <c r="K163" s="169">
        <f t="shared" si="34"/>
        <v>3.3843116520015597</v>
      </c>
      <c r="L163" s="164"/>
      <c r="M163" s="170">
        <f t="shared" si="35"/>
        <v>0.10233324521006629</v>
      </c>
      <c r="N163" s="164">
        <v>0.05</v>
      </c>
      <c r="O163" s="155">
        <f t="shared" si="36"/>
        <v>0.10905869912009358</v>
      </c>
      <c r="P163" s="155">
        <f t="shared" si="37"/>
        <v>0.10233324521006629</v>
      </c>
      <c r="Q163" s="155">
        <f t="shared" si="38"/>
        <v>0.16965201217003509</v>
      </c>
      <c r="R163" s="164"/>
      <c r="S163" s="164">
        <f t="shared" si="31"/>
        <v>-9.8866664791291359E-2</v>
      </c>
      <c r="T163" s="170">
        <f t="shared" si="39"/>
        <v>0.05</v>
      </c>
      <c r="U163" s="164"/>
      <c r="V163" s="171">
        <f>'Price Deck'!K157</f>
        <v>3.5706378920590902</v>
      </c>
      <c r="W163" s="169">
        <f t="shared" si="40"/>
        <v>3.3843116520015597</v>
      </c>
      <c r="X163" s="164"/>
      <c r="Y163" s="169">
        <f t="shared" si="41"/>
        <v>18314.500912591153</v>
      </c>
      <c r="Z163" s="247">
        <f t="shared" si="42"/>
        <v>0.05</v>
      </c>
      <c r="AA163" s="169">
        <f t="shared" si="43"/>
        <v>915.72504562955771</v>
      </c>
      <c r="AB163" s="169">
        <f t="shared" si="44"/>
        <v>0.17853189460295454</v>
      </c>
    </row>
    <row r="164" spans="1:28">
      <c r="A164" s="164" t="str">
        <f>'Price Deck'!A158</f>
        <v>12/2031</v>
      </c>
      <c r="B164" s="51">
        <f>'Gas Type Curve'!A171</f>
        <v>11.833333333333348</v>
      </c>
      <c r="C164" s="51">
        <f>'Gas Type Curve'!B171</f>
        <v>142.00000000000017</v>
      </c>
      <c r="D164" s="51">
        <f>'Gas Type Curve'!C171</f>
        <v>167.79152664157766</v>
      </c>
      <c r="E164" s="51">
        <f>'Gas Type Curve'!D171</f>
        <v>5103.6589353479876</v>
      </c>
      <c r="F164" s="51">
        <f>'Gas Type Curve'!E171</f>
        <v>1919614.5677437331</v>
      </c>
      <c r="G164" s="164"/>
      <c r="H164" s="51">
        <f t="shared" si="32"/>
        <v>144520.31007224895</v>
      </c>
      <c r="I164" s="164">
        <f t="shared" si="33"/>
        <v>144.52031007224895</v>
      </c>
      <c r="J164" s="164">
        <f t="shared" si="30"/>
        <v>5390.607565694886</v>
      </c>
      <c r="K164" s="169">
        <f t="shared" si="34"/>
        <v>3.5810729894297983</v>
      </c>
      <c r="L164" s="164"/>
      <c r="M164" s="170">
        <f t="shared" si="35"/>
        <v>0.11069560205076642</v>
      </c>
      <c r="N164" s="164">
        <v>0.05</v>
      </c>
      <c r="O164" s="155">
        <f t="shared" si="36"/>
        <v>0.12086437936578791</v>
      </c>
      <c r="P164" s="155">
        <f t="shared" si="37"/>
        <v>0.11069560205076642</v>
      </c>
      <c r="Q164" s="155">
        <f t="shared" si="38"/>
        <v>0.17407914226217047</v>
      </c>
      <c r="R164" s="164"/>
      <c r="S164" s="164">
        <f t="shared" si="31"/>
        <v>-9.9223672917330696E-2</v>
      </c>
      <c r="T164" s="170">
        <f t="shared" si="39"/>
        <v>0.05</v>
      </c>
      <c r="U164" s="164"/>
      <c r="V164" s="171">
        <f>'Price Deck'!K158</f>
        <v>3.7782320971311854</v>
      </c>
      <c r="W164" s="169">
        <f t="shared" si="40"/>
        <v>3.5810729894297983</v>
      </c>
      <c r="X164" s="164"/>
      <c r="Y164" s="169">
        <f t="shared" si="41"/>
        <v>19282.808002342139</v>
      </c>
      <c r="Z164" s="247">
        <f t="shared" si="42"/>
        <v>0.05</v>
      </c>
      <c r="AA164" s="169">
        <f t="shared" si="43"/>
        <v>964.14040011710699</v>
      </c>
      <c r="AB164" s="169">
        <f t="shared" si="44"/>
        <v>0.18891160485655928</v>
      </c>
    </row>
    <row r="165" spans="1:28">
      <c r="A165" s="164" t="str">
        <f>'Price Deck'!A159</f>
        <v>01/2032</v>
      </c>
      <c r="B165" s="51">
        <f>'Gas Type Curve'!A172</f>
        <v>11.916666666666682</v>
      </c>
      <c r="C165" s="51">
        <f>'Gas Type Curve'!B172</f>
        <v>143.00000000000017</v>
      </c>
      <c r="D165" s="51">
        <f>'Gas Type Curve'!C172</f>
        <v>166.96198607333812</v>
      </c>
      <c r="E165" s="51">
        <f>'Gas Type Curve'!D172</f>
        <v>5078.4270763973682</v>
      </c>
      <c r="F165" s="51">
        <f>'Gas Type Curve'!E172</f>
        <v>1924692.9948201305</v>
      </c>
      <c r="G165" s="164"/>
      <c r="H165" s="51">
        <f t="shared" si="32"/>
        <v>143805.81952234425</v>
      </c>
      <c r="I165" s="164">
        <f t="shared" si="33"/>
        <v>143.80581952234425</v>
      </c>
      <c r="J165" s="164">
        <f t="shared" si="30"/>
        <v>5363.9570681834402</v>
      </c>
      <c r="K165" s="169">
        <f t="shared" si="34"/>
        <v>3.2941822651795918</v>
      </c>
      <c r="L165" s="164"/>
      <c r="M165" s="170">
        <f t="shared" si="35"/>
        <v>9.8502746270132641E-2</v>
      </c>
      <c r="N165" s="164">
        <v>0.05</v>
      </c>
      <c r="O165" s="155">
        <f t="shared" si="36"/>
        <v>0.10365093591077551</v>
      </c>
      <c r="P165" s="155">
        <f t="shared" si="37"/>
        <v>9.8502746270132641E-2</v>
      </c>
      <c r="Q165" s="155">
        <f t="shared" si="38"/>
        <v>0.16762410096654079</v>
      </c>
      <c r="R165" s="164"/>
      <c r="S165" s="164">
        <f t="shared" si="31"/>
        <v>-9.9576416901818648E-2</v>
      </c>
      <c r="T165" s="170">
        <f t="shared" si="39"/>
        <v>0.05</v>
      </c>
      <c r="U165" s="164"/>
      <c r="V165" s="171">
        <f>'Price Deck'!K159</f>
        <v>3.4755463529615493</v>
      </c>
      <c r="W165" s="169">
        <f t="shared" si="40"/>
        <v>3.2941822651795918</v>
      </c>
      <c r="X165" s="164"/>
      <c r="Y165" s="169">
        <f t="shared" si="41"/>
        <v>17650.308704154057</v>
      </c>
      <c r="Z165" s="247">
        <f t="shared" si="42"/>
        <v>0.05</v>
      </c>
      <c r="AA165" s="169">
        <f t="shared" si="43"/>
        <v>882.51543520770292</v>
      </c>
      <c r="AB165" s="169">
        <f t="shared" si="44"/>
        <v>0.1737773176480775</v>
      </c>
    </row>
    <row r="166" spans="1:28">
      <c r="A166" s="164" t="str">
        <f>'Price Deck'!A160</f>
        <v>02/2032</v>
      </c>
      <c r="B166" s="51">
        <f>'Gas Type Curve'!A173</f>
        <v>12.000000000000016</v>
      </c>
      <c r="C166" s="51">
        <f>'Gas Type Curve'!B173</f>
        <v>144.0000000000002</v>
      </c>
      <c r="D166" s="51">
        <f>'Gas Type Curve'!C173</f>
        <v>166.14228474537325</v>
      </c>
      <c r="E166" s="51">
        <f>'Gas Type Curve'!D173</f>
        <v>5053.4944943384362</v>
      </c>
      <c r="F166" s="51">
        <f>'Gas Type Curve'!E173</f>
        <v>1929746.489314469</v>
      </c>
      <c r="G166" s="164"/>
      <c r="H166" s="51">
        <f t="shared" si="32"/>
        <v>143099.80359618147</v>
      </c>
      <c r="I166" s="164">
        <f t="shared" si="33"/>
        <v>143.09980359618149</v>
      </c>
      <c r="J166" s="164">
        <f t="shared" si="30"/>
        <v>5337.6226741375685</v>
      </c>
      <c r="K166" s="169">
        <f t="shared" si="34"/>
        <v>3.2941822651795918</v>
      </c>
      <c r="L166" s="164"/>
      <c r="M166" s="170">
        <f t="shared" si="35"/>
        <v>9.8502746270132641E-2</v>
      </c>
      <c r="N166" s="164">
        <v>0.05</v>
      </c>
      <c r="O166" s="155">
        <f t="shared" si="36"/>
        <v>0.10365093591077551</v>
      </c>
      <c r="P166" s="155">
        <f t="shared" si="37"/>
        <v>9.8502746270132641E-2</v>
      </c>
      <c r="Q166" s="155">
        <f t="shared" si="38"/>
        <v>0.16762410096654079</v>
      </c>
      <c r="R166" s="164"/>
      <c r="S166" s="164">
        <f t="shared" si="31"/>
        <v>-9.9924976964565204E-2</v>
      </c>
      <c r="T166" s="170">
        <f t="shared" si="39"/>
        <v>0.05</v>
      </c>
      <c r="U166" s="164"/>
      <c r="V166" s="171">
        <f>'Price Deck'!K160</f>
        <v>3.4755463529615493</v>
      </c>
      <c r="W166" s="169">
        <f t="shared" si="40"/>
        <v>3.2941822651795918</v>
      </c>
      <c r="X166" s="164"/>
      <c r="Y166" s="169">
        <f t="shared" si="41"/>
        <v>17563.654359509223</v>
      </c>
      <c r="Z166" s="247">
        <f t="shared" si="42"/>
        <v>0.05</v>
      </c>
      <c r="AA166" s="169">
        <f t="shared" si="43"/>
        <v>878.18271797546117</v>
      </c>
      <c r="AB166" s="169">
        <f t="shared" si="44"/>
        <v>0.1737773176480775</v>
      </c>
    </row>
    <row r="167" spans="1:28">
      <c r="A167" s="164" t="str">
        <f>'Price Deck'!A161</f>
        <v>03/2032</v>
      </c>
      <c r="B167" s="51">
        <f>'Gas Type Curve'!A174</f>
        <v>12.08333333333335</v>
      </c>
      <c r="C167" s="51">
        <f>'Gas Type Curve'!B174</f>
        <v>145.0000000000002</v>
      </c>
      <c r="D167" s="51">
        <f>'Gas Type Curve'!C174</f>
        <v>165.33223883335452</v>
      </c>
      <c r="E167" s="51">
        <f>'Gas Type Curve'!D174</f>
        <v>5028.8555978478671</v>
      </c>
      <c r="F167" s="51">
        <f>'Gas Type Curve'!E174</f>
        <v>1934775.3449123169</v>
      </c>
      <c r="G167" s="164"/>
      <c r="H167" s="51">
        <f t="shared" si="32"/>
        <v>142402.10396425804</v>
      </c>
      <c r="I167" s="164">
        <f t="shared" si="33"/>
        <v>142.40210396425803</v>
      </c>
      <c r="J167" s="164">
        <f t="shared" si="30"/>
        <v>5311.5984778668253</v>
      </c>
      <c r="K167" s="169">
        <f t="shared" si="34"/>
        <v>3.2941822651795918</v>
      </c>
      <c r="L167" s="164"/>
      <c r="M167" s="170">
        <f t="shared" si="35"/>
        <v>9.8502746270132641E-2</v>
      </c>
      <c r="N167" s="164">
        <v>0.05</v>
      </c>
      <c r="O167" s="155">
        <f t="shared" si="36"/>
        <v>0.10365093591077551</v>
      </c>
      <c r="P167" s="155">
        <f t="shared" si="37"/>
        <v>9.8502746270132641E-2</v>
      </c>
      <c r="Q167" s="155">
        <f t="shared" si="38"/>
        <v>0.16762410096654079</v>
      </c>
      <c r="R167" s="164"/>
      <c r="S167" s="164">
        <f t="shared" si="31"/>
        <v>-0.10026943127284581</v>
      </c>
      <c r="T167" s="170">
        <f t="shared" si="39"/>
        <v>0.05</v>
      </c>
      <c r="U167" s="164"/>
      <c r="V167" s="171">
        <f>'Price Deck'!K161</f>
        <v>3.4755463529615493</v>
      </c>
      <c r="W167" s="169">
        <f t="shared" si="40"/>
        <v>3.2941822651795918</v>
      </c>
      <c r="X167" s="164"/>
      <c r="Y167" s="169">
        <f t="shared" si="41"/>
        <v>17478.020732670426</v>
      </c>
      <c r="Z167" s="247">
        <f t="shared" si="42"/>
        <v>0.05</v>
      </c>
      <c r="AA167" s="169">
        <f t="shared" si="43"/>
        <v>873.90103663352136</v>
      </c>
      <c r="AB167" s="169">
        <f t="shared" si="44"/>
        <v>0.17377731764807747</v>
      </c>
    </row>
    <row r="168" spans="1:28">
      <c r="A168" s="164" t="str">
        <f>'Price Deck'!A162</f>
        <v>04/2032</v>
      </c>
      <c r="B168" s="51">
        <f>'Gas Type Curve'!A175</f>
        <v>12.166666666666684</v>
      </c>
      <c r="C168" s="51">
        <f>'Gas Type Curve'!B175</f>
        <v>146.0000000000002</v>
      </c>
      <c r="D168" s="51">
        <f>'Gas Type Curve'!C175</f>
        <v>164.53166918410548</v>
      </c>
      <c r="E168" s="51">
        <f>'Gas Type Curve'!D175</f>
        <v>5004.5049376832085</v>
      </c>
      <c r="F168" s="51">
        <f>'Gas Type Curve'!E175</f>
        <v>1939779.8498500001</v>
      </c>
      <c r="G168" s="164"/>
      <c r="H168" s="51">
        <f t="shared" si="32"/>
        <v>141712.56632037542</v>
      </c>
      <c r="I168" s="164">
        <f t="shared" si="33"/>
        <v>141.71256632037543</v>
      </c>
      <c r="J168" s="164">
        <f t="shared" si="30"/>
        <v>5285.8787237500037</v>
      </c>
      <c r="K168" s="169">
        <f t="shared" si="34"/>
        <v>3.2941822651795918</v>
      </c>
      <c r="L168" s="164"/>
      <c r="M168" s="170">
        <f t="shared" si="35"/>
        <v>9.8502746270132641E-2</v>
      </c>
      <c r="N168" s="164">
        <v>0.05</v>
      </c>
      <c r="O168" s="155">
        <f t="shared" si="36"/>
        <v>0.10365093591077551</v>
      </c>
      <c r="P168" s="155">
        <f t="shared" si="37"/>
        <v>9.8502746270132641E-2</v>
      </c>
      <c r="Q168" s="155">
        <f t="shared" si="38"/>
        <v>0.16762410096654079</v>
      </c>
      <c r="R168" s="164"/>
      <c r="S168" s="164">
        <f t="shared" si="31"/>
        <v>-0.10060985600763066</v>
      </c>
      <c r="T168" s="170">
        <f t="shared" si="39"/>
        <v>0.05</v>
      </c>
      <c r="U168" s="164"/>
      <c r="V168" s="171">
        <f>'Price Deck'!K162</f>
        <v>3.4755463529615493</v>
      </c>
      <c r="W168" s="169">
        <f t="shared" si="40"/>
        <v>3.2941822651795918</v>
      </c>
      <c r="X168" s="164"/>
      <c r="Y168" s="169">
        <f t="shared" si="41"/>
        <v>17393.388884542943</v>
      </c>
      <c r="Z168" s="247">
        <f t="shared" si="42"/>
        <v>0.05</v>
      </c>
      <c r="AA168" s="169">
        <f t="shared" si="43"/>
        <v>869.66944422714721</v>
      </c>
      <c r="AB168" s="169">
        <f t="shared" si="44"/>
        <v>0.1737773176480775</v>
      </c>
    </row>
    <row r="169" spans="1:28">
      <c r="A169" s="164" t="str">
        <f>'Price Deck'!A163</f>
        <v>05/2032</v>
      </c>
      <c r="B169" s="51">
        <f>'Gas Type Curve'!A176</f>
        <v>12.250000000000018</v>
      </c>
      <c r="C169" s="51">
        <f>'Gas Type Curve'!B176</f>
        <v>147.00000000000023</v>
      </c>
      <c r="D169" s="51">
        <f>'Gas Type Curve'!C176</f>
        <v>163.74040116590234</v>
      </c>
      <c r="E169" s="51">
        <f>'Gas Type Curve'!D176</f>
        <v>4980.4372021295294</v>
      </c>
      <c r="F169" s="51">
        <f>'Gas Type Curve'!E176</f>
        <v>1944760.2870521296</v>
      </c>
      <c r="G169" s="164"/>
      <c r="H169" s="51">
        <f t="shared" si="32"/>
        <v>141031.04025270187</v>
      </c>
      <c r="I169" s="164">
        <f t="shared" si="33"/>
        <v>141.03104025270187</v>
      </c>
      <c r="J169" s="164">
        <f t="shared" si="30"/>
        <v>5260.4578014257795</v>
      </c>
      <c r="K169" s="169">
        <f t="shared" si="34"/>
        <v>3.2941822651795918</v>
      </c>
      <c r="L169" s="164"/>
      <c r="M169" s="170">
        <f t="shared" si="35"/>
        <v>9.8502746270132641E-2</v>
      </c>
      <c r="N169" s="164">
        <v>0.05</v>
      </c>
      <c r="O169" s="155">
        <f t="shared" si="36"/>
        <v>0.10365093591077551</v>
      </c>
      <c r="P169" s="155">
        <f t="shared" si="37"/>
        <v>9.8502746270132641E-2</v>
      </c>
      <c r="Q169" s="155">
        <f t="shared" si="38"/>
        <v>0.16762410096654079</v>
      </c>
      <c r="R169" s="164"/>
      <c r="S169" s="164">
        <f t="shared" si="31"/>
        <v>-0.10094632542724109</v>
      </c>
      <c r="T169" s="170">
        <f t="shared" si="39"/>
        <v>0.05</v>
      </c>
      <c r="U169" s="164"/>
      <c r="V169" s="171">
        <f>'Price Deck'!K163</f>
        <v>3.4755463529615493</v>
      </c>
      <c r="W169" s="169">
        <f t="shared" si="40"/>
        <v>3.2941822651795918</v>
      </c>
      <c r="X169" s="164"/>
      <c r="Y169" s="169">
        <f t="shared" si="41"/>
        <v>17309.74035401531</v>
      </c>
      <c r="Z169" s="247">
        <f t="shared" si="42"/>
        <v>0.05</v>
      </c>
      <c r="AA169" s="169">
        <f t="shared" si="43"/>
        <v>865.48701770076559</v>
      </c>
      <c r="AB169" s="169">
        <f t="shared" si="44"/>
        <v>0.1737773176480775</v>
      </c>
    </row>
    <row r="170" spans="1:28">
      <c r="A170" s="164" t="str">
        <f>'Price Deck'!A164</f>
        <v>06/2032</v>
      </c>
      <c r="B170" s="51">
        <f>'Gas Type Curve'!A177</f>
        <v>12.333333333333352</v>
      </c>
      <c r="C170" s="51">
        <f>'Gas Type Curve'!B177</f>
        <v>148.00000000000023</v>
      </c>
      <c r="D170" s="51">
        <f>'Gas Type Curve'!C177</f>
        <v>162.95826452455262</v>
      </c>
      <c r="E170" s="51">
        <f>'Gas Type Curve'!D177</f>
        <v>4956.6472126218086</v>
      </c>
      <c r="F170" s="51">
        <f>'Gas Type Curve'!E177</f>
        <v>1949716.9342647514</v>
      </c>
      <c r="G170" s="164"/>
      <c r="H170" s="51">
        <f t="shared" si="32"/>
        <v>140357.37911981175</v>
      </c>
      <c r="I170" s="164">
        <f t="shared" si="33"/>
        <v>140.35737911981175</v>
      </c>
      <c r="J170" s="164">
        <f t="shared" si="30"/>
        <v>5235.3302411689783</v>
      </c>
      <c r="K170" s="169">
        <f t="shared" si="34"/>
        <v>3.2941822651795918</v>
      </c>
      <c r="L170" s="164"/>
      <c r="M170" s="170">
        <f t="shared" si="35"/>
        <v>9.8502746270132641E-2</v>
      </c>
      <c r="N170" s="164">
        <v>0.05</v>
      </c>
      <c r="O170" s="155">
        <f t="shared" si="36"/>
        <v>0.10365093591077551</v>
      </c>
      <c r="P170" s="155">
        <f t="shared" si="37"/>
        <v>9.8502746270132641E-2</v>
      </c>
      <c r="Q170" s="155">
        <f t="shared" si="38"/>
        <v>0.16762410096654079</v>
      </c>
      <c r="R170" s="164"/>
      <c r="S170" s="164">
        <f t="shared" si="31"/>
        <v>-0.10127891192854895</v>
      </c>
      <c r="T170" s="170">
        <f t="shared" si="39"/>
        <v>0.05</v>
      </c>
      <c r="U170" s="164"/>
      <c r="V170" s="171">
        <f>'Price Deck'!K164</f>
        <v>3.4755463529615493</v>
      </c>
      <c r="W170" s="169">
        <f t="shared" si="40"/>
        <v>3.2941822651795918</v>
      </c>
      <c r="X170" s="164"/>
      <c r="Y170" s="169">
        <f t="shared" si="41"/>
        <v>17227.057142744758</v>
      </c>
      <c r="Z170" s="247">
        <f t="shared" si="42"/>
        <v>0.05</v>
      </c>
      <c r="AA170" s="169">
        <f t="shared" si="43"/>
        <v>861.35285713723795</v>
      </c>
      <c r="AB170" s="169">
        <f t="shared" si="44"/>
        <v>0.1737773176480775</v>
      </c>
    </row>
    <row r="171" spans="1:28">
      <c r="A171" s="164" t="str">
        <f>'Price Deck'!A165</f>
        <v>07/2032</v>
      </c>
      <c r="B171" s="51">
        <f>'Gas Type Curve'!A178</f>
        <v>12.416666666666686</v>
      </c>
      <c r="C171" s="51">
        <f>'Gas Type Curve'!B178</f>
        <v>149.00000000000023</v>
      </c>
      <c r="D171" s="51">
        <f>'Gas Type Curve'!C178</f>
        <v>162.18509324499169</v>
      </c>
      <c r="E171" s="51">
        <f>'Gas Type Curve'!D178</f>
        <v>4933.1299195351639</v>
      </c>
      <c r="F171" s="51">
        <f>'Gas Type Curve'!E178</f>
        <v>1954650.0641842866</v>
      </c>
      <c r="G171" s="164"/>
      <c r="H171" s="51">
        <f t="shared" si="32"/>
        <v>139691.43993147722</v>
      </c>
      <c r="I171" s="164">
        <f t="shared" si="33"/>
        <v>139.69143993147722</v>
      </c>
      <c r="J171" s="164">
        <f t="shared" si="30"/>
        <v>5210.4907094441005</v>
      </c>
      <c r="K171" s="169">
        <f t="shared" si="34"/>
        <v>3.2941822651795918</v>
      </c>
      <c r="L171" s="164"/>
      <c r="M171" s="170">
        <f t="shared" si="35"/>
        <v>9.8502746270132641E-2</v>
      </c>
      <c r="N171" s="164">
        <v>0.05</v>
      </c>
      <c r="O171" s="155">
        <f t="shared" si="36"/>
        <v>0.10365093591077551</v>
      </c>
      <c r="P171" s="155">
        <f t="shared" si="37"/>
        <v>9.8502746270132641E-2</v>
      </c>
      <c r="Q171" s="155">
        <f t="shared" si="38"/>
        <v>0.16762410096654079</v>
      </c>
      <c r="R171" s="164"/>
      <c r="S171" s="164">
        <f t="shared" si="31"/>
        <v>-0.10160768610582969</v>
      </c>
      <c r="T171" s="170">
        <f t="shared" si="39"/>
        <v>0.05</v>
      </c>
      <c r="U171" s="164"/>
      <c r="V171" s="171">
        <f>'Price Deck'!K165</f>
        <v>3.4755463529615493</v>
      </c>
      <c r="W171" s="169">
        <f t="shared" si="40"/>
        <v>3.2941822651795918</v>
      </c>
      <c r="X171" s="164"/>
      <c r="Y171" s="169">
        <f t="shared" si="41"/>
        <v>17145.321700525939</v>
      </c>
      <c r="Z171" s="247">
        <f t="shared" si="42"/>
        <v>0.05</v>
      </c>
      <c r="AA171" s="169">
        <f t="shared" si="43"/>
        <v>857.26608502629699</v>
      </c>
      <c r="AB171" s="169">
        <f t="shared" si="44"/>
        <v>0.17377731764807747</v>
      </c>
    </row>
    <row r="172" spans="1:28">
      <c r="A172" s="164" t="str">
        <f>'Price Deck'!A166</f>
        <v>08/2032</v>
      </c>
      <c r="B172" s="51">
        <f>'Gas Type Curve'!A179</f>
        <v>12.50000000000002</v>
      </c>
      <c r="C172" s="51">
        <f>'Gas Type Curve'!B179</f>
        <v>150.00000000000023</v>
      </c>
      <c r="D172" s="51">
        <f>'Gas Type Curve'!C179</f>
        <v>161.42072541814841</v>
      </c>
      <c r="E172" s="51">
        <f>'Gas Type Curve'!D179</f>
        <v>4909.8803981353476</v>
      </c>
      <c r="F172" s="51">
        <f>'Gas Type Curve'!E179</f>
        <v>1959559.944582422</v>
      </c>
      <c r="G172" s="164"/>
      <c r="H172" s="51">
        <f t="shared" si="32"/>
        <v>139033.08323399862</v>
      </c>
      <c r="I172" s="164">
        <f t="shared" si="33"/>
        <v>139.03308323399861</v>
      </c>
      <c r="J172" s="164">
        <f t="shared" si="30"/>
        <v>5185.9340046281486</v>
      </c>
      <c r="K172" s="169">
        <f t="shared" si="34"/>
        <v>3.2941822651795918</v>
      </c>
      <c r="L172" s="164"/>
      <c r="M172" s="170">
        <f t="shared" si="35"/>
        <v>9.8502746270132641E-2</v>
      </c>
      <c r="N172" s="164">
        <v>0.05</v>
      </c>
      <c r="O172" s="155">
        <f t="shared" si="36"/>
        <v>0.10365093591077551</v>
      </c>
      <c r="P172" s="155">
        <f t="shared" si="37"/>
        <v>9.8502746270132641E-2</v>
      </c>
      <c r="Q172" s="155">
        <f t="shared" si="38"/>
        <v>0.16762410096654079</v>
      </c>
      <c r="R172" s="164"/>
      <c r="S172" s="164">
        <f t="shared" si="31"/>
        <v>-0.1019327168073749</v>
      </c>
      <c r="T172" s="170">
        <f t="shared" si="39"/>
        <v>0.05</v>
      </c>
      <c r="U172" s="164"/>
      <c r="V172" s="171">
        <f>'Price Deck'!K166</f>
        <v>3.4755463529615493</v>
      </c>
      <c r="W172" s="169">
        <f t="shared" si="40"/>
        <v>3.2941822651795918</v>
      </c>
      <c r="X172" s="164"/>
      <c r="Y172" s="169">
        <f t="shared" si="41"/>
        <v>17064.516911216706</v>
      </c>
      <c r="Z172" s="247">
        <f t="shared" si="42"/>
        <v>0.05</v>
      </c>
      <c r="AA172" s="169">
        <f t="shared" si="43"/>
        <v>853.2258455608353</v>
      </c>
      <c r="AB172" s="169">
        <f t="shared" si="44"/>
        <v>0.17377731764807747</v>
      </c>
    </row>
    <row r="173" spans="1:28">
      <c r="A173" s="164" t="str">
        <f>'Price Deck'!A167</f>
        <v>09/2032</v>
      </c>
      <c r="B173" s="51">
        <f>'Gas Type Curve'!A180</f>
        <v>12.583333333333353</v>
      </c>
      <c r="C173" s="51">
        <f>'Gas Type Curve'!B180</f>
        <v>151.00000000000023</v>
      </c>
      <c r="D173" s="51">
        <f>'Gas Type Curve'!C180</f>
        <v>160.66500311284773</v>
      </c>
      <c r="E173" s="51">
        <f>'Gas Type Curve'!D180</f>
        <v>4886.8938446824523</v>
      </c>
      <c r="F173" s="51">
        <f>'Gas Type Curve'!E180</f>
        <v>1964446.8384271045</v>
      </c>
      <c r="G173" s="164"/>
      <c r="H173" s="51">
        <f t="shared" si="32"/>
        <v>138382.172999873</v>
      </c>
      <c r="I173" s="164">
        <f t="shared" si="33"/>
        <v>138.38217299987301</v>
      </c>
      <c r="J173" s="164">
        <f t="shared" si="30"/>
        <v>5161.655052895263</v>
      </c>
      <c r="K173" s="169">
        <f t="shared" si="34"/>
        <v>3.2941822651795918</v>
      </c>
      <c r="L173" s="164"/>
      <c r="M173" s="170">
        <f t="shared" si="35"/>
        <v>9.8502746270132641E-2</v>
      </c>
      <c r="N173" s="164">
        <v>0.05</v>
      </c>
      <c r="O173" s="155">
        <f t="shared" si="36"/>
        <v>0.10365093591077551</v>
      </c>
      <c r="P173" s="155">
        <f t="shared" si="37"/>
        <v>9.8502746270132641E-2</v>
      </c>
      <c r="Q173" s="155">
        <f t="shared" si="38"/>
        <v>0.16762410096654079</v>
      </c>
      <c r="R173" s="164"/>
      <c r="S173" s="164">
        <f t="shared" si="31"/>
        <v>-0.1022540711899627</v>
      </c>
      <c r="T173" s="170">
        <f t="shared" si="39"/>
        <v>0.05</v>
      </c>
      <c r="U173" s="164"/>
      <c r="V173" s="171">
        <f>'Price Deck'!K167</f>
        <v>3.4755463529615493</v>
      </c>
      <c r="W173" s="169">
        <f t="shared" si="40"/>
        <v>3.2941822651795918</v>
      </c>
      <c r="X173" s="164"/>
      <c r="Y173" s="169">
        <f t="shared" si="41"/>
        <v>16984.62607919634</v>
      </c>
      <c r="Z173" s="247">
        <f t="shared" si="42"/>
        <v>0.05</v>
      </c>
      <c r="AA173" s="169">
        <f t="shared" si="43"/>
        <v>849.23130395981707</v>
      </c>
      <c r="AB173" s="169">
        <f t="shared" si="44"/>
        <v>0.17377731764807747</v>
      </c>
    </row>
    <row r="174" spans="1:28">
      <c r="A174" s="164" t="str">
        <f>'Price Deck'!A168</f>
        <v>10/2032</v>
      </c>
      <c r="B174" s="51">
        <f>'Gas Type Curve'!A181</f>
        <v>12.666666666666687</v>
      </c>
      <c r="C174" s="51">
        <f>'Gas Type Curve'!B181</f>
        <v>152.00000000000026</v>
      </c>
      <c r="D174" s="51">
        <f>'Gas Type Curve'!C181</f>
        <v>159.9177722525267</v>
      </c>
      <c r="E174" s="51">
        <f>'Gas Type Curve'!D181</f>
        <v>4864.1655726810204</v>
      </c>
      <c r="F174" s="51">
        <f>'Gas Type Curve'!E181</f>
        <v>1969311.0039997855</v>
      </c>
      <c r="G174" s="164"/>
      <c r="H174" s="51">
        <f t="shared" si="32"/>
        <v>137738.57652160843</v>
      </c>
      <c r="I174" s="164">
        <f t="shared" si="33"/>
        <v>137.73857652160842</v>
      </c>
      <c r="J174" s="164">
        <f t="shared" si="30"/>
        <v>5137.6489042559942</v>
      </c>
      <c r="K174" s="169">
        <f t="shared" si="34"/>
        <v>3.2941822651795918</v>
      </c>
      <c r="L174" s="164"/>
      <c r="M174" s="170">
        <f t="shared" si="35"/>
        <v>9.8502746270132641E-2</v>
      </c>
      <c r="N174" s="164">
        <v>0.05</v>
      </c>
      <c r="O174" s="155">
        <f t="shared" si="36"/>
        <v>0.10365093591077551</v>
      </c>
      <c r="P174" s="155">
        <f t="shared" si="37"/>
        <v>9.8502746270132641E-2</v>
      </c>
      <c r="Q174" s="155">
        <f t="shared" si="38"/>
        <v>0.16762410096654079</v>
      </c>
      <c r="R174" s="164"/>
      <c r="S174" s="164">
        <f t="shared" si="31"/>
        <v>-0.10257181477128192</v>
      </c>
      <c r="T174" s="170">
        <f t="shared" si="39"/>
        <v>0.05</v>
      </c>
      <c r="U174" s="164"/>
      <c r="V174" s="171">
        <f>'Price Deck'!K168</f>
        <v>3.4755463529615493</v>
      </c>
      <c r="W174" s="169">
        <f t="shared" si="40"/>
        <v>3.2941822651795918</v>
      </c>
      <c r="X174" s="164"/>
      <c r="Y174" s="169">
        <f t="shared" si="41"/>
        <v>16905.632916332648</v>
      </c>
      <c r="Z174" s="247">
        <f t="shared" si="42"/>
        <v>0.05</v>
      </c>
      <c r="AA174" s="169">
        <f t="shared" si="43"/>
        <v>845.28164581663248</v>
      </c>
      <c r="AB174" s="169">
        <f t="shared" si="44"/>
        <v>0.1737773176480775</v>
      </c>
    </row>
    <row r="175" spans="1:28">
      <c r="A175" s="164" t="str">
        <f>'Price Deck'!A169</f>
        <v>11/2032</v>
      </c>
      <c r="B175" s="51">
        <f>'Gas Type Curve'!A182</f>
        <v>12.750000000000021</v>
      </c>
      <c r="C175" s="51">
        <f>'Gas Type Curve'!B182</f>
        <v>153.00000000000026</v>
      </c>
      <c r="D175" s="51">
        <f>'Gas Type Curve'!C182</f>
        <v>159.17888249655243</v>
      </c>
      <c r="E175" s="51">
        <f>'Gas Type Curve'!D182</f>
        <v>4841.6910092701364</v>
      </c>
      <c r="F175" s="51">
        <f>'Gas Type Curve'!E182</f>
        <v>1974152.6950090555</v>
      </c>
      <c r="G175" s="164"/>
      <c r="H175" s="51">
        <f t="shared" si="32"/>
        <v>137102.16430950243</v>
      </c>
      <c r="I175" s="164">
        <f t="shared" si="33"/>
        <v>137.10216430950243</v>
      </c>
      <c r="J175" s="164">
        <f t="shared" si="30"/>
        <v>5113.9107287444403</v>
      </c>
      <c r="K175" s="169">
        <f t="shared" si="34"/>
        <v>3.2941822651795918</v>
      </c>
      <c r="L175" s="164"/>
      <c r="M175" s="170">
        <f t="shared" si="35"/>
        <v>9.8502746270132641E-2</v>
      </c>
      <c r="N175" s="164">
        <v>0.05</v>
      </c>
      <c r="O175" s="155">
        <f t="shared" si="36"/>
        <v>0.10365093591077551</v>
      </c>
      <c r="P175" s="155">
        <f t="shared" si="37"/>
        <v>9.8502746270132641E-2</v>
      </c>
      <c r="Q175" s="155">
        <f t="shared" si="38"/>
        <v>0.16762410096654079</v>
      </c>
      <c r="R175" s="164"/>
      <c r="S175" s="164">
        <f t="shared" si="31"/>
        <v>-0.10288601148039865</v>
      </c>
      <c r="T175" s="170">
        <f t="shared" si="39"/>
        <v>0.05</v>
      </c>
      <c r="U175" s="164"/>
      <c r="V175" s="171">
        <f>'Price Deck'!K169</f>
        <v>3.4755463529615493</v>
      </c>
      <c r="W175" s="169">
        <f t="shared" si="40"/>
        <v>3.2941822651795918</v>
      </c>
      <c r="X175" s="164"/>
      <c r="Y175" s="169">
        <f t="shared" si="41"/>
        <v>16827.521529435544</v>
      </c>
      <c r="Z175" s="247">
        <f t="shared" si="42"/>
        <v>0.05</v>
      </c>
      <c r="AA175" s="169">
        <f t="shared" si="43"/>
        <v>841.3760764717772</v>
      </c>
      <c r="AB175" s="169">
        <f t="shared" si="44"/>
        <v>0.17377731764807744</v>
      </c>
    </row>
    <row r="176" spans="1:28">
      <c r="A176" s="164" t="str">
        <f>'Price Deck'!A170</f>
        <v>01/2032</v>
      </c>
      <c r="B176" s="51">
        <f>'Gas Type Curve'!A183</f>
        <v>12.833333333333355</v>
      </c>
      <c r="C176" s="51">
        <f>'Gas Type Curve'!B183</f>
        <v>154.00000000000026</v>
      </c>
      <c r="D176" s="51">
        <f>'Gas Type Curve'!C183</f>
        <v>158.44818712594264</v>
      </c>
      <c r="E176" s="51">
        <f>'Gas Type Curve'!D183</f>
        <v>4819.4656917474222</v>
      </c>
      <c r="F176" s="51">
        <f>'Gas Type Curve'!E183</f>
        <v>1978972.1607008029</v>
      </c>
      <c r="G176" s="164"/>
      <c r="H176" s="51">
        <f t="shared" si="32"/>
        <v>136472.80999321176</v>
      </c>
      <c r="I176" s="164">
        <f t="shared" si="33"/>
        <v>136.47280999321177</v>
      </c>
      <c r="J176" s="164">
        <f t="shared" si="30"/>
        <v>5090.4358127467985</v>
      </c>
      <c r="K176" s="169">
        <f t="shared" si="34"/>
        <v>3.2941822651795918</v>
      </c>
      <c r="L176" s="164"/>
      <c r="M176" s="170">
        <f t="shared" si="35"/>
        <v>9.8502746270132641E-2</v>
      </c>
      <c r="N176" s="164">
        <v>0.05</v>
      </c>
      <c r="O176" s="155">
        <f t="shared" si="36"/>
        <v>0.10365093591077551</v>
      </c>
      <c r="P176" s="155">
        <f t="shared" si="37"/>
        <v>9.8502746270132641E-2</v>
      </c>
      <c r="Q176" s="155">
        <f t="shared" si="38"/>
        <v>0.16762410096654079</v>
      </c>
      <c r="R176" s="164"/>
      <c r="S176" s="164">
        <f t="shared" si="31"/>
        <v>-0.10319672370635136</v>
      </c>
      <c r="T176" s="170">
        <f t="shared" si="39"/>
        <v>0.05</v>
      </c>
      <c r="U176" s="164"/>
      <c r="V176" s="171">
        <f>'Price Deck'!K170</f>
        <v>3.4755463529615493</v>
      </c>
      <c r="W176" s="169">
        <f t="shared" si="40"/>
        <v>3.2941822651795918</v>
      </c>
      <c r="X176" s="164"/>
      <c r="Y176" s="169">
        <f t="shared" si="41"/>
        <v>16750.276408176065</v>
      </c>
      <c r="Z176" s="247">
        <f t="shared" si="42"/>
        <v>0.05</v>
      </c>
      <c r="AA176" s="169">
        <f t="shared" si="43"/>
        <v>837.51382040880333</v>
      </c>
      <c r="AB176" s="169">
        <f t="shared" si="44"/>
        <v>0.1737773176480775</v>
      </c>
    </row>
    <row r="177" spans="1:28">
      <c r="A177" s="164" t="str">
        <f>'Price Deck'!A171</f>
        <v>02/2032</v>
      </c>
      <c r="B177" s="51">
        <f>'Gas Type Curve'!A184</f>
        <v>12.916666666666689</v>
      </c>
      <c r="C177" s="51">
        <f>'Gas Type Curve'!B184</f>
        <v>155.00000000000028</v>
      </c>
      <c r="D177" s="51">
        <f>'Gas Type Curve'!C184</f>
        <v>157.72554293329631</v>
      </c>
      <c r="E177" s="51">
        <f>'Gas Type Curve'!D184</f>
        <v>4797.4852642210963</v>
      </c>
      <c r="F177" s="51">
        <f>'Gas Type Curve'!E184</f>
        <v>1983769.6459650241</v>
      </c>
      <c r="G177" s="164"/>
      <c r="H177" s="51">
        <f t="shared" si="32"/>
        <v>135850.39022694877</v>
      </c>
      <c r="I177" s="164">
        <f t="shared" si="33"/>
        <v>135.85039022694878</v>
      </c>
      <c r="J177" s="164">
        <f t="shared" si="30"/>
        <v>5067.2195554651889</v>
      </c>
      <c r="K177" s="169">
        <f t="shared" si="34"/>
        <v>3.3608272343085117</v>
      </c>
      <c r="L177" s="164"/>
      <c r="M177" s="170">
        <f t="shared" si="35"/>
        <v>0.10133515745811174</v>
      </c>
      <c r="N177" s="164">
        <v>0.05</v>
      </c>
      <c r="O177" s="155">
        <f t="shared" si="36"/>
        <v>0.10764963405851072</v>
      </c>
      <c r="P177" s="155">
        <f t="shared" si="37"/>
        <v>0.10133515745811174</v>
      </c>
      <c r="Q177" s="155">
        <f t="shared" si="38"/>
        <v>0.16912361277194149</v>
      </c>
      <c r="R177" s="164"/>
      <c r="S177" s="164">
        <f t="shared" si="31"/>
        <v>-0.10350401234495539</v>
      </c>
      <c r="T177" s="170">
        <f t="shared" si="39"/>
        <v>0.05</v>
      </c>
      <c r="U177" s="164"/>
      <c r="V177" s="171">
        <f>'Price Deck'!K171</f>
        <v>3.5458605191956463</v>
      </c>
      <c r="W177" s="169">
        <f t="shared" si="40"/>
        <v>3.3608272343085117</v>
      </c>
      <c r="X177" s="164"/>
      <c r="Y177" s="169">
        <f t="shared" si="41"/>
        <v>17011.213589824478</v>
      </c>
      <c r="Z177" s="247">
        <f t="shared" si="42"/>
        <v>0.05</v>
      </c>
      <c r="AA177" s="169">
        <f t="shared" si="43"/>
        <v>850.56067949122394</v>
      </c>
      <c r="AB177" s="169">
        <f t="shared" si="44"/>
        <v>0.1772930259597823</v>
      </c>
    </row>
    <row r="178" spans="1:28">
      <c r="A178" s="164" t="str">
        <f>'Price Deck'!A172</f>
        <v>03/2032</v>
      </c>
      <c r="B178" s="51">
        <f>'Gas Type Curve'!A185</f>
        <v>13.000000000000023</v>
      </c>
      <c r="C178" s="51">
        <f>'Gas Type Curve'!B185</f>
        <v>156.00000000000028</v>
      </c>
      <c r="D178" s="51">
        <f>'Gas Type Curve'!C185</f>
        <v>157.01081011675598</v>
      </c>
      <c r="E178" s="51">
        <f>'Gas Type Curve'!D185</f>
        <v>4775.7454743846611</v>
      </c>
      <c r="F178" s="51">
        <f>'Gas Type Curve'!E185</f>
        <v>1988545.3914394088</v>
      </c>
      <c r="G178" s="164"/>
      <c r="H178" s="51">
        <f t="shared" si="32"/>
        <v>135234.78459815044</v>
      </c>
      <c r="I178" s="164">
        <f t="shared" si="33"/>
        <v>135.23478459815044</v>
      </c>
      <c r="J178" s="164">
        <f t="shared" si="30"/>
        <v>5044.2574655110111</v>
      </c>
      <c r="K178" s="169">
        <f t="shared" si="34"/>
        <v>3.3608272343085117</v>
      </c>
      <c r="L178" s="164"/>
      <c r="M178" s="170">
        <f t="shared" si="35"/>
        <v>0.10133515745811174</v>
      </c>
      <c r="N178" s="164">
        <v>0.05</v>
      </c>
      <c r="O178" s="155">
        <f t="shared" si="36"/>
        <v>0.10764963405851072</v>
      </c>
      <c r="P178" s="155">
        <f t="shared" si="37"/>
        <v>0.10133515745811174</v>
      </c>
      <c r="Q178" s="155">
        <f t="shared" si="38"/>
        <v>0.16912361277194149</v>
      </c>
      <c r="R178" s="164"/>
      <c r="S178" s="164">
        <f t="shared" si="31"/>
        <v>-0.10380793684389313</v>
      </c>
      <c r="T178" s="170">
        <f t="shared" si="39"/>
        <v>0.05</v>
      </c>
      <c r="U178" s="164"/>
      <c r="V178" s="171">
        <f>'Price Deck'!K172</f>
        <v>3.5458605191956463</v>
      </c>
      <c r="W178" s="169">
        <f t="shared" si="40"/>
        <v>3.3608272343085117</v>
      </c>
      <c r="X178" s="164"/>
      <c r="Y178" s="169">
        <f t="shared" si="41"/>
        <v>16934.127327347851</v>
      </c>
      <c r="Z178" s="247">
        <f t="shared" si="42"/>
        <v>0.05</v>
      </c>
      <c r="AA178" s="169">
        <f t="shared" si="43"/>
        <v>846.70636636739255</v>
      </c>
      <c r="AB178" s="169">
        <f t="shared" si="44"/>
        <v>0.1772930259597823</v>
      </c>
    </row>
    <row r="179" spans="1:28">
      <c r="A179" s="164" t="str">
        <f>'Price Deck'!A173</f>
        <v>04/2032</v>
      </c>
      <c r="B179" s="51">
        <f>'Gas Type Curve'!A186</f>
        <v>13.083333333333357</v>
      </c>
      <c r="C179" s="51">
        <f>'Gas Type Curve'!B186</f>
        <v>157.00000000000028</v>
      </c>
      <c r="D179" s="51">
        <f>'Gas Type Curve'!C186</f>
        <v>156.30385217782572</v>
      </c>
      <c r="E179" s="51">
        <f>'Gas Type Curve'!D186</f>
        <v>4754.2421704088656</v>
      </c>
      <c r="F179" s="51">
        <f>'Gas Type Curve'!E186</f>
        <v>1993299.6336098176</v>
      </c>
      <c r="G179" s="164"/>
      <c r="H179" s="51">
        <f t="shared" si="32"/>
        <v>134625.87553946784</v>
      </c>
      <c r="I179" s="164">
        <f t="shared" si="33"/>
        <v>134.62587553946784</v>
      </c>
      <c r="J179" s="164">
        <f t="shared" si="30"/>
        <v>5021.5451576221503</v>
      </c>
      <c r="K179" s="169">
        <f t="shared" si="34"/>
        <v>3.3608272343085117</v>
      </c>
      <c r="L179" s="164"/>
      <c r="M179" s="170">
        <f t="shared" si="35"/>
        <v>0.10133515745811174</v>
      </c>
      <c r="N179" s="164">
        <v>0.05</v>
      </c>
      <c r="O179" s="155">
        <f t="shared" si="36"/>
        <v>0.10764963405851072</v>
      </c>
      <c r="P179" s="155">
        <f t="shared" si="37"/>
        <v>0.10133515745811174</v>
      </c>
      <c r="Q179" s="155">
        <f t="shared" si="38"/>
        <v>0.16912361277194149</v>
      </c>
      <c r="R179" s="164"/>
      <c r="S179" s="164">
        <f t="shared" si="31"/>
        <v>-0.10410855524616473</v>
      </c>
      <c r="T179" s="170">
        <f t="shared" si="39"/>
        <v>0.05</v>
      </c>
      <c r="U179" s="164"/>
      <c r="V179" s="171">
        <f>'Price Deck'!K173</f>
        <v>3.5458605191956463</v>
      </c>
      <c r="W179" s="169">
        <f t="shared" si="40"/>
        <v>3.3608272343085117</v>
      </c>
      <c r="X179" s="164"/>
      <c r="Y179" s="169">
        <f t="shared" si="41"/>
        <v>16857.879610747816</v>
      </c>
      <c r="Z179" s="247">
        <f t="shared" si="42"/>
        <v>0.05</v>
      </c>
      <c r="AA179" s="169">
        <f t="shared" si="43"/>
        <v>842.8939805373908</v>
      </c>
      <c r="AB179" s="169">
        <f t="shared" si="44"/>
        <v>0.1772930259597823</v>
      </c>
    </row>
    <row r="180" spans="1:28">
      <c r="A180" s="164" t="str">
        <f>'Price Deck'!A174</f>
        <v>05/2032</v>
      </c>
      <c r="B180" s="51">
        <f>'Gas Type Curve'!A187</f>
        <v>13.166666666666691</v>
      </c>
      <c r="C180" s="51">
        <f>'Gas Type Curve'!B187</f>
        <v>158.00000000000028</v>
      </c>
      <c r="D180" s="51">
        <f>'Gas Type Curve'!C187</f>
        <v>155.60453582288434</v>
      </c>
      <c r="E180" s="51">
        <f>'Gas Type Curve'!D187</f>
        <v>4732.9712979460655</v>
      </c>
      <c r="F180" s="51">
        <f>'Gas Type Curve'!E187</f>
        <v>1998032.6049077637</v>
      </c>
      <c r="G180" s="164"/>
      <c r="H180" s="51">
        <f t="shared" si="32"/>
        <v>134023.54824393874</v>
      </c>
      <c r="I180" s="164">
        <f t="shared" si="33"/>
        <v>134.02354824393873</v>
      </c>
      <c r="J180" s="164">
        <f t="shared" si="30"/>
        <v>4999.0783494989155</v>
      </c>
      <c r="K180" s="169">
        <f t="shared" si="34"/>
        <v>3.3608272343085117</v>
      </c>
      <c r="L180" s="164"/>
      <c r="M180" s="170">
        <f t="shared" si="35"/>
        <v>0.10133515745811174</v>
      </c>
      <c r="N180" s="164">
        <v>0.05</v>
      </c>
      <c r="O180" s="155">
        <f t="shared" si="36"/>
        <v>0.10764963405851072</v>
      </c>
      <c r="P180" s="155">
        <f t="shared" si="37"/>
        <v>0.10133515745811174</v>
      </c>
      <c r="Q180" s="155">
        <f t="shared" si="38"/>
        <v>0.16912361277194149</v>
      </c>
      <c r="R180" s="164"/>
      <c r="S180" s="164">
        <f t="shared" si="31"/>
        <v>-0.10440592423196746</v>
      </c>
      <c r="T180" s="170">
        <f t="shared" si="39"/>
        <v>0.05</v>
      </c>
      <c r="U180" s="164"/>
      <c r="V180" s="171">
        <f>'Price Deck'!K174</f>
        <v>3.5458605191956463</v>
      </c>
      <c r="W180" s="169">
        <f t="shared" si="40"/>
        <v>3.3608272343085117</v>
      </c>
      <c r="X180" s="164"/>
      <c r="Y180" s="169">
        <f t="shared" si="41"/>
        <v>16782.456063873127</v>
      </c>
      <c r="Z180" s="247">
        <f t="shared" si="42"/>
        <v>0.05</v>
      </c>
      <c r="AA180" s="169">
        <f t="shared" si="43"/>
        <v>839.12280319365641</v>
      </c>
      <c r="AB180" s="169">
        <f t="shared" si="44"/>
        <v>0.17729302595978233</v>
      </c>
    </row>
    <row r="181" spans="1:28">
      <c r="A181" s="164" t="str">
        <f>'Price Deck'!A175</f>
        <v>06/2032</v>
      </c>
      <c r="B181" s="51">
        <f>'Gas Type Curve'!A188</f>
        <v>13.250000000000025</v>
      </c>
      <c r="C181" s="51">
        <f>'Gas Type Curve'!B188</f>
        <v>159.00000000000028</v>
      </c>
      <c r="D181" s="51">
        <f>'Gas Type Curve'!C188</f>
        <v>154.91273086823594</v>
      </c>
      <c r="E181" s="51">
        <f>'Gas Type Curve'!D188</f>
        <v>4711.9288972421764</v>
      </c>
      <c r="F181" s="51">
        <f>'Gas Type Curve'!E188</f>
        <v>2002744.5338050057</v>
      </c>
      <c r="G181" s="164"/>
      <c r="H181" s="51">
        <f t="shared" si="32"/>
        <v>133427.69058320671</v>
      </c>
      <c r="I181" s="164">
        <f t="shared" si="33"/>
        <v>133.42769058320673</v>
      </c>
      <c r="J181" s="164">
        <f t="shared" si="30"/>
        <v>4976.8528587536102</v>
      </c>
      <c r="K181" s="169">
        <f t="shared" si="34"/>
        <v>3.3608272343085117</v>
      </c>
      <c r="L181" s="164"/>
      <c r="M181" s="170">
        <f t="shared" si="35"/>
        <v>0.10133515745811174</v>
      </c>
      <c r="N181" s="164">
        <v>0.05</v>
      </c>
      <c r="O181" s="155">
        <f t="shared" si="36"/>
        <v>0.10764963405851072</v>
      </c>
      <c r="P181" s="155">
        <f t="shared" si="37"/>
        <v>0.10133515745811174</v>
      </c>
      <c r="Q181" s="155">
        <f t="shared" si="38"/>
        <v>0.16912361277194149</v>
      </c>
      <c r="R181" s="164"/>
      <c r="S181" s="164">
        <f t="shared" si="31"/>
        <v>-0.10470009915907084</v>
      </c>
      <c r="T181" s="170">
        <f t="shared" si="39"/>
        <v>0.05</v>
      </c>
      <c r="U181" s="164"/>
      <c r="V181" s="171">
        <f>'Price Deck'!K175</f>
        <v>3.5458605191956463</v>
      </c>
      <c r="W181" s="169">
        <f t="shared" si="40"/>
        <v>3.3608272343085117</v>
      </c>
      <c r="X181" s="164"/>
      <c r="Y181" s="169">
        <f t="shared" si="41"/>
        <v>16707.842645988112</v>
      </c>
      <c r="Z181" s="247">
        <f t="shared" si="42"/>
        <v>0.05</v>
      </c>
      <c r="AA181" s="169">
        <f t="shared" si="43"/>
        <v>835.3921322994056</v>
      </c>
      <c r="AB181" s="169">
        <f t="shared" si="44"/>
        <v>0.1772930259597823</v>
      </c>
    </row>
    <row r="182" spans="1:28">
      <c r="A182" s="164" t="str">
        <f>'Price Deck'!A176</f>
        <v>07/2032</v>
      </c>
      <c r="B182" s="51">
        <f>'Gas Type Curve'!A189</f>
        <v>13.333333333333359</v>
      </c>
      <c r="C182" s="51">
        <f>'Gas Type Curve'!B189</f>
        <v>160.00000000000031</v>
      </c>
      <c r="D182" s="51">
        <f>'Gas Type Curve'!C189</f>
        <v>154.22831014854944</v>
      </c>
      <c r="E182" s="51">
        <f>'Gas Type Curve'!D189</f>
        <v>4691.1111003517126</v>
      </c>
      <c r="F182" s="51">
        <f>'Gas Type Curve'!E189</f>
        <v>2007435.6449053574</v>
      </c>
      <c r="G182" s="164"/>
      <c r="H182" s="51">
        <f t="shared" si="32"/>
        <v>132838.19302865944</v>
      </c>
      <c r="I182" s="164">
        <f t="shared" si="33"/>
        <v>132.83819302865945</v>
      </c>
      <c r="J182" s="164">
        <f t="shared" si="30"/>
        <v>4954.864599968997</v>
      </c>
      <c r="K182" s="169">
        <f t="shared" si="34"/>
        <v>3.3608272343085117</v>
      </c>
      <c r="L182" s="164"/>
      <c r="M182" s="170">
        <f t="shared" si="35"/>
        <v>0.10133515745811174</v>
      </c>
      <c r="N182" s="164">
        <v>0.05</v>
      </c>
      <c r="O182" s="155">
        <f t="shared" si="36"/>
        <v>0.10764963405851072</v>
      </c>
      <c r="P182" s="155">
        <f t="shared" si="37"/>
        <v>0.10133515745811174</v>
      </c>
      <c r="Q182" s="155">
        <f t="shared" si="38"/>
        <v>0.16912361277194149</v>
      </c>
      <c r="R182" s="164"/>
      <c r="S182" s="164">
        <f t="shared" si="31"/>
        <v>-0.10499113410175083</v>
      </c>
      <c r="T182" s="170">
        <f t="shared" si="39"/>
        <v>0.05</v>
      </c>
      <c r="U182" s="164"/>
      <c r="V182" s="171">
        <f>'Price Deck'!K176</f>
        <v>3.5458605191956463</v>
      </c>
      <c r="W182" s="169">
        <f t="shared" si="40"/>
        <v>3.3608272343085117</v>
      </c>
      <c r="X182" s="164"/>
      <c r="Y182" s="169">
        <f t="shared" si="41"/>
        <v>16634.025641897584</v>
      </c>
      <c r="Z182" s="247">
        <f t="shared" si="42"/>
        <v>0.05</v>
      </c>
      <c r="AA182" s="169">
        <f t="shared" si="43"/>
        <v>831.70128209487928</v>
      </c>
      <c r="AB182" s="169">
        <f t="shared" si="44"/>
        <v>0.17729302595978233</v>
      </c>
    </row>
    <row r="183" spans="1:28">
      <c r="A183" s="164" t="str">
        <f>'Price Deck'!A177</f>
        <v>08/2032</v>
      </c>
      <c r="B183" s="51">
        <f>'Gas Type Curve'!A190</f>
        <v>13.416666666666693</v>
      </c>
      <c r="C183" s="51">
        <f>'Gas Type Curve'!B190</f>
        <v>161.00000000000031</v>
      </c>
      <c r="D183" s="51">
        <f>'Gas Type Curve'!C190</f>
        <v>153.5511494285476</v>
      </c>
      <c r="E183" s="51">
        <f>'Gas Type Curve'!D190</f>
        <v>4670.5141284516567</v>
      </c>
      <c r="F183" s="51">
        <f>'Gas Type Curve'!E190</f>
        <v>2012106.1590338091</v>
      </c>
      <c r="G183" s="164"/>
      <c r="H183" s="51">
        <f t="shared" si="32"/>
        <v>132254.94857536556</v>
      </c>
      <c r="I183" s="164">
        <f t="shared" si="33"/>
        <v>132.25494857536557</v>
      </c>
      <c r="J183" s="164">
        <f t="shared" si="30"/>
        <v>4933.1095818611357</v>
      </c>
      <c r="K183" s="169">
        <f t="shared" si="34"/>
        <v>3.3608272343085117</v>
      </c>
      <c r="L183" s="164"/>
      <c r="M183" s="170">
        <f t="shared" si="35"/>
        <v>0.10133515745811174</v>
      </c>
      <c r="N183" s="164">
        <v>0.05</v>
      </c>
      <c r="O183" s="155">
        <f t="shared" si="36"/>
        <v>0.10764963405851072</v>
      </c>
      <c r="P183" s="155">
        <f t="shared" si="37"/>
        <v>0.10133515745811174</v>
      </c>
      <c r="Q183" s="155">
        <f t="shared" si="38"/>
        <v>0.16912361277194149</v>
      </c>
      <c r="R183" s="164"/>
      <c r="S183" s="164">
        <f t="shared" si="31"/>
        <v>-0.10527908188834202</v>
      </c>
      <c r="T183" s="170">
        <f t="shared" si="39"/>
        <v>0.05</v>
      </c>
      <c r="U183" s="164"/>
      <c r="V183" s="171">
        <f>'Price Deck'!K177</f>
        <v>3.5458605191956463</v>
      </c>
      <c r="W183" s="169">
        <f t="shared" si="40"/>
        <v>3.3608272343085117</v>
      </c>
      <c r="X183" s="164"/>
      <c r="Y183" s="169">
        <f t="shared" si="41"/>
        <v>16560.991652422192</v>
      </c>
      <c r="Z183" s="247">
        <f t="shared" si="42"/>
        <v>0.05</v>
      </c>
      <c r="AA183" s="169">
        <f t="shared" si="43"/>
        <v>828.04958262110961</v>
      </c>
      <c r="AB183" s="169">
        <f t="shared" si="44"/>
        <v>0.1772930259597823</v>
      </c>
    </row>
    <row r="184" spans="1:28">
      <c r="A184" s="164" t="str">
        <f>'Price Deck'!A178</f>
        <v>09/2032</v>
      </c>
      <c r="B184" s="51">
        <f>'Gas Type Curve'!A191</f>
        <v>13.500000000000027</v>
      </c>
      <c r="C184" s="51">
        <f>'Gas Type Curve'!B191</f>
        <v>162.00000000000031</v>
      </c>
      <c r="D184" s="51">
        <f>'Gas Type Curve'!C191</f>
        <v>152.88112731780745</v>
      </c>
      <c r="E184" s="51">
        <f>'Gas Type Curve'!D191</f>
        <v>4650.134289249977</v>
      </c>
      <c r="F184" s="51">
        <f>'Gas Type Curve'!E191</f>
        <v>2016756.2933230591</v>
      </c>
      <c r="G184" s="164"/>
      <c r="H184" s="51">
        <f t="shared" si="32"/>
        <v>131677.8526686916</v>
      </c>
      <c r="I184" s="164">
        <f t="shared" si="33"/>
        <v>131.6778526686916</v>
      </c>
      <c r="J184" s="164">
        <f t="shared" si="30"/>
        <v>4911.5839045421963</v>
      </c>
      <c r="K184" s="169">
        <f t="shared" si="34"/>
        <v>3.3608272343085117</v>
      </c>
      <c r="L184" s="164"/>
      <c r="M184" s="170">
        <f t="shared" si="35"/>
        <v>0.10133515745811174</v>
      </c>
      <c r="N184" s="164">
        <v>0.05</v>
      </c>
      <c r="O184" s="155">
        <f t="shared" si="36"/>
        <v>0.10764963405851072</v>
      </c>
      <c r="P184" s="155">
        <f t="shared" si="37"/>
        <v>0.10133515745811174</v>
      </c>
      <c r="Q184" s="155">
        <f t="shared" si="38"/>
        <v>0.16912361277194149</v>
      </c>
      <c r="R184" s="164"/>
      <c r="S184" s="164">
        <f t="shared" si="31"/>
        <v>-0.10556399413746696</v>
      </c>
      <c r="T184" s="170">
        <f t="shared" si="39"/>
        <v>0.05</v>
      </c>
      <c r="U184" s="164"/>
      <c r="V184" s="171">
        <f>'Price Deck'!K178</f>
        <v>3.5458605191956463</v>
      </c>
      <c r="W184" s="169">
        <f t="shared" si="40"/>
        <v>3.3608272343085117</v>
      </c>
      <c r="X184" s="164"/>
      <c r="Y184" s="169">
        <f t="shared" si="41"/>
        <v>16488.727585209403</v>
      </c>
      <c r="Z184" s="247">
        <f t="shared" si="42"/>
        <v>0.05</v>
      </c>
      <c r="AA184" s="169">
        <f t="shared" si="43"/>
        <v>824.43637926047018</v>
      </c>
      <c r="AB184" s="169">
        <f t="shared" si="44"/>
        <v>0.17729302595978233</v>
      </c>
    </row>
    <row r="185" spans="1:28">
      <c r="A185" s="164" t="str">
        <f>'Price Deck'!A179</f>
        <v>10/2032</v>
      </c>
      <c r="B185" s="51">
        <f>'Gas Type Curve'!A192</f>
        <v>13.583333333333361</v>
      </c>
      <c r="C185" s="51">
        <f>'Gas Type Curve'!B192</f>
        <v>163.00000000000034</v>
      </c>
      <c r="D185" s="51">
        <f>'Gas Type Curve'!C192</f>
        <v>152.21812518854802</v>
      </c>
      <c r="E185" s="51">
        <f>'Gas Type Curve'!D192</f>
        <v>4629.9679744850027</v>
      </c>
      <c r="F185" s="51">
        <f>'Gas Type Curve'!E192</f>
        <v>2021386.261297544</v>
      </c>
      <c r="G185" s="164"/>
      <c r="H185" s="51">
        <f t="shared" si="32"/>
        <v>131106.80313349181</v>
      </c>
      <c r="I185" s="164">
        <f t="shared" si="33"/>
        <v>131.10680313349181</v>
      </c>
      <c r="J185" s="164">
        <f t="shared" si="30"/>
        <v>4890.2837568792447</v>
      </c>
      <c r="K185" s="169">
        <f t="shared" si="34"/>
        <v>3.3608272343085117</v>
      </c>
      <c r="L185" s="164"/>
      <c r="M185" s="170">
        <f t="shared" si="35"/>
        <v>0.10133515745811174</v>
      </c>
      <c r="N185" s="164">
        <v>0.05</v>
      </c>
      <c r="O185" s="155">
        <f t="shared" si="36"/>
        <v>0.10764963405851072</v>
      </c>
      <c r="P185" s="155">
        <f t="shared" si="37"/>
        <v>0.10133515745811174</v>
      </c>
      <c r="Q185" s="155">
        <f t="shared" si="38"/>
        <v>0.16912361277194149</v>
      </c>
      <c r="R185" s="164"/>
      <c r="S185" s="164">
        <f t="shared" si="31"/>
        <v>-0.1058459212929951</v>
      </c>
      <c r="T185" s="170">
        <f t="shared" si="39"/>
        <v>0.05</v>
      </c>
      <c r="U185" s="164"/>
      <c r="V185" s="171">
        <f>'Price Deck'!K179</f>
        <v>3.5458605191956463</v>
      </c>
      <c r="W185" s="169">
        <f t="shared" si="40"/>
        <v>3.3608272343085117</v>
      </c>
      <c r="X185" s="164"/>
      <c r="Y185" s="169">
        <f t="shared" si="41"/>
        <v>16417.220645866608</v>
      </c>
      <c r="Z185" s="247">
        <f t="shared" si="42"/>
        <v>0.05</v>
      </c>
      <c r="AA185" s="169">
        <f t="shared" si="43"/>
        <v>820.86103229333048</v>
      </c>
      <c r="AB185" s="169">
        <f t="shared" si="44"/>
        <v>0.17729302595978236</v>
      </c>
    </row>
    <row r="186" spans="1:28">
      <c r="A186" s="164" t="str">
        <f>'Price Deck'!A180</f>
        <v>11/2032</v>
      </c>
      <c r="B186" s="51">
        <f>'Gas Type Curve'!A193</f>
        <v>13.666666666666694</v>
      </c>
      <c r="C186" s="51">
        <f>'Gas Type Curve'!B193</f>
        <v>164.00000000000034</v>
      </c>
      <c r="D186" s="51">
        <f>'Gas Type Curve'!C193</f>
        <v>151.56202709628002</v>
      </c>
      <c r="E186" s="51">
        <f>'Gas Type Curve'!D193</f>
        <v>4610.0116575118509</v>
      </c>
      <c r="F186" s="51">
        <f>'Gas Type Curve'!E193</f>
        <v>2025996.2729550558</v>
      </c>
      <c r="G186" s="164"/>
      <c r="H186" s="51">
        <f t="shared" si="32"/>
        <v>130541.70010576307</v>
      </c>
      <c r="I186" s="164">
        <f t="shared" si="33"/>
        <v>130.54170010576306</v>
      </c>
      <c r="J186" s="164">
        <f t="shared" si="30"/>
        <v>4869.2054139449629</v>
      </c>
      <c r="K186" s="169">
        <f t="shared" si="34"/>
        <v>3.3608272343085117</v>
      </c>
      <c r="L186" s="164"/>
      <c r="M186" s="170">
        <f t="shared" si="35"/>
        <v>0.10133515745811174</v>
      </c>
      <c r="N186" s="164">
        <v>0.05</v>
      </c>
      <c r="O186" s="155">
        <f t="shared" si="36"/>
        <v>0.10764963405851072</v>
      </c>
      <c r="P186" s="155">
        <f t="shared" si="37"/>
        <v>0.10133515745811174</v>
      </c>
      <c r="Q186" s="155">
        <f t="shared" si="38"/>
        <v>0.16912361277194149</v>
      </c>
      <c r="R186" s="164"/>
      <c r="S186" s="164">
        <f t="shared" si="31"/>
        <v>-0.10612491265778479</v>
      </c>
      <c r="T186" s="170">
        <f t="shared" si="39"/>
        <v>0.05</v>
      </c>
      <c r="U186" s="164"/>
      <c r="V186" s="171">
        <f>'Price Deck'!K180</f>
        <v>3.5458605191956463</v>
      </c>
      <c r="W186" s="169">
        <f t="shared" si="40"/>
        <v>3.3608272343085117</v>
      </c>
      <c r="X186" s="164"/>
      <c r="Y186" s="169">
        <f t="shared" si="41"/>
        <v>16346.458329402953</v>
      </c>
      <c r="Z186" s="247">
        <f t="shared" si="42"/>
        <v>0.05</v>
      </c>
      <c r="AA186" s="169">
        <f t="shared" si="43"/>
        <v>817.32291647014767</v>
      </c>
      <c r="AB186" s="169">
        <f t="shared" si="44"/>
        <v>0.1772930259597823</v>
      </c>
    </row>
    <row r="187" spans="1:28">
      <c r="A187" s="164" t="str">
        <f>'Price Deck'!A181</f>
        <v>12/2032</v>
      </c>
      <c r="B187" s="51">
        <f>'Gas Type Curve'!A194</f>
        <v>13.750000000000028</v>
      </c>
      <c r="C187" s="51">
        <f>'Gas Type Curve'!B194</f>
        <v>165.00000000000034</v>
      </c>
      <c r="D187" s="51">
        <f>'Gas Type Curve'!C194</f>
        <v>150.91271970320261</v>
      </c>
      <c r="E187" s="51">
        <f>'Gas Type Curve'!D194</f>
        <v>4590.2618909724133</v>
      </c>
      <c r="F187" s="51">
        <f>'Gas Type Curve'!E194</f>
        <v>2030586.5348460283</v>
      </c>
      <c r="G187" s="164"/>
      <c r="H187" s="51">
        <f t="shared" si="32"/>
        <v>129982.44596666582</v>
      </c>
      <c r="I187" s="164">
        <f t="shared" si="33"/>
        <v>129.98244596666584</v>
      </c>
      <c r="J187" s="164">
        <f t="shared" si="30"/>
        <v>4848.3452345566348</v>
      </c>
      <c r="K187" s="169">
        <f t="shared" si="34"/>
        <v>3.3608272343085117</v>
      </c>
      <c r="L187" s="164"/>
      <c r="M187" s="170">
        <f t="shared" si="35"/>
        <v>0.10133515745811174</v>
      </c>
      <c r="N187" s="164">
        <v>0.05</v>
      </c>
      <c r="O187" s="155">
        <f t="shared" si="36"/>
        <v>0.10764963405851072</v>
      </c>
      <c r="P187" s="155">
        <f t="shared" si="37"/>
        <v>0.10133515745811174</v>
      </c>
      <c r="Q187" s="155">
        <f t="shared" si="38"/>
        <v>0.16912361277194149</v>
      </c>
      <c r="R187" s="164"/>
      <c r="S187" s="164">
        <f t="shared" si="31"/>
        <v>-0.10640101642625709</v>
      </c>
      <c r="T187" s="170">
        <f t="shared" si="39"/>
        <v>0.05</v>
      </c>
      <c r="U187" s="164"/>
      <c r="V187" s="171">
        <f>'Price Deck'!K181</f>
        <v>3.5458605191956463</v>
      </c>
      <c r="W187" s="169">
        <f t="shared" si="40"/>
        <v>3.3608272343085117</v>
      </c>
      <c r="X187" s="164"/>
      <c r="Y187" s="169">
        <f t="shared" si="41"/>
        <v>16276.42841196743</v>
      </c>
      <c r="Z187" s="247">
        <f t="shared" si="42"/>
        <v>0.05</v>
      </c>
      <c r="AA187" s="169">
        <f t="shared" si="43"/>
        <v>813.82142059837156</v>
      </c>
      <c r="AB187" s="169">
        <f t="shared" si="44"/>
        <v>0.17729302595978233</v>
      </c>
    </row>
    <row r="188" spans="1:28">
      <c r="A188" s="164" t="str">
        <f>'Price Deck'!A182</f>
        <v>01/2033</v>
      </c>
      <c r="B188" s="51">
        <f>'Gas Type Curve'!A195</f>
        <v>13.833333333333362</v>
      </c>
      <c r="C188" s="51">
        <f>'Gas Type Curve'!B195</f>
        <v>166.00000000000034</v>
      </c>
      <c r="D188" s="51">
        <f>'Gas Type Curve'!C195</f>
        <v>150.27009220423571</v>
      </c>
      <c r="E188" s="51">
        <f>'Gas Type Curve'!D195</f>
        <v>4570.7153045455034</v>
      </c>
      <c r="F188" s="51">
        <f>'Gas Type Curve'!E195</f>
        <v>2035157.2501505739</v>
      </c>
      <c r="G188" s="164"/>
      <c r="H188" s="51">
        <f t="shared" si="32"/>
        <v>129428.94527881501</v>
      </c>
      <c r="I188" s="164">
        <f t="shared" si="33"/>
        <v>129.42894527881501</v>
      </c>
      <c r="J188" s="164">
        <f t="shared" si="30"/>
        <v>4827.6996588997999</v>
      </c>
      <c r="K188" s="169">
        <f t="shared" si="34"/>
        <v>3.3608272343085117</v>
      </c>
      <c r="L188" s="164"/>
      <c r="M188" s="170">
        <f t="shared" si="35"/>
        <v>0.10133515745811174</v>
      </c>
      <c r="N188" s="164">
        <v>0.05</v>
      </c>
      <c r="O188" s="155">
        <f t="shared" si="36"/>
        <v>0.10764963405851072</v>
      </c>
      <c r="P188" s="155">
        <f t="shared" si="37"/>
        <v>0.10133515745811174</v>
      </c>
      <c r="Q188" s="155">
        <f t="shared" si="38"/>
        <v>0.16912361277194149</v>
      </c>
      <c r="R188" s="164"/>
      <c r="S188" s="164">
        <f t="shared" si="31"/>
        <v>-0.10667427971584903</v>
      </c>
      <c r="T188" s="170">
        <f t="shared" si="39"/>
        <v>0.05</v>
      </c>
      <c r="U188" s="164"/>
      <c r="V188" s="171">
        <f>'Price Deck'!K182</f>
        <v>3.5458605191956463</v>
      </c>
      <c r="W188" s="169">
        <f t="shared" si="40"/>
        <v>3.3608272343085117</v>
      </c>
      <c r="X188" s="164"/>
      <c r="Y188" s="169">
        <f t="shared" si="41"/>
        <v>16207.118942871206</v>
      </c>
      <c r="Z188" s="247">
        <f t="shared" si="42"/>
        <v>0.05</v>
      </c>
      <c r="AA188" s="169">
        <f t="shared" si="43"/>
        <v>810.35594714356034</v>
      </c>
      <c r="AB188" s="169">
        <f t="shared" si="44"/>
        <v>0.17729302595978233</v>
      </c>
    </row>
    <row r="189" spans="1:28">
      <c r="A189" s="164" t="str">
        <f>'Price Deck'!A183</f>
        <v>02/2033</v>
      </c>
      <c r="B189" s="51">
        <f>'Gas Type Curve'!A196</f>
        <v>13.916666666666696</v>
      </c>
      <c r="C189" s="51">
        <f>'Gas Type Curve'!B196</f>
        <v>167.00000000000034</v>
      </c>
      <c r="D189" s="51">
        <f>'Gas Type Curve'!C196</f>
        <v>149.63403625558163</v>
      </c>
      <c r="E189" s="51">
        <f>'Gas Type Curve'!D196</f>
        <v>4551.3686027739413</v>
      </c>
      <c r="F189" s="51">
        <f>'Gas Type Curve'!E196</f>
        <v>2039708.6187533478</v>
      </c>
      <c r="G189" s="164"/>
      <c r="H189" s="51">
        <f t="shared" si="32"/>
        <v>128881.10472474969</v>
      </c>
      <c r="I189" s="164">
        <f t="shared" si="33"/>
        <v>128.88110472474969</v>
      </c>
      <c r="J189" s="164">
        <f t="shared" si="30"/>
        <v>4807.2652062331636</v>
      </c>
      <c r="K189" s="169">
        <f t="shared" si="34"/>
        <v>3.4284718779743635</v>
      </c>
      <c r="L189" s="164"/>
      <c r="M189" s="170">
        <f t="shared" si="35"/>
        <v>0.10421005481391044</v>
      </c>
      <c r="N189" s="164">
        <v>0.05</v>
      </c>
      <c r="O189" s="155">
        <f t="shared" si="36"/>
        <v>0.11170831267846182</v>
      </c>
      <c r="P189" s="155">
        <f t="shared" si="37"/>
        <v>0.10421005481391044</v>
      </c>
      <c r="Q189" s="155">
        <f t="shared" si="38"/>
        <v>0.17064561725442318</v>
      </c>
      <c r="R189" s="164"/>
      <c r="S189" s="164">
        <f t="shared" si="31"/>
        <v>-0.10694474859739109</v>
      </c>
      <c r="T189" s="170">
        <f t="shared" si="39"/>
        <v>0.05</v>
      </c>
      <c r="U189" s="164"/>
      <c r="V189" s="171">
        <f>'Price Deck'!K183</f>
        <v>3.617229397923253</v>
      </c>
      <c r="W189" s="169">
        <f t="shared" si="40"/>
        <v>3.4284718779743635</v>
      </c>
      <c r="X189" s="164"/>
      <c r="Y189" s="169">
        <f t="shared" si="41"/>
        <v>16463.344310738783</v>
      </c>
      <c r="Z189" s="247">
        <f t="shared" si="42"/>
        <v>0.05</v>
      </c>
      <c r="AA189" s="169">
        <f t="shared" si="43"/>
        <v>823.16721553693924</v>
      </c>
      <c r="AB189" s="169">
        <f t="shared" si="44"/>
        <v>0.1808614698961627</v>
      </c>
    </row>
    <row r="190" spans="1:28">
      <c r="A190" s="164" t="str">
        <f>'Price Deck'!A184</f>
        <v>03/2033</v>
      </c>
      <c r="B190" s="51">
        <f>'Gas Type Curve'!A197</f>
        <v>14.00000000000003</v>
      </c>
      <c r="C190" s="51">
        <f>'Gas Type Curve'!B197</f>
        <v>168.00000000000037</v>
      </c>
      <c r="D190" s="51">
        <f>'Gas Type Curve'!C197</f>
        <v>149.00444590571576</v>
      </c>
      <c r="E190" s="51">
        <f>'Gas Type Curve'!D197</f>
        <v>4532.2185629655214</v>
      </c>
      <c r="F190" s="51">
        <f>'Gas Type Curve'!E197</f>
        <v>2044240.8373163133</v>
      </c>
      <c r="G190" s="164"/>
      <c r="H190" s="51">
        <f t="shared" si="32"/>
        <v>128338.83304749467</v>
      </c>
      <c r="I190" s="164">
        <f t="shared" si="33"/>
        <v>128.33883304749466</v>
      </c>
      <c r="J190" s="164">
        <f t="shared" si="30"/>
        <v>4787.0384726715511</v>
      </c>
      <c r="K190" s="169">
        <f t="shared" si="34"/>
        <v>3.4284718779743635</v>
      </c>
      <c r="L190" s="164"/>
      <c r="M190" s="170">
        <f t="shared" si="35"/>
        <v>0.10421005481391044</v>
      </c>
      <c r="N190" s="164">
        <v>0.05</v>
      </c>
      <c r="O190" s="155">
        <f t="shared" si="36"/>
        <v>0.11170831267846182</v>
      </c>
      <c r="P190" s="155">
        <f t="shared" si="37"/>
        <v>0.10421005481391044</v>
      </c>
      <c r="Q190" s="155">
        <f t="shared" si="38"/>
        <v>0.17064561725442318</v>
      </c>
      <c r="R190" s="164"/>
      <c r="S190" s="164">
        <f t="shared" si="31"/>
        <v>-0.10721246812445188</v>
      </c>
      <c r="T190" s="170">
        <f t="shared" si="39"/>
        <v>0.05</v>
      </c>
      <c r="U190" s="164"/>
      <c r="V190" s="171">
        <f>'Price Deck'!K184</f>
        <v>3.617229397923253</v>
      </c>
      <c r="W190" s="169">
        <f t="shared" si="40"/>
        <v>3.4284718779743635</v>
      </c>
      <c r="X190" s="164"/>
      <c r="Y190" s="169">
        <f t="shared" si="41"/>
        <v>16394.074223772364</v>
      </c>
      <c r="Z190" s="247">
        <f t="shared" si="42"/>
        <v>0.05</v>
      </c>
      <c r="AA190" s="169">
        <f t="shared" si="43"/>
        <v>819.70371118861829</v>
      </c>
      <c r="AB190" s="169">
        <f t="shared" si="44"/>
        <v>0.18086146989616267</v>
      </c>
    </row>
    <row r="191" spans="1:28">
      <c r="A191" s="164" t="str">
        <f>'Price Deck'!A185</f>
        <v>04/2033</v>
      </c>
      <c r="B191" s="51">
        <f>'Gas Type Curve'!A198</f>
        <v>14.083333333333364</v>
      </c>
      <c r="C191" s="51">
        <f>'Gas Type Curve'!B198</f>
        <v>169.00000000000037</v>
      </c>
      <c r="D191" s="51">
        <f>'Gas Type Curve'!C198</f>
        <v>148.3812175287095</v>
      </c>
      <c r="E191" s="51">
        <f>'Gas Type Curve'!D198</f>
        <v>4513.2620331649141</v>
      </c>
      <c r="F191" s="51">
        <f>'Gas Type Curve'!E198</f>
        <v>2048754.0993494783</v>
      </c>
      <c r="G191" s="164"/>
      <c r="H191" s="51">
        <f t="shared" si="32"/>
        <v>127802.04099313085</v>
      </c>
      <c r="I191" s="164">
        <f t="shared" si="33"/>
        <v>127.80204099313086</v>
      </c>
      <c r="J191" s="164">
        <f t="shared" si="30"/>
        <v>4767.0161290437809</v>
      </c>
      <c r="K191" s="169">
        <f t="shared" si="34"/>
        <v>3.4284718779743635</v>
      </c>
      <c r="L191" s="164"/>
      <c r="M191" s="170">
        <f t="shared" si="35"/>
        <v>0.10421005481391044</v>
      </c>
      <c r="N191" s="164">
        <v>0.05</v>
      </c>
      <c r="O191" s="155">
        <f t="shared" si="36"/>
        <v>0.11170831267846182</v>
      </c>
      <c r="P191" s="155">
        <f t="shared" si="37"/>
        <v>0.10421005481391044</v>
      </c>
      <c r="Q191" s="155">
        <f t="shared" si="38"/>
        <v>0.17064561725442318</v>
      </c>
      <c r="R191" s="164"/>
      <c r="S191" s="164">
        <f t="shared" si="31"/>
        <v>-0.1074774823616913</v>
      </c>
      <c r="T191" s="170">
        <f t="shared" si="39"/>
        <v>0.05</v>
      </c>
      <c r="U191" s="164"/>
      <c r="V191" s="171">
        <f>'Price Deck'!K185</f>
        <v>3.617229397923253</v>
      </c>
      <c r="W191" s="169">
        <f t="shared" si="40"/>
        <v>3.4284718779743635</v>
      </c>
      <c r="X191" s="164"/>
      <c r="Y191" s="169">
        <f t="shared" si="41"/>
        <v>16325.504106894999</v>
      </c>
      <c r="Z191" s="247">
        <f t="shared" si="42"/>
        <v>0.05</v>
      </c>
      <c r="AA191" s="169">
        <f t="shared" si="43"/>
        <v>816.27520534475002</v>
      </c>
      <c r="AB191" s="169">
        <f t="shared" si="44"/>
        <v>0.18086146989616267</v>
      </c>
    </row>
    <row r="192" spans="1:28">
      <c r="A192" s="164" t="str">
        <f>'Price Deck'!A186</f>
        <v>05/2033</v>
      </c>
      <c r="B192" s="51">
        <f>'Gas Type Curve'!A199</f>
        <v>14.166666666666698</v>
      </c>
      <c r="C192" s="51">
        <f>'Gas Type Curve'!B199</f>
        <v>170.00000000000037</v>
      </c>
      <c r="D192" s="51">
        <f>'Gas Type Curve'!C199</f>
        <v>147.76424975979208</v>
      </c>
      <c r="E192" s="51">
        <f>'Gas Type Curve'!D199</f>
        <v>4494.495930193676</v>
      </c>
      <c r="F192" s="51">
        <f>'Gas Type Curve'!E199</f>
        <v>2053248.595279672</v>
      </c>
      <c r="G192" s="164"/>
      <c r="H192" s="51">
        <f t="shared" si="32"/>
        <v>127270.64125529431</v>
      </c>
      <c r="I192" s="164">
        <f t="shared" si="33"/>
        <v>127.27064125529431</v>
      </c>
      <c r="J192" s="164">
        <f t="shared" si="30"/>
        <v>4747.194918822478</v>
      </c>
      <c r="K192" s="169">
        <f t="shared" si="34"/>
        <v>3.4284718779743635</v>
      </c>
      <c r="L192" s="164"/>
      <c r="M192" s="170">
        <f t="shared" si="35"/>
        <v>0.10421005481391044</v>
      </c>
      <c r="N192" s="164">
        <v>0.05</v>
      </c>
      <c r="O192" s="155">
        <f t="shared" si="36"/>
        <v>0.11170831267846182</v>
      </c>
      <c r="P192" s="155">
        <f t="shared" si="37"/>
        <v>0.10421005481391044</v>
      </c>
      <c r="Q192" s="155">
        <f t="shared" si="38"/>
        <v>0.17064561725442318</v>
      </c>
      <c r="R192" s="164"/>
      <c r="S192" s="164">
        <f t="shared" si="31"/>
        <v>-0.1077398344122612</v>
      </c>
      <c r="T192" s="170">
        <f t="shared" si="39"/>
        <v>0.05</v>
      </c>
      <c r="U192" s="164"/>
      <c r="V192" s="171">
        <f>'Price Deck'!K186</f>
        <v>3.617229397923253</v>
      </c>
      <c r="W192" s="169">
        <f t="shared" si="40"/>
        <v>3.4284718779743635</v>
      </c>
      <c r="X192" s="164"/>
      <c r="Y192" s="169">
        <f t="shared" si="41"/>
        <v>16257.622807542983</v>
      </c>
      <c r="Z192" s="247">
        <f t="shared" si="42"/>
        <v>0.05</v>
      </c>
      <c r="AA192" s="169">
        <f t="shared" si="43"/>
        <v>812.88114037714922</v>
      </c>
      <c r="AB192" s="169">
        <f t="shared" si="44"/>
        <v>0.18086146989616267</v>
      </c>
    </row>
    <row r="193" spans="1:28">
      <c r="A193" s="164" t="str">
        <f>'Price Deck'!A187</f>
        <v>06/2033</v>
      </c>
      <c r="B193" s="51">
        <f>'Gas Type Curve'!A200</f>
        <v>14.250000000000032</v>
      </c>
      <c r="C193" s="51">
        <f>'Gas Type Curve'!B200</f>
        <v>171.0000000000004</v>
      </c>
      <c r="D193" s="51">
        <f>'Gas Type Curve'!C200</f>
        <v>147.15344343306637</v>
      </c>
      <c r="E193" s="51">
        <f>'Gas Type Curve'!D200</f>
        <v>4475.9172377557688</v>
      </c>
      <c r="F193" s="51">
        <f>'Gas Type Curve'!E200</f>
        <v>2057724.5125174278</v>
      </c>
      <c r="G193" s="164"/>
      <c r="H193" s="51">
        <f t="shared" si="32"/>
        <v>126744.5484215301</v>
      </c>
      <c r="I193" s="164">
        <f t="shared" si="33"/>
        <v>126.7445484215301</v>
      </c>
      <c r="J193" s="164">
        <f t="shared" si="30"/>
        <v>4727.5716561230729</v>
      </c>
      <c r="K193" s="169">
        <f t="shared" si="34"/>
        <v>3.4284718779743635</v>
      </c>
      <c r="L193" s="164"/>
      <c r="M193" s="170">
        <f t="shared" si="35"/>
        <v>0.10421005481391044</v>
      </c>
      <c r="N193" s="164">
        <v>0.05</v>
      </c>
      <c r="O193" s="155">
        <f t="shared" si="36"/>
        <v>0.11170831267846182</v>
      </c>
      <c r="P193" s="155">
        <f t="shared" si="37"/>
        <v>0.10421005481391044</v>
      </c>
      <c r="Q193" s="155">
        <f t="shared" si="38"/>
        <v>0.17064561725442318</v>
      </c>
      <c r="R193" s="164"/>
      <c r="S193" s="164">
        <f t="shared" si="31"/>
        <v>-0.10799956644429058</v>
      </c>
      <c r="T193" s="170">
        <f t="shared" si="39"/>
        <v>0.05</v>
      </c>
      <c r="U193" s="164"/>
      <c r="V193" s="171">
        <f>'Price Deck'!K187</f>
        <v>3.617229397923253</v>
      </c>
      <c r="W193" s="169">
        <f t="shared" si="40"/>
        <v>3.4284718779743635</v>
      </c>
      <c r="X193" s="164"/>
      <c r="Y193" s="169">
        <f t="shared" si="41"/>
        <v>16190.419415081609</v>
      </c>
      <c r="Z193" s="247">
        <f t="shared" si="42"/>
        <v>0.05</v>
      </c>
      <c r="AA193" s="169">
        <f t="shared" si="43"/>
        <v>809.52097075408051</v>
      </c>
      <c r="AB193" s="169">
        <f t="shared" si="44"/>
        <v>0.18086146989616267</v>
      </c>
    </row>
    <row r="194" spans="1:28">
      <c r="A194" s="164" t="str">
        <f>'Price Deck'!A188</f>
        <v>07/2033</v>
      </c>
      <c r="B194" s="51">
        <f>'Gas Type Curve'!A201</f>
        <v>14.333333333333366</v>
      </c>
      <c r="C194" s="51">
        <f>'Gas Type Curve'!B201</f>
        <v>172.0000000000004</v>
      </c>
      <c r="D194" s="51">
        <f>'Gas Type Curve'!C201</f>
        <v>146.54870152129109</v>
      </c>
      <c r="E194" s="51">
        <f>'Gas Type Curve'!D201</f>
        <v>4457.5230046059378</v>
      </c>
      <c r="F194" s="51">
        <f>'Gas Type Curve'!E201</f>
        <v>2062182.0355220337</v>
      </c>
      <c r="G194" s="164"/>
      <c r="H194" s="51">
        <f t="shared" si="32"/>
        <v>126223.67892142633</v>
      </c>
      <c r="I194" s="164">
        <f t="shared" si="33"/>
        <v>126.22367892142633</v>
      </c>
      <c r="J194" s="164">
        <f t="shared" si="30"/>
        <v>4708.1432237692015</v>
      </c>
      <c r="K194" s="169">
        <f t="shared" si="34"/>
        <v>3.4284718779743635</v>
      </c>
      <c r="L194" s="164"/>
      <c r="M194" s="170">
        <f t="shared" si="35"/>
        <v>0.10421005481391044</v>
      </c>
      <c r="N194" s="164">
        <v>0.05</v>
      </c>
      <c r="O194" s="155">
        <f t="shared" si="36"/>
        <v>0.11170831267846182</v>
      </c>
      <c r="P194" s="155">
        <f t="shared" si="37"/>
        <v>0.10421005481391044</v>
      </c>
      <c r="Q194" s="155">
        <f t="shared" si="38"/>
        <v>0.17064561725442318</v>
      </c>
      <c r="R194" s="164"/>
      <c r="S194" s="164">
        <f t="shared" si="31"/>
        <v>-0.10825671971649184</v>
      </c>
      <c r="T194" s="170">
        <f t="shared" si="39"/>
        <v>0.05</v>
      </c>
      <c r="U194" s="164"/>
      <c r="V194" s="171">
        <f>'Price Deck'!K188</f>
        <v>3.617229397923253</v>
      </c>
      <c r="W194" s="169">
        <f t="shared" si="40"/>
        <v>3.4284718779743635</v>
      </c>
      <c r="X194" s="164"/>
      <c r="Y194" s="169">
        <f t="shared" si="41"/>
        <v>16123.883254179786</v>
      </c>
      <c r="Z194" s="247">
        <f t="shared" si="42"/>
        <v>0.05</v>
      </c>
      <c r="AA194" s="169">
        <f t="shared" si="43"/>
        <v>806.19416270898932</v>
      </c>
      <c r="AB194" s="169">
        <f t="shared" si="44"/>
        <v>0.18086146989616267</v>
      </c>
    </row>
    <row r="195" spans="1:28">
      <c r="A195" s="164" t="str">
        <f>'Price Deck'!A189</f>
        <v>08/2033</v>
      </c>
      <c r="B195" s="51">
        <f>'Gas Type Curve'!A202</f>
        <v>14.4166666666667</v>
      </c>
      <c r="C195" s="51">
        <f>'Gas Type Curve'!B202</f>
        <v>173.0000000000004</v>
      </c>
      <c r="D195" s="51">
        <f>'Gas Type Curve'!C202</f>
        <v>145.94992907765214</v>
      </c>
      <c r="E195" s="51">
        <f>'Gas Type Curve'!D202</f>
        <v>4439.3103427785863</v>
      </c>
      <c r="F195" s="51">
        <f>'Gas Type Curve'!E202</f>
        <v>2066621.3458648124</v>
      </c>
      <c r="G195" s="164"/>
      <c r="H195" s="51">
        <f t="shared" si="32"/>
        <v>125707.95097646123</v>
      </c>
      <c r="I195" s="164">
        <f t="shared" si="33"/>
        <v>125.70795097646123</v>
      </c>
      <c r="J195" s="164">
        <f t="shared" si="30"/>
        <v>4688.9065714220042</v>
      </c>
      <c r="K195" s="169">
        <f t="shared" si="34"/>
        <v>3.4284718779743635</v>
      </c>
      <c r="L195" s="164"/>
      <c r="M195" s="170">
        <f t="shared" si="35"/>
        <v>0.10421005481391044</v>
      </c>
      <c r="N195" s="164">
        <v>0.05</v>
      </c>
      <c r="O195" s="155">
        <f t="shared" si="36"/>
        <v>0.11170831267846182</v>
      </c>
      <c r="P195" s="155">
        <f t="shared" si="37"/>
        <v>0.10421005481391044</v>
      </c>
      <c r="Q195" s="155">
        <f t="shared" si="38"/>
        <v>0.17064561725442318</v>
      </c>
      <c r="R195" s="164"/>
      <c r="S195" s="164">
        <f t="shared" si="31"/>
        <v>-0.10851133460292109</v>
      </c>
      <c r="T195" s="170">
        <f t="shared" si="39"/>
        <v>0.05</v>
      </c>
      <c r="U195" s="164"/>
      <c r="V195" s="171">
        <f>'Price Deck'!K189</f>
        <v>3.617229397923253</v>
      </c>
      <c r="W195" s="169">
        <f t="shared" si="40"/>
        <v>3.4284718779743635</v>
      </c>
      <c r="X195" s="164"/>
      <c r="Y195" s="169">
        <f t="shared" si="41"/>
        <v>16058.003878403457</v>
      </c>
      <c r="Z195" s="247">
        <f t="shared" si="42"/>
        <v>0.05</v>
      </c>
      <c r="AA195" s="169">
        <f t="shared" si="43"/>
        <v>802.90019392017291</v>
      </c>
      <c r="AB195" s="169">
        <f t="shared" si="44"/>
        <v>0.18086146989616267</v>
      </c>
    </row>
    <row r="196" spans="1:28">
      <c r="A196" s="164" t="str">
        <f>'Price Deck'!A190</f>
        <v>09/2033</v>
      </c>
      <c r="B196" s="51">
        <f>'Gas Type Curve'!A203</f>
        <v>14.500000000000034</v>
      </c>
      <c r="C196" s="51">
        <f>'Gas Type Curve'!B203</f>
        <v>174.0000000000004</v>
      </c>
      <c r="D196" s="51">
        <f>'Gas Type Curve'!C203</f>
        <v>145.3570331794443</v>
      </c>
      <c r="E196" s="51">
        <f>'Gas Type Curve'!D203</f>
        <v>4421.2764258747648</v>
      </c>
      <c r="F196" s="51">
        <f>'Gas Type Curve'!E203</f>
        <v>2071042.6222906872</v>
      </c>
      <c r="G196" s="164"/>
      <c r="H196" s="51">
        <f t="shared" si="32"/>
        <v>125197.28455149572</v>
      </c>
      <c r="I196" s="164">
        <f t="shared" si="33"/>
        <v>125.19728455149571</v>
      </c>
      <c r="J196" s="164">
        <f t="shared" si="30"/>
        <v>4669.85871377079</v>
      </c>
      <c r="K196" s="169">
        <f t="shared" si="34"/>
        <v>3.4284718779743635</v>
      </c>
      <c r="L196" s="164"/>
      <c r="M196" s="170">
        <f t="shared" si="35"/>
        <v>0.10421005481391044</v>
      </c>
      <c r="N196" s="164">
        <v>0.05</v>
      </c>
      <c r="O196" s="155">
        <f t="shared" si="36"/>
        <v>0.11170831267846182</v>
      </c>
      <c r="P196" s="155">
        <f t="shared" si="37"/>
        <v>0.10421005481391044</v>
      </c>
      <c r="Q196" s="155">
        <f t="shared" si="38"/>
        <v>0.17064561725442318</v>
      </c>
      <c r="R196" s="164"/>
      <c r="S196" s="164">
        <f t="shared" si="31"/>
        <v>-0.10876345061692656</v>
      </c>
      <c r="T196" s="170">
        <f t="shared" si="39"/>
        <v>0.05</v>
      </c>
      <c r="U196" s="164"/>
      <c r="V196" s="171">
        <f>'Price Deck'!K190</f>
        <v>3.617229397923253</v>
      </c>
      <c r="W196" s="169">
        <f t="shared" si="40"/>
        <v>3.4284718779743635</v>
      </c>
      <c r="X196" s="164"/>
      <c r="Y196" s="169">
        <f t="shared" si="41"/>
        <v>15992.771064019247</v>
      </c>
      <c r="Z196" s="247">
        <f t="shared" si="42"/>
        <v>0.05</v>
      </c>
      <c r="AA196" s="169">
        <f t="shared" si="43"/>
        <v>799.63855320096241</v>
      </c>
      <c r="AB196" s="169">
        <f t="shared" si="44"/>
        <v>0.18086146989616267</v>
      </c>
    </row>
    <row r="197" spans="1:28">
      <c r="A197" s="164" t="str">
        <f>'Price Deck'!A191</f>
        <v>10/2033</v>
      </c>
      <c r="B197" s="51">
        <f>'Gas Type Curve'!A204</f>
        <v>14.583333333333368</v>
      </c>
      <c r="C197" s="51">
        <f>'Gas Type Curve'!B204</f>
        <v>175.0000000000004</v>
      </c>
      <c r="D197" s="51">
        <f>'Gas Type Curve'!C204</f>
        <v>144.76992287359118</v>
      </c>
      <c r="E197" s="51">
        <f>'Gas Type Curve'!D204</f>
        <v>4403.4184874050652</v>
      </c>
      <c r="F197" s="51">
        <f>'Gas Type Curve'!E204</f>
        <v>2075446.0407780923</v>
      </c>
      <c r="G197" s="164"/>
      <c r="H197" s="51">
        <f t="shared" si="32"/>
        <v>124691.60130784923</v>
      </c>
      <c r="I197" s="164">
        <f t="shared" si="33"/>
        <v>124.69160130784923</v>
      </c>
      <c r="J197" s="164">
        <f t="shared" si="30"/>
        <v>4650.9967287827758</v>
      </c>
      <c r="K197" s="169">
        <f t="shared" si="34"/>
        <v>3.4284718779743635</v>
      </c>
      <c r="L197" s="164"/>
      <c r="M197" s="170">
        <f t="shared" si="35"/>
        <v>0.10421005481391044</v>
      </c>
      <c r="N197" s="164">
        <v>0.05</v>
      </c>
      <c r="O197" s="155">
        <f t="shared" si="36"/>
        <v>0.11170831267846182</v>
      </c>
      <c r="P197" s="155">
        <f t="shared" si="37"/>
        <v>0.10421005481391044</v>
      </c>
      <c r="Q197" s="155">
        <f t="shared" si="38"/>
        <v>0.17064561725442318</v>
      </c>
      <c r="R197" s="164"/>
      <c r="S197" s="164">
        <f t="shared" si="31"/>
        <v>-0.10901310643431485</v>
      </c>
      <c r="T197" s="170">
        <f t="shared" si="39"/>
        <v>0.05</v>
      </c>
      <c r="U197" s="164"/>
      <c r="V197" s="171">
        <f>'Price Deck'!K191</f>
        <v>3.617229397923253</v>
      </c>
      <c r="W197" s="169">
        <f t="shared" si="40"/>
        <v>3.4284718779743635</v>
      </c>
      <c r="X197" s="164"/>
      <c r="Y197" s="169">
        <f t="shared" si="41"/>
        <v>15928.174804000346</v>
      </c>
      <c r="Z197" s="247">
        <f t="shared" si="42"/>
        <v>0.05</v>
      </c>
      <c r="AA197" s="169">
        <f t="shared" si="43"/>
        <v>796.40874020001729</v>
      </c>
      <c r="AB197" s="169">
        <f t="shared" si="44"/>
        <v>0.18086146989616264</v>
      </c>
    </row>
    <row r="198" spans="1:28">
      <c r="A198" s="164" t="str">
        <f>'Price Deck'!A192</f>
        <v>11/2033</v>
      </c>
      <c r="B198" s="51">
        <f>'Gas Type Curve'!A205</f>
        <v>14.666666666666702</v>
      </c>
      <c r="C198" s="51">
        <f>'Gas Type Curve'!B205</f>
        <v>176.00000000000043</v>
      </c>
      <c r="D198" s="51">
        <f>'Gas Type Curve'!C205</f>
        <v>144.18850912393353</v>
      </c>
      <c r="E198" s="51">
        <f>'Gas Type Curve'!D205</f>
        <v>4385.7338191863118</v>
      </c>
      <c r="F198" s="51">
        <f>'Gas Type Curve'!E205</f>
        <v>2079831.7745972786</v>
      </c>
      <c r="G198" s="164"/>
      <c r="H198" s="51">
        <f t="shared" si="32"/>
        <v>124190.8245578988</v>
      </c>
      <c r="I198" s="164">
        <f t="shared" si="33"/>
        <v>124.19082455789879</v>
      </c>
      <c r="J198" s="164">
        <f t="shared" si="30"/>
        <v>4632.3177560096256</v>
      </c>
      <c r="K198" s="169">
        <f t="shared" si="34"/>
        <v>3.4284718779743635</v>
      </c>
      <c r="L198" s="164"/>
      <c r="M198" s="170">
        <f t="shared" si="35"/>
        <v>0.10421005481391044</v>
      </c>
      <c r="N198" s="164">
        <v>0.05</v>
      </c>
      <c r="O198" s="155">
        <f t="shared" si="36"/>
        <v>0.11170831267846182</v>
      </c>
      <c r="P198" s="155">
        <f t="shared" si="37"/>
        <v>0.10421005481391044</v>
      </c>
      <c r="Q198" s="155">
        <f t="shared" si="38"/>
        <v>0.17064561725442318</v>
      </c>
      <c r="R198" s="164"/>
      <c r="S198" s="164">
        <f t="shared" si="31"/>
        <v>-0.10926033991576536</v>
      </c>
      <c r="T198" s="170">
        <f t="shared" si="39"/>
        <v>0.05</v>
      </c>
      <c r="U198" s="164"/>
      <c r="V198" s="171">
        <f>'Price Deck'!K192</f>
        <v>3.617229397923253</v>
      </c>
      <c r="W198" s="169">
        <f t="shared" si="40"/>
        <v>3.4284718779743635</v>
      </c>
      <c r="X198" s="164"/>
      <c r="Y198" s="169">
        <f t="shared" si="41"/>
        <v>15864.205302226952</v>
      </c>
      <c r="Z198" s="247">
        <f t="shared" si="42"/>
        <v>0.05</v>
      </c>
      <c r="AA198" s="169">
        <f t="shared" si="43"/>
        <v>793.21026511134767</v>
      </c>
      <c r="AB198" s="169">
        <f t="shared" si="44"/>
        <v>0.18086146989616267</v>
      </c>
    </row>
    <row r="199" spans="1:28">
      <c r="A199" s="164" t="str">
        <f>'Price Deck'!A193</f>
        <v>01/2033</v>
      </c>
      <c r="B199" s="51">
        <f>'Gas Type Curve'!A206</f>
        <v>14.750000000000036</v>
      </c>
      <c r="C199" s="51">
        <f>'Gas Type Curve'!B206</f>
        <v>177.00000000000043</v>
      </c>
      <c r="D199" s="51">
        <f>'Gas Type Curve'!C206</f>
        <v>143.61270476021744</v>
      </c>
      <c r="E199" s="51">
        <f>'Gas Type Curve'!D206</f>
        <v>4368.2197697899473</v>
      </c>
      <c r="F199" s="51">
        <f>'Gas Type Curve'!E206</f>
        <v>2084199.9943670684</v>
      </c>
      <c r="G199" s="164"/>
      <c r="H199" s="51">
        <f t="shared" si="32"/>
        <v>123694.87922114193</v>
      </c>
      <c r="I199" s="164">
        <f t="shared" si="33"/>
        <v>123.69487922114193</v>
      </c>
      <c r="J199" s="164">
        <f t="shared" si="30"/>
        <v>4613.8189949485941</v>
      </c>
      <c r="K199" s="169">
        <f t="shared" si="34"/>
        <v>3.4284718779743635</v>
      </c>
      <c r="L199" s="164"/>
      <c r="M199" s="170">
        <f t="shared" si="35"/>
        <v>0.10421005481391044</v>
      </c>
      <c r="N199" s="164">
        <v>0.05</v>
      </c>
      <c r="O199" s="155">
        <f t="shared" si="36"/>
        <v>0.11170831267846182</v>
      </c>
      <c r="P199" s="155">
        <f t="shared" si="37"/>
        <v>0.10421005481391044</v>
      </c>
      <c r="Q199" s="155">
        <f t="shared" si="38"/>
        <v>0.17064561725442318</v>
      </c>
      <c r="R199" s="164"/>
      <c r="S199" s="164">
        <f t="shared" si="31"/>
        <v>-0.10950518812852222</v>
      </c>
      <c r="T199" s="170">
        <f t="shared" si="39"/>
        <v>0.05</v>
      </c>
      <c r="U199" s="164"/>
      <c r="V199" s="171">
        <f>'Price Deck'!K193</f>
        <v>3.617229397923253</v>
      </c>
      <c r="W199" s="169">
        <f t="shared" si="40"/>
        <v>3.4284718779743635</v>
      </c>
      <c r="X199" s="164"/>
      <c r="Y199" s="169">
        <f t="shared" si="41"/>
        <v>15800.852967873741</v>
      </c>
      <c r="Z199" s="247">
        <f t="shared" si="42"/>
        <v>0.05</v>
      </c>
      <c r="AA199" s="169">
        <f t="shared" si="43"/>
        <v>790.04264839368716</v>
      </c>
      <c r="AB199" s="169">
        <f t="shared" si="44"/>
        <v>0.18086146989616267</v>
      </c>
    </row>
    <row r="200" spans="1:28">
      <c r="A200" s="164" t="str">
        <f>'Price Deck'!A194</f>
        <v>02/2033</v>
      </c>
      <c r="B200" s="51">
        <f>'Gas Type Curve'!A207</f>
        <v>14.833333333333369</v>
      </c>
      <c r="C200" s="51">
        <f>'Gas Type Curve'!B207</f>
        <v>178.00000000000043</v>
      </c>
      <c r="D200" s="51">
        <f>'Gas Type Curve'!C207</f>
        <v>143.04242442871964</v>
      </c>
      <c r="E200" s="51">
        <f>'Gas Type Curve'!D207</f>
        <v>4350.8737430402225</v>
      </c>
      <c r="F200" s="51">
        <f>'Gas Type Curve'!E207</f>
        <v>2088550.8681101087</v>
      </c>
      <c r="G200" s="164"/>
      <c r="H200" s="51">
        <f t="shared" si="32"/>
        <v>123203.69178166997</v>
      </c>
      <c r="I200" s="164">
        <f t="shared" si="33"/>
        <v>123.20369178166997</v>
      </c>
      <c r="J200" s="164">
        <f t="shared" si="30"/>
        <v>4595.4977034562899</v>
      </c>
      <c r="K200" s="169">
        <f t="shared" si="34"/>
        <v>3.4284718779743635</v>
      </c>
      <c r="L200" s="164"/>
      <c r="M200" s="170">
        <f t="shared" si="35"/>
        <v>0.10421005481391044</v>
      </c>
      <c r="N200" s="164">
        <v>0.05</v>
      </c>
      <c r="O200" s="155">
        <f t="shared" si="36"/>
        <v>0.11170831267846182</v>
      </c>
      <c r="P200" s="155">
        <f t="shared" si="37"/>
        <v>0.10421005481391044</v>
      </c>
      <c r="Q200" s="155">
        <f t="shared" si="38"/>
        <v>0.17064561725442318</v>
      </c>
      <c r="R200" s="164"/>
      <c r="S200" s="164">
        <f t="shared" si="31"/>
        <v>-0.10974768736738953</v>
      </c>
      <c r="T200" s="170">
        <f t="shared" si="39"/>
        <v>0.05</v>
      </c>
      <c r="U200" s="164"/>
      <c r="V200" s="171">
        <f>'Price Deck'!K194</f>
        <v>3.617229397923253</v>
      </c>
      <c r="W200" s="169">
        <f t="shared" si="40"/>
        <v>3.4284718779743635</v>
      </c>
      <c r="X200" s="164"/>
      <c r="Y200" s="169">
        <f t="shared" si="41"/>
        <v>15738.108409977474</v>
      </c>
      <c r="Z200" s="247">
        <f t="shared" si="42"/>
        <v>0.05</v>
      </c>
      <c r="AA200" s="169">
        <f t="shared" si="43"/>
        <v>786.90542049887381</v>
      </c>
      <c r="AB200" s="169">
        <f t="shared" si="44"/>
        <v>0.18086146989616267</v>
      </c>
    </row>
    <row r="201" spans="1:28">
      <c r="A201" s="164" t="str">
        <f>'Price Deck'!A195</f>
        <v>03/2033</v>
      </c>
      <c r="B201" s="51">
        <f>'Gas Type Curve'!A208</f>
        <v>14.916666666666703</v>
      </c>
      <c r="C201" s="51">
        <f>'Gas Type Curve'!B208</f>
        <v>179.00000000000045</v>
      </c>
      <c r="D201" s="51">
        <f>'Gas Type Curve'!C208</f>
        <v>142.47758454444815</v>
      </c>
      <c r="E201" s="51">
        <f>'Gas Type Curve'!D208</f>
        <v>4333.693196560298</v>
      </c>
      <c r="F201" s="51">
        <f>'Gas Type Curve'!E208</f>
        <v>2092884.5613066689</v>
      </c>
      <c r="G201" s="164"/>
      <c r="H201" s="51">
        <f t="shared" si="32"/>
        <v>122717.19024699795</v>
      </c>
      <c r="I201" s="164">
        <f t="shared" si="33"/>
        <v>122.71719024699796</v>
      </c>
      <c r="J201" s="164">
        <f t="shared" si="30"/>
        <v>4577.3511962130233</v>
      </c>
      <c r="K201" s="169">
        <f t="shared" si="34"/>
        <v>3.4971311912952046</v>
      </c>
      <c r="L201" s="164"/>
      <c r="M201" s="170">
        <f t="shared" si="35"/>
        <v>0.10712807563004619</v>
      </c>
      <c r="N201" s="164">
        <v>0.05</v>
      </c>
      <c r="O201" s="155">
        <f t="shared" si="36"/>
        <v>0.11582787147771229</v>
      </c>
      <c r="P201" s="155">
        <f t="shared" si="37"/>
        <v>0.10712807563004619</v>
      </c>
      <c r="Q201" s="155">
        <f t="shared" si="38"/>
        <v>0.17219045180414211</v>
      </c>
      <c r="R201" s="164"/>
      <c r="S201" s="164">
        <f t="shared" si="31"/>
        <v>-0.10998787317505711</v>
      </c>
      <c r="T201" s="170">
        <f t="shared" si="39"/>
        <v>0.05</v>
      </c>
      <c r="U201" s="164"/>
      <c r="V201" s="171">
        <f>'Price Deck'!K195</f>
        <v>3.6896688098317751</v>
      </c>
      <c r="W201" s="169">
        <f t="shared" si="40"/>
        <v>3.4971311912952046</v>
      </c>
      <c r="X201" s="164"/>
      <c r="Y201" s="169">
        <f t="shared" si="41"/>
        <v>15989.892618728696</v>
      </c>
      <c r="Z201" s="247">
        <f t="shared" si="42"/>
        <v>0.05</v>
      </c>
      <c r="AA201" s="169">
        <f t="shared" si="43"/>
        <v>799.49463093643487</v>
      </c>
      <c r="AB201" s="169">
        <f t="shared" si="44"/>
        <v>0.18448344049158877</v>
      </c>
    </row>
    <row r="202" spans="1:28">
      <c r="A202" s="164" t="str">
        <f>'Price Deck'!A196</f>
        <v>04/2033</v>
      </c>
      <c r="B202" s="51">
        <f>'Gas Type Curve'!A209</f>
        <v>15.000000000000037</v>
      </c>
      <c r="C202" s="51">
        <f>'Gas Type Curve'!B209</f>
        <v>180.00000000000045</v>
      </c>
      <c r="D202" s="51">
        <f>'Gas Type Curve'!C209</f>
        <v>141.91810324485934</v>
      </c>
      <c r="E202" s="51">
        <f>'Gas Type Curve'!D209</f>
        <v>4316.6756403644713</v>
      </c>
      <c r="F202" s="51">
        <f>'Gas Type Curve'!E209</f>
        <v>2097201.2369470336</v>
      </c>
      <c r="G202" s="164"/>
      <c r="H202" s="51">
        <f t="shared" si="32"/>
        <v>122235.30410820071</v>
      </c>
      <c r="I202" s="164">
        <f t="shared" si="33"/>
        <v>122.23530410820071</v>
      </c>
      <c r="J202" s="164">
        <f t="shared" si="30"/>
        <v>4559.3768432358866</v>
      </c>
      <c r="K202" s="169">
        <f t="shared" si="34"/>
        <v>3.4971311912952046</v>
      </c>
      <c r="L202" s="164"/>
      <c r="M202" s="170">
        <f t="shared" si="35"/>
        <v>0.10712807563004619</v>
      </c>
      <c r="N202" s="164">
        <v>0.05</v>
      </c>
      <c r="O202" s="155">
        <f t="shared" si="36"/>
        <v>0.11582787147771229</v>
      </c>
      <c r="P202" s="155">
        <f t="shared" si="37"/>
        <v>0.10712807563004619</v>
      </c>
      <c r="Q202" s="155">
        <f t="shared" si="38"/>
        <v>0.17219045180414211</v>
      </c>
      <c r="R202" s="164"/>
      <c r="S202" s="164">
        <f t="shared" si="31"/>
        <v>-0.11022578036178132</v>
      </c>
      <c r="T202" s="170">
        <f t="shared" si="39"/>
        <v>0.05</v>
      </c>
      <c r="U202" s="164"/>
      <c r="V202" s="171">
        <f>'Price Deck'!K196</f>
        <v>3.6896688098317751</v>
      </c>
      <c r="W202" s="169">
        <f t="shared" si="40"/>
        <v>3.4971311912952046</v>
      </c>
      <c r="X202" s="164"/>
      <c r="Y202" s="169">
        <f t="shared" si="41"/>
        <v>15927.103472413395</v>
      </c>
      <c r="Z202" s="247">
        <f t="shared" si="42"/>
        <v>0.05</v>
      </c>
      <c r="AA202" s="169">
        <f t="shared" si="43"/>
        <v>796.3551736206698</v>
      </c>
      <c r="AB202" s="169">
        <f t="shared" si="44"/>
        <v>0.18448344049158877</v>
      </c>
    </row>
    <row r="203" spans="1:28">
      <c r="A203" s="164" t="str">
        <f>'Price Deck'!A197</f>
        <v>05/2033</v>
      </c>
      <c r="B203" s="51">
        <f>'Gas Type Curve'!A210</f>
        <v>15.083333333333371</v>
      </c>
      <c r="C203" s="51">
        <f>'Gas Type Curve'!B210</f>
        <v>181.00000000000045</v>
      </c>
      <c r="D203" s="51">
        <f>'Gas Type Curve'!C210</f>
        <v>141.36390034503543</v>
      </c>
      <c r="E203" s="51">
        <f>'Gas Type Curve'!D210</f>
        <v>4299.8186354948275</v>
      </c>
      <c r="F203" s="51">
        <f>'Gas Type Curve'!E210</f>
        <v>2101501.0555825285</v>
      </c>
      <c r="G203" s="164"/>
      <c r="H203" s="51">
        <f t="shared" si="32"/>
        <v>121757.96430130702</v>
      </c>
      <c r="I203" s="164">
        <f t="shared" si="33"/>
        <v>121.75796430130701</v>
      </c>
      <c r="J203" s="164">
        <f t="shared" ref="J203:J262" si="45">H203*$E$2</f>
        <v>4541.5720684387516</v>
      </c>
      <c r="K203" s="169">
        <f t="shared" si="34"/>
        <v>3.4971311912952046</v>
      </c>
      <c r="L203" s="164"/>
      <c r="M203" s="170">
        <f t="shared" si="35"/>
        <v>0.10712807563004619</v>
      </c>
      <c r="N203" s="164">
        <v>0.05</v>
      </c>
      <c r="O203" s="155">
        <f t="shared" si="36"/>
        <v>0.11582787147771229</v>
      </c>
      <c r="P203" s="155">
        <f t="shared" si="37"/>
        <v>0.10712807563004619</v>
      </c>
      <c r="Q203" s="155">
        <f t="shared" si="38"/>
        <v>0.17219045180414211</v>
      </c>
      <c r="R203" s="164"/>
      <c r="S203" s="164">
        <f t="shared" ref="S203:S262" si="46">IF(I203&gt;$C$2,0, ((I203-$C$2)*0.0004937))</f>
        <v>-0.11046144302444473</v>
      </c>
      <c r="T203" s="170">
        <f t="shared" si="39"/>
        <v>0.05</v>
      </c>
      <c r="U203" s="164"/>
      <c r="V203" s="171">
        <f>'Price Deck'!K197</f>
        <v>3.6896688098317751</v>
      </c>
      <c r="W203" s="169">
        <f t="shared" si="40"/>
        <v>3.4971311912952046</v>
      </c>
      <c r="X203" s="164"/>
      <c r="Y203" s="169">
        <f t="shared" si="41"/>
        <v>15864.906707318687</v>
      </c>
      <c r="Z203" s="247">
        <f t="shared" si="42"/>
        <v>0.05</v>
      </c>
      <c r="AA203" s="169">
        <f t="shared" si="43"/>
        <v>793.24533536593435</v>
      </c>
      <c r="AB203" s="169">
        <f t="shared" si="44"/>
        <v>0.18448344049158874</v>
      </c>
    </row>
    <row r="204" spans="1:28">
      <c r="A204" s="164" t="str">
        <f>'Price Deck'!A198</f>
        <v>06/2033</v>
      </c>
      <c r="B204" s="51">
        <f>'Gas Type Curve'!A211</f>
        <v>15.166666666666705</v>
      </c>
      <c r="C204" s="51">
        <f>'Gas Type Curve'!B211</f>
        <v>182.00000000000045</v>
      </c>
      <c r="D204" s="51">
        <f>'Gas Type Curve'!C211</f>
        <v>140.81489729426818</v>
      </c>
      <c r="E204" s="51">
        <f>'Gas Type Curve'!D211</f>
        <v>4283.1197927006569</v>
      </c>
      <c r="F204" s="51">
        <f>'Gas Type Curve'!E211</f>
        <v>2105784.1753752292</v>
      </c>
      <c r="G204" s="164"/>
      <c r="H204" s="51">
        <f t="shared" ref="H204:H262" si="47">E204*1000*$D$2</f>
        <v>121285.10316990448</v>
      </c>
      <c r="I204" s="164">
        <f t="shared" ref="I204:I262" si="48">H204/1000</f>
        <v>121.28510316990449</v>
      </c>
      <c r="J204" s="164">
        <f t="shared" si="45"/>
        <v>4523.934348237437</v>
      </c>
      <c r="K204" s="169">
        <f t="shared" ref="K204:K262" si="49">W204</f>
        <v>3.4971311912952046</v>
      </c>
      <c r="L204" s="164"/>
      <c r="M204" s="170">
        <f t="shared" ref="M204:M262" si="50">MIN(IF(K204&gt;$M$4,Q204,IF(K204&gt;$L$4,P204,IF(K204&gt;$K$4,O204,N204))),0.36)</f>
        <v>0.10712807563004619</v>
      </c>
      <c r="N204" s="164">
        <v>0.05</v>
      </c>
      <c r="O204" s="155">
        <f t="shared" ref="O204:O262" si="51">((K204-$K$4)*0.06+0.05)</f>
        <v>0.11582787147771229</v>
      </c>
      <c r="P204" s="155">
        <f t="shared" ref="P204:P262" si="52">((K204-$L$4)*0.0425+0.086)</f>
        <v>0.10712807563004619</v>
      </c>
      <c r="Q204" s="155">
        <f t="shared" ref="Q204:Q262" si="53">((K204-$M$4)*0.0225+0.24538)</f>
        <v>0.17219045180414211</v>
      </c>
      <c r="R204" s="164"/>
      <c r="S204" s="164">
        <f t="shared" si="46"/>
        <v>-0.11069489456501816</v>
      </c>
      <c r="T204" s="170">
        <f t="shared" ref="T204:T262" si="54">MAX(S204+M204,0.05)</f>
        <v>0.05</v>
      </c>
      <c r="U204" s="164"/>
      <c r="V204" s="171">
        <f>'Price Deck'!K198</f>
        <v>3.6896688098317751</v>
      </c>
      <c r="W204" s="169">
        <f t="shared" ref="W204:W262" si="55">V204*$P$2</f>
        <v>3.4971311912952046</v>
      </c>
      <c r="X204" s="164"/>
      <c r="Y204" s="169">
        <f t="shared" ref="Y204:Y262" si="56">V204*E204</f>
        <v>15803.293507900753</v>
      </c>
      <c r="Z204" s="247">
        <f t="shared" ref="Z204:Z262" si="57">IF(C204&lt;$A$5,0.05,T204)</f>
        <v>0.05</v>
      </c>
      <c r="AA204" s="169">
        <f t="shared" ref="AA204:AA262" si="58">+Z204*Y204</f>
        <v>790.16467539503765</v>
      </c>
      <c r="AB204" s="169">
        <f t="shared" ref="AB204:AB262" si="59">AA204/E204</f>
        <v>0.18448344049158877</v>
      </c>
    </row>
    <row r="205" spans="1:28">
      <c r="A205" s="164" t="str">
        <f>'Price Deck'!A199</f>
        <v>07/2033</v>
      </c>
      <c r="B205" s="51">
        <f>'Gas Type Curve'!A212</f>
        <v>15.250000000000039</v>
      </c>
      <c r="C205" s="51">
        <f>'Gas Type Curve'!B212</f>
        <v>183.00000000000045</v>
      </c>
      <c r="D205" s="51">
        <f>'Gas Type Curve'!C212</f>
        <v>140.27101713399799</v>
      </c>
      <c r="E205" s="51">
        <f>'Gas Type Curve'!D212</f>
        <v>4266.5767711591052</v>
      </c>
      <c r="F205" s="51">
        <f>'Gas Type Curve'!E212</f>
        <v>2110050.7521463884</v>
      </c>
      <c r="G205" s="164"/>
      <c r="H205" s="51">
        <f t="shared" si="47"/>
        <v>120816.65442891237</v>
      </c>
      <c r="I205" s="164">
        <f t="shared" si="48"/>
        <v>120.81665442891237</v>
      </c>
      <c r="J205" s="164">
        <f t="shared" si="45"/>
        <v>4506.4612101984312</v>
      </c>
      <c r="K205" s="169">
        <f t="shared" si="49"/>
        <v>3.4971311912952046</v>
      </c>
      <c r="L205" s="164"/>
      <c r="M205" s="170">
        <f t="shared" si="50"/>
        <v>0.10712807563004619</v>
      </c>
      <c r="N205" s="164">
        <v>0.05</v>
      </c>
      <c r="O205" s="155">
        <f t="shared" si="51"/>
        <v>0.11582787147771229</v>
      </c>
      <c r="P205" s="155">
        <f t="shared" si="52"/>
        <v>0.10712807563004619</v>
      </c>
      <c r="Q205" s="155">
        <f t="shared" si="53"/>
        <v>0.17219045180414211</v>
      </c>
      <c r="R205" s="164"/>
      <c r="S205" s="164">
        <f t="shared" si="46"/>
        <v>-0.11092616770844596</v>
      </c>
      <c r="T205" s="170">
        <f t="shared" si="54"/>
        <v>0.05</v>
      </c>
      <c r="U205" s="164"/>
      <c r="V205" s="171">
        <f>'Price Deck'!K199</f>
        <v>3.6896688098317751</v>
      </c>
      <c r="W205" s="169">
        <f t="shared" si="55"/>
        <v>3.4971311912952046</v>
      </c>
      <c r="X205" s="164"/>
      <c r="Y205" s="169">
        <f t="shared" si="56"/>
        <v>15742.255237298514</v>
      </c>
      <c r="Z205" s="247">
        <f t="shared" si="57"/>
        <v>0.05</v>
      </c>
      <c r="AA205" s="169">
        <f t="shared" si="58"/>
        <v>787.11276186492569</v>
      </c>
      <c r="AB205" s="169">
        <f t="shared" si="59"/>
        <v>0.18448344049158877</v>
      </c>
    </row>
    <row r="206" spans="1:28">
      <c r="A206" s="164" t="str">
        <f>'Price Deck'!A200</f>
        <v>08/2033</v>
      </c>
      <c r="B206" s="51">
        <f>'Gas Type Curve'!A213</f>
        <v>15.333333333333373</v>
      </c>
      <c r="C206" s="51">
        <f>'Gas Type Curve'!B213</f>
        <v>184.00000000000048</v>
      </c>
      <c r="D206" s="51">
        <f>'Gas Type Curve'!C213</f>
        <v>139.73218445705777</v>
      </c>
      <c r="E206" s="51">
        <f>'Gas Type Curve'!D213</f>
        <v>4250.1872772355073</v>
      </c>
      <c r="F206" s="51">
        <f>'Gas Type Curve'!E213</f>
        <v>2114300.939423624</v>
      </c>
      <c r="G206" s="164"/>
      <c r="H206" s="51">
        <f t="shared" si="47"/>
        <v>120352.55312947785</v>
      </c>
      <c r="I206" s="164">
        <f t="shared" si="48"/>
        <v>120.35255312947785</v>
      </c>
      <c r="J206" s="164">
        <f t="shared" si="45"/>
        <v>4489.1502317295235</v>
      </c>
      <c r="K206" s="169">
        <f t="shared" si="49"/>
        <v>3.4971311912952046</v>
      </c>
      <c r="L206" s="164"/>
      <c r="M206" s="170">
        <f t="shared" si="50"/>
        <v>0.10712807563004619</v>
      </c>
      <c r="N206" s="164">
        <v>0.05</v>
      </c>
      <c r="O206" s="155">
        <f t="shared" si="51"/>
        <v>0.11582787147771229</v>
      </c>
      <c r="P206" s="155">
        <f t="shared" si="52"/>
        <v>0.10712807563004619</v>
      </c>
      <c r="Q206" s="155">
        <f t="shared" si="53"/>
        <v>0.17219045180414211</v>
      </c>
      <c r="R206" s="164"/>
      <c r="S206" s="164">
        <f t="shared" si="46"/>
        <v>-0.11115529451997679</v>
      </c>
      <c r="T206" s="170">
        <f t="shared" si="54"/>
        <v>0.05</v>
      </c>
      <c r="U206" s="164"/>
      <c r="V206" s="171">
        <f>'Price Deck'!K200</f>
        <v>3.6896688098317751</v>
      </c>
      <c r="W206" s="169">
        <f t="shared" si="55"/>
        <v>3.4971311912952046</v>
      </c>
      <c r="X206" s="164"/>
      <c r="Y206" s="169">
        <f t="shared" si="56"/>
        <v>15681.783432759687</v>
      </c>
      <c r="Z206" s="247">
        <f t="shared" si="57"/>
        <v>0.05</v>
      </c>
      <c r="AA206" s="169">
        <f t="shared" si="58"/>
        <v>784.08917163798435</v>
      </c>
      <c r="AB206" s="169">
        <f t="shared" si="59"/>
        <v>0.18448344049158877</v>
      </c>
    </row>
    <row r="207" spans="1:28">
      <c r="A207" s="164" t="str">
        <f>'Price Deck'!A201</f>
        <v>09/2033</v>
      </c>
      <c r="B207" s="51">
        <f>'Gas Type Curve'!A214</f>
        <v>15.416666666666707</v>
      </c>
      <c r="C207" s="51">
        <f>'Gas Type Curve'!B214</f>
        <v>185.00000000000048</v>
      </c>
      <c r="D207" s="51">
        <f>'Gas Type Curve'!C214</f>
        <v>139.1983253681758</v>
      </c>
      <c r="E207" s="51">
        <f>'Gas Type Curve'!D214</f>
        <v>4233.9490632820143</v>
      </c>
      <c r="F207" s="51">
        <f>'Gas Type Curve'!E214</f>
        <v>2118534.888486906</v>
      </c>
      <c r="G207" s="164"/>
      <c r="H207" s="51">
        <f t="shared" si="47"/>
        <v>119892.73562495678</v>
      </c>
      <c r="I207" s="164">
        <f t="shared" si="48"/>
        <v>119.89273562495679</v>
      </c>
      <c r="J207" s="164">
        <f t="shared" si="45"/>
        <v>4471.9990388108881</v>
      </c>
      <c r="K207" s="169">
        <f t="shared" si="49"/>
        <v>3.4971311912952046</v>
      </c>
      <c r="L207" s="164"/>
      <c r="M207" s="170">
        <f t="shared" si="50"/>
        <v>0.10712807563004619</v>
      </c>
      <c r="N207" s="164">
        <v>0.05</v>
      </c>
      <c r="O207" s="155">
        <f t="shared" si="51"/>
        <v>0.11582787147771229</v>
      </c>
      <c r="P207" s="155">
        <f t="shared" si="52"/>
        <v>0.10712807563004619</v>
      </c>
      <c r="Q207" s="155">
        <f t="shared" si="53"/>
        <v>0.17219045180414211</v>
      </c>
      <c r="R207" s="164"/>
      <c r="S207" s="164">
        <f t="shared" si="46"/>
        <v>-0.11138230642195883</v>
      </c>
      <c r="T207" s="170">
        <f t="shared" si="54"/>
        <v>0.05</v>
      </c>
      <c r="U207" s="164"/>
      <c r="V207" s="171">
        <f>'Price Deck'!K201</f>
        <v>3.6896688098317751</v>
      </c>
      <c r="W207" s="169">
        <f t="shared" si="55"/>
        <v>3.4971311912952046</v>
      </c>
      <c r="X207" s="164"/>
      <c r="Y207" s="169">
        <f t="shared" si="56"/>
        <v>15621.869801208109</v>
      </c>
      <c r="Z207" s="247">
        <f t="shared" si="57"/>
        <v>0.05</v>
      </c>
      <c r="AA207" s="169">
        <f t="shared" si="58"/>
        <v>781.09349006040554</v>
      </c>
      <c r="AB207" s="169">
        <f t="shared" si="59"/>
        <v>0.18448344049158877</v>
      </c>
    </row>
    <row r="208" spans="1:28">
      <c r="A208" s="164" t="str">
        <f>'Price Deck'!A202</f>
        <v>10/2033</v>
      </c>
      <c r="B208" s="51">
        <f>'Gas Type Curve'!A215</f>
        <v>15.500000000000041</v>
      </c>
      <c r="C208" s="51">
        <f>'Gas Type Curve'!B215</f>
        <v>186.00000000000048</v>
      </c>
      <c r="D208" s="51">
        <f>'Gas Type Curve'!C215</f>
        <v>138.66936744569003</v>
      </c>
      <c r="E208" s="51">
        <f>'Gas Type Curve'!D215</f>
        <v>4217.8599264730719</v>
      </c>
      <c r="F208" s="51">
        <f>'Gas Type Curve'!E215</f>
        <v>2122752.7484133788</v>
      </c>
      <c r="G208" s="164"/>
      <c r="H208" s="51">
        <f t="shared" si="47"/>
        <v>119437.13953793797</v>
      </c>
      <c r="I208" s="164">
        <f t="shared" si="48"/>
        <v>119.43713953793797</v>
      </c>
      <c r="J208" s="164">
        <f t="shared" si="45"/>
        <v>4455.0053047650863</v>
      </c>
      <c r="K208" s="169">
        <f t="shared" si="49"/>
        <v>3.4971311912952046</v>
      </c>
      <c r="L208" s="164"/>
      <c r="M208" s="170">
        <f t="shared" si="50"/>
        <v>0.10712807563004619</v>
      </c>
      <c r="N208" s="164">
        <v>0.05</v>
      </c>
      <c r="O208" s="155">
        <f t="shared" si="51"/>
        <v>0.11582787147771229</v>
      </c>
      <c r="P208" s="155">
        <f t="shared" si="52"/>
        <v>0.10712807563004619</v>
      </c>
      <c r="Q208" s="155">
        <f t="shared" si="53"/>
        <v>0.17219045180414211</v>
      </c>
      <c r="R208" s="164"/>
      <c r="S208" s="164">
        <f t="shared" si="46"/>
        <v>-0.11160723421012002</v>
      </c>
      <c r="T208" s="170">
        <f t="shared" si="54"/>
        <v>0.05</v>
      </c>
      <c r="U208" s="164"/>
      <c r="V208" s="171">
        <f>'Price Deck'!K202</f>
        <v>3.6896688098317751</v>
      </c>
      <c r="W208" s="169">
        <f t="shared" si="55"/>
        <v>3.4971311912952046</v>
      </c>
      <c r="X208" s="164"/>
      <c r="Y208" s="169">
        <f t="shared" si="56"/>
        <v>15562.506214947038</v>
      </c>
      <c r="Z208" s="247">
        <f t="shared" si="57"/>
        <v>0.05</v>
      </c>
      <c r="AA208" s="169">
        <f t="shared" si="58"/>
        <v>778.12531074735193</v>
      </c>
      <c r="AB208" s="169">
        <f t="shared" si="59"/>
        <v>0.18448344049158877</v>
      </c>
    </row>
    <row r="209" spans="1:28">
      <c r="A209" s="164" t="str">
        <f>'Price Deck'!A203</f>
        <v>11/2033</v>
      </c>
      <c r="B209" s="51">
        <f>'Gas Type Curve'!A216</f>
        <v>15.583333333333375</v>
      </c>
      <c r="C209" s="51">
        <f>'Gas Type Curve'!B216</f>
        <v>187.00000000000051</v>
      </c>
      <c r="D209" s="51">
        <f>'Gas Type Curve'!C216</f>
        <v>138.14523970443273</v>
      </c>
      <c r="E209" s="51">
        <f>'Gas Type Curve'!D216</f>
        <v>4201.9177076764954</v>
      </c>
      <c r="F209" s="51">
        <f>'Gas Type Curve'!E216</f>
        <v>2126954.6661210554</v>
      </c>
      <c r="G209" s="164"/>
      <c r="H209" s="51">
        <f t="shared" si="47"/>
        <v>118985.70372827532</v>
      </c>
      <c r="I209" s="164">
        <f t="shared" si="48"/>
        <v>118.98570372827531</v>
      </c>
      <c r="J209" s="164">
        <f t="shared" si="45"/>
        <v>4438.1667490646696</v>
      </c>
      <c r="K209" s="169">
        <f t="shared" si="49"/>
        <v>3.4971311912952046</v>
      </c>
      <c r="L209" s="164"/>
      <c r="M209" s="170">
        <f t="shared" si="50"/>
        <v>0.10712807563004619</v>
      </c>
      <c r="N209" s="164">
        <v>0.05</v>
      </c>
      <c r="O209" s="155">
        <f t="shared" si="51"/>
        <v>0.11582787147771229</v>
      </c>
      <c r="P209" s="155">
        <f t="shared" si="52"/>
        <v>0.10712807563004619</v>
      </c>
      <c r="Q209" s="155">
        <f t="shared" si="53"/>
        <v>0.17219045180414211</v>
      </c>
      <c r="R209" s="164"/>
      <c r="S209" s="164">
        <f t="shared" si="46"/>
        <v>-0.11183010806935048</v>
      </c>
      <c r="T209" s="170">
        <f t="shared" si="54"/>
        <v>0.05</v>
      </c>
      <c r="U209" s="164"/>
      <c r="V209" s="171">
        <f>'Price Deck'!K203</f>
        <v>3.6896688098317751</v>
      </c>
      <c r="W209" s="169">
        <f t="shared" si="55"/>
        <v>3.4971311912952046</v>
      </c>
      <c r="X209" s="164"/>
      <c r="Y209" s="169">
        <f t="shared" si="56"/>
        <v>15503.684707493796</v>
      </c>
      <c r="Z209" s="247">
        <f t="shared" si="57"/>
        <v>0.05</v>
      </c>
      <c r="AA209" s="169">
        <f t="shared" si="58"/>
        <v>775.18423537468982</v>
      </c>
      <c r="AB209" s="169">
        <f t="shared" si="59"/>
        <v>0.18448344049158877</v>
      </c>
    </row>
    <row r="210" spans="1:28">
      <c r="A210" s="164" t="str">
        <f>'Price Deck'!A204</f>
        <v>12/2033</v>
      </c>
      <c r="B210" s="51">
        <f>'Gas Type Curve'!A217</f>
        <v>15.666666666666709</v>
      </c>
      <c r="C210" s="51">
        <f>'Gas Type Curve'!B217</f>
        <v>188.00000000000051</v>
      </c>
      <c r="D210" s="51">
        <f>'Gas Type Curve'!C217</f>
        <v>137.62587255974245</v>
      </c>
      <c r="E210" s="51">
        <f>'Gas Type Curve'!D217</f>
        <v>4186.1202903588328</v>
      </c>
      <c r="F210" s="51">
        <f>'Gas Type Curve'!E217</f>
        <v>2131140.7864114144</v>
      </c>
      <c r="G210" s="164"/>
      <c r="H210" s="51">
        <f t="shared" si="47"/>
        <v>118538.36826209105</v>
      </c>
      <c r="I210" s="164">
        <f t="shared" si="48"/>
        <v>118.53836826209105</v>
      </c>
      <c r="J210" s="164">
        <f t="shared" si="45"/>
        <v>4421.4811361759967</v>
      </c>
      <c r="K210" s="169">
        <f t="shared" si="49"/>
        <v>3.4971311912952046</v>
      </c>
      <c r="L210" s="164"/>
      <c r="M210" s="170">
        <f t="shared" si="50"/>
        <v>0.10712807563004619</v>
      </c>
      <c r="N210" s="164">
        <v>0.05</v>
      </c>
      <c r="O210" s="155">
        <f t="shared" si="51"/>
        <v>0.11582787147771229</v>
      </c>
      <c r="P210" s="155">
        <f t="shared" si="52"/>
        <v>0.10712807563004619</v>
      </c>
      <c r="Q210" s="155">
        <f t="shared" si="53"/>
        <v>0.17219045180414211</v>
      </c>
      <c r="R210" s="164"/>
      <c r="S210" s="164">
        <f t="shared" si="46"/>
        <v>-0.11205095758900564</v>
      </c>
      <c r="T210" s="170">
        <f t="shared" si="54"/>
        <v>0.05</v>
      </c>
      <c r="U210" s="164"/>
      <c r="V210" s="171">
        <f>'Price Deck'!K204</f>
        <v>3.6896688098317751</v>
      </c>
      <c r="W210" s="169">
        <f t="shared" si="55"/>
        <v>3.4971311912952046</v>
      </c>
      <c r="X210" s="164"/>
      <c r="Y210" s="169">
        <f t="shared" si="56"/>
        <v>15445.39746954092</v>
      </c>
      <c r="Z210" s="247">
        <f t="shared" si="57"/>
        <v>0.05</v>
      </c>
      <c r="AA210" s="169">
        <f t="shared" si="58"/>
        <v>772.26987347704608</v>
      </c>
      <c r="AB210" s="169">
        <f t="shared" si="59"/>
        <v>0.18448344049158877</v>
      </c>
    </row>
    <row r="211" spans="1:28">
      <c r="A211" s="164" t="str">
        <f>'Price Deck'!A205</f>
        <v>01/2034</v>
      </c>
      <c r="B211" s="51">
        <f>'Gas Type Curve'!A218</f>
        <v>15.750000000000043</v>
      </c>
      <c r="C211" s="51">
        <f>'Gas Type Curve'!B218</f>
        <v>189.00000000000051</v>
      </c>
      <c r="D211" s="51">
        <f>'Gas Type Curve'!C218</f>
        <v>137.11119779256245</v>
      </c>
      <c r="E211" s="51">
        <f>'Gas Type Curve'!D218</f>
        <v>4170.4655995237745</v>
      </c>
      <c r="F211" s="51">
        <f>'Gas Type Curve'!E218</f>
        <v>2135311.2520109382</v>
      </c>
      <c r="G211" s="164"/>
      <c r="H211" s="51">
        <f t="shared" si="47"/>
        <v>118095.07438171472</v>
      </c>
      <c r="I211" s="164">
        <f t="shared" si="48"/>
        <v>118.09507438171471</v>
      </c>
      <c r="J211" s="164">
        <f t="shared" si="45"/>
        <v>4404.9462744379589</v>
      </c>
      <c r="K211" s="169">
        <f t="shared" si="49"/>
        <v>3.4971311912952046</v>
      </c>
      <c r="L211" s="164"/>
      <c r="M211" s="170">
        <f t="shared" si="50"/>
        <v>0.10712807563004619</v>
      </c>
      <c r="N211" s="164">
        <v>0.05</v>
      </c>
      <c r="O211" s="155">
        <f t="shared" si="51"/>
        <v>0.11582787147771229</v>
      </c>
      <c r="P211" s="155">
        <f t="shared" si="52"/>
        <v>0.10712807563004619</v>
      </c>
      <c r="Q211" s="155">
        <f t="shared" si="53"/>
        <v>0.17219045180414211</v>
      </c>
      <c r="R211" s="164"/>
      <c r="S211" s="164">
        <f t="shared" si="46"/>
        <v>-0.11226981177774745</v>
      </c>
      <c r="T211" s="170">
        <f t="shared" si="54"/>
        <v>0.05</v>
      </c>
      <c r="U211" s="164"/>
      <c r="V211" s="171">
        <f>'Price Deck'!K205</f>
        <v>3.6896688098317751</v>
      </c>
      <c r="W211" s="169">
        <f t="shared" si="55"/>
        <v>3.4971311912952046</v>
      </c>
      <c r="X211" s="164"/>
      <c r="Y211" s="169">
        <f t="shared" si="56"/>
        <v>15387.636845039246</v>
      </c>
      <c r="Z211" s="247">
        <f t="shared" si="57"/>
        <v>0.05</v>
      </c>
      <c r="AA211" s="169">
        <f t="shared" si="58"/>
        <v>769.38184225196233</v>
      </c>
      <c r="AB211" s="169">
        <f t="shared" si="59"/>
        <v>0.18448344049158877</v>
      </c>
    </row>
    <row r="212" spans="1:28">
      <c r="A212" s="164" t="str">
        <f>'Price Deck'!A206</f>
        <v>02/2034</v>
      </c>
      <c r="B212" s="51">
        <f>'Gas Type Curve'!A219</f>
        <v>15.833333333333377</v>
      </c>
      <c r="C212" s="51">
        <f>'Gas Type Curve'!B219</f>
        <v>190.00000000000051</v>
      </c>
      <c r="D212" s="51">
        <f>'Gas Type Curve'!C219</f>
        <v>136.60114851558899</v>
      </c>
      <c r="E212" s="51">
        <f>'Gas Type Curve'!D219</f>
        <v>4154.9516006824988</v>
      </c>
      <c r="F212" s="51">
        <f>'Gas Type Curve'!E219</f>
        <v>2139466.2036116207</v>
      </c>
      <c r="G212" s="164"/>
      <c r="H212" s="51">
        <f t="shared" si="47"/>
        <v>117655.76447652631</v>
      </c>
      <c r="I212" s="164">
        <f t="shared" si="48"/>
        <v>117.65576447652631</v>
      </c>
      <c r="J212" s="164">
        <f t="shared" si="45"/>
        <v>4388.5600149744314</v>
      </c>
      <c r="K212" s="169">
        <f t="shared" si="49"/>
        <v>3.4971311912952046</v>
      </c>
      <c r="L212" s="164"/>
      <c r="M212" s="170">
        <f t="shared" si="50"/>
        <v>0.10712807563004619</v>
      </c>
      <c r="N212" s="164">
        <v>0.05</v>
      </c>
      <c r="O212" s="155">
        <f t="shared" si="51"/>
        <v>0.11582787147771229</v>
      </c>
      <c r="P212" s="155">
        <f t="shared" si="52"/>
        <v>0.10712807563004619</v>
      </c>
      <c r="Q212" s="155">
        <f t="shared" si="53"/>
        <v>0.17219045180414211</v>
      </c>
      <c r="R212" s="164"/>
      <c r="S212" s="164">
        <f t="shared" si="46"/>
        <v>-0.11248669907793896</v>
      </c>
      <c r="T212" s="170">
        <f t="shared" si="54"/>
        <v>0.05</v>
      </c>
      <c r="U212" s="164"/>
      <c r="V212" s="171">
        <f>'Price Deck'!K206</f>
        <v>3.6896688098317751</v>
      </c>
      <c r="W212" s="169">
        <f t="shared" si="55"/>
        <v>3.4971311912952046</v>
      </c>
      <c r="X212" s="164"/>
      <c r="Y212" s="169">
        <f t="shared" si="56"/>
        <v>15330.395327398825</v>
      </c>
      <c r="Z212" s="247">
        <f t="shared" si="57"/>
        <v>0.05</v>
      </c>
      <c r="AA212" s="169">
        <f t="shared" si="58"/>
        <v>766.51976636994129</v>
      </c>
      <c r="AB212" s="169">
        <f t="shared" si="59"/>
        <v>0.18448344049158877</v>
      </c>
    </row>
    <row r="213" spans="1:28">
      <c r="A213" s="164" t="str">
        <f>'Price Deck'!A207</f>
        <v>03/2034</v>
      </c>
      <c r="B213" s="51">
        <f>'Gas Type Curve'!A220</f>
        <v>15.91666666666671</v>
      </c>
      <c r="C213" s="51">
        <f>'Gas Type Curve'!B220</f>
        <v>191.00000000000051</v>
      </c>
      <c r="D213" s="51">
        <f>'Gas Type Curve'!C220</f>
        <v>136.09565914043162</v>
      </c>
      <c r="E213" s="51">
        <f>'Gas Type Curve'!D220</f>
        <v>4139.5762988547949</v>
      </c>
      <c r="F213" s="51">
        <f>'Gas Type Curve'!E220</f>
        <v>2143605.7799104755</v>
      </c>
      <c r="G213" s="164"/>
      <c r="H213" s="51">
        <f t="shared" si="47"/>
        <v>117220.38205467122</v>
      </c>
      <c r="I213" s="164">
        <f t="shared" si="48"/>
        <v>117.22038205467122</v>
      </c>
      <c r="J213" s="164">
        <f t="shared" si="45"/>
        <v>4372.3202506392363</v>
      </c>
      <c r="K213" s="169">
        <f t="shared" si="49"/>
        <v>3.5668203943158576</v>
      </c>
      <c r="L213" s="164"/>
      <c r="M213" s="170">
        <f t="shared" si="50"/>
        <v>0.11008986675842394</v>
      </c>
      <c r="N213" s="164">
        <v>0.05</v>
      </c>
      <c r="O213" s="155">
        <f t="shared" si="51"/>
        <v>0.12000922365895146</v>
      </c>
      <c r="P213" s="155">
        <f t="shared" si="52"/>
        <v>0.11008986675842394</v>
      </c>
      <c r="Q213" s="155">
        <f t="shared" si="53"/>
        <v>0.17375845887210678</v>
      </c>
      <c r="R213" s="164"/>
      <c r="S213" s="164">
        <f t="shared" si="46"/>
        <v>-0.11270164737960882</v>
      </c>
      <c r="T213" s="170">
        <f t="shared" si="54"/>
        <v>0.05</v>
      </c>
      <c r="U213" s="164"/>
      <c r="V213" s="171">
        <f>'Price Deck'!K207</f>
        <v>3.7631948129189245</v>
      </c>
      <c r="W213" s="169">
        <f t="shared" si="55"/>
        <v>3.5668203943158576</v>
      </c>
      <c r="X213" s="164"/>
      <c r="Y213" s="169">
        <f t="shared" si="56"/>
        <v>15578.032055532483</v>
      </c>
      <c r="Z213" s="247">
        <f t="shared" si="57"/>
        <v>0.05</v>
      </c>
      <c r="AA213" s="169">
        <f t="shared" si="58"/>
        <v>778.90160277662426</v>
      </c>
      <c r="AB213" s="169">
        <f t="shared" si="59"/>
        <v>0.18815974064594623</v>
      </c>
    </row>
    <row r="214" spans="1:28">
      <c r="A214" s="164" t="str">
        <f>'Price Deck'!A208</f>
        <v>04/2034</v>
      </c>
      <c r="B214" s="51">
        <f>'Gas Type Curve'!A221</f>
        <v>16.000000000000043</v>
      </c>
      <c r="C214" s="51">
        <f>'Gas Type Curve'!B221</f>
        <v>192.00000000000051</v>
      </c>
      <c r="D214" s="51">
        <f>'Gas Type Curve'!C221</f>
        <v>135.59466534575006</v>
      </c>
      <c r="E214" s="51">
        <f>'Gas Type Curve'!D221</f>
        <v>4124.337737599898</v>
      </c>
      <c r="F214" s="51">
        <f>'Gas Type Curve'!E221</f>
        <v>2147730.1176480753</v>
      </c>
      <c r="G214" s="164"/>
      <c r="H214" s="51">
        <f t="shared" si="47"/>
        <v>116788.8717156163</v>
      </c>
      <c r="I214" s="164">
        <f t="shared" si="48"/>
        <v>116.78887171561631</v>
      </c>
      <c r="J214" s="164">
        <f t="shared" si="45"/>
        <v>4356.2249149924883</v>
      </c>
      <c r="K214" s="169">
        <f t="shared" si="49"/>
        <v>3.5668203943158576</v>
      </c>
      <c r="L214" s="164"/>
      <c r="M214" s="170">
        <f t="shared" si="50"/>
        <v>0.11008986675842394</v>
      </c>
      <c r="N214" s="164">
        <v>0.05</v>
      </c>
      <c r="O214" s="155">
        <f t="shared" si="51"/>
        <v>0.12000922365895146</v>
      </c>
      <c r="P214" s="155">
        <f t="shared" si="52"/>
        <v>0.11008986675842394</v>
      </c>
      <c r="Q214" s="155">
        <f t="shared" si="53"/>
        <v>0.17375845887210678</v>
      </c>
      <c r="R214" s="164"/>
      <c r="S214" s="164">
        <f t="shared" si="46"/>
        <v>-0.11291468403400022</v>
      </c>
      <c r="T214" s="170">
        <f t="shared" si="54"/>
        <v>0.05</v>
      </c>
      <c r="U214" s="164"/>
      <c r="V214" s="171">
        <f>'Price Deck'!K208</f>
        <v>3.7631948129189245</v>
      </c>
      <c r="W214" s="169">
        <f t="shared" si="55"/>
        <v>3.5668203943158576</v>
      </c>
      <c r="X214" s="164"/>
      <c r="Y214" s="169">
        <f t="shared" si="56"/>
        <v>15520.686380861709</v>
      </c>
      <c r="Z214" s="247">
        <f t="shared" si="57"/>
        <v>0.05</v>
      </c>
      <c r="AA214" s="169">
        <f t="shared" si="58"/>
        <v>776.03431904308547</v>
      </c>
      <c r="AB214" s="169">
        <f t="shared" si="59"/>
        <v>0.18815974064594623</v>
      </c>
    </row>
    <row r="215" spans="1:28">
      <c r="A215" s="164" t="str">
        <f>'Price Deck'!A209</f>
        <v>05/2034</v>
      </c>
      <c r="B215" s="51">
        <f>'Gas Type Curve'!A222</f>
        <v>16.083333333333375</v>
      </c>
      <c r="C215" s="51">
        <f>'Gas Type Curve'!B222</f>
        <v>193.00000000000051</v>
      </c>
      <c r="D215" s="51">
        <f>'Gas Type Curve'!C222</f>
        <v>135.09810404633384</v>
      </c>
      <c r="E215" s="51">
        <f>'Gas Type Curve'!D222</f>
        <v>4109.233998075988</v>
      </c>
      <c r="F215" s="51">
        <f>'Gas Type Curve'!E222</f>
        <v>2151839.3516461514</v>
      </c>
      <c r="G215" s="164"/>
      <c r="H215" s="51">
        <f t="shared" si="47"/>
        <v>116361.17912351775</v>
      </c>
      <c r="I215" s="164">
        <f t="shared" si="48"/>
        <v>116.36117912351776</v>
      </c>
      <c r="J215" s="164">
        <f t="shared" si="45"/>
        <v>4340.2719813072117</v>
      </c>
      <c r="K215" s="169">
        <f t="shared" si="49"/>
        <v>3.5668203943158576</v>
      </c>
      <c r="L215" s="164"/>
      <c r="M215" s="170">
        <f t="shared" si="50"/>
        <v>0.11008986675842394</v>
      </c>
      <c r="N215" s="164">
        <v>0.05</v>
      </c>
      <c r="O215" s="155">
        <f t="shared" si="51"/>
        <v>0.12000922365895146</v>
      </c>
      <c r="P215" s="155">
        <f t="shared" si="52"/>
        <v>0.11008986675842394</v>
      </c>
      <c r="Q215" s="155">
        <f t="shared" si="53"/>
        <v>0.17375845887210678</v>
      </c>
      <c r="R215" s="164"/>
      <c r="S215" s="164">
        <f t="shared" si="46"/>
        <v>-0.11312583586671929</v>
      </c>
      <c r="T215" s="170">
        <f t="shared" si="54"/>
        <v>0.05</v>
      </c>
      <c r="U215" s="164"/>
      <c r="V215" s="171">
        <f>'Price Deck'!K209</f>
        <v>3.7631948129189245</v>
      </c>
      <c r="W215" s="169">
        <f t="shared" si="55"/>
        <v>3.5668203943158576</v>
      </c>
      <c r="X215" s="164"/>
      <c r="Y215" s="169">
        <f t="shared" si="56"/>
        <v>15463.848066629653</v>
      </c>
      <c r="Z215" s="247">
        <f t="shared" si="57"/>
        <v>0.05</v>
      </c>
      <c r="AA215" s="169">
        <f t="shared" si="58"/>
        <v>773.19240333148264</v>
      </c>
      <c r="AB215" s="169">
        <f t="shared" si="59"/>
        <v>0.18815974064594623</v>
      </c>
    </row>
    <row r="216" spans="1:28">
      <c r="A216" s="164" t="str">
        <f>'Price Deck'!A210</f>
        <v>06/2034</v>
      </c>
      <c r="B216" s="51">
        <f>'Gas Type Curve'!A223</f>
        <v>16.166666666666707</v>
      </c>
      <c r="C216" s="51">
        <f>'Gas Type Curve'!B223</f>
        <v>194.00000000000048</v>
      </c>
      <c r="D216" s="51">
        <f>'Gas Type Curve'!C223</f>
        <v>134.60591336309216</v>
      </c>
      <c r="E216" s="51">
        <f>'Gas Type Curve'!D223</f>
        <v>4094.2631981273867</v>
      </c>
      <c r="F216" s="51">
        <f>'Gas Type Curve'!E223</f>
        <v>2155933.6148442789</v>
      </c>
      <c r="G216" s="164"/>
      <c r="H216" s="51">
        <f t="shared" si="47"/>
        <v>115937.2509813732</v>
      </c>
      <c r="I216" s="164">
        <f t="shared" si="48"/>
        <v>115.9372509813732</v>
      </c>
      <c r="J216" s="164">
        <f t="shared" si="45"/>
        <v>4324.4594616052209</v>
      </c>
      <c r="K216" s="169">
        <f t="shared" si="49"/>
        <v>3.5668203943158576</v>
      </c>
      <c r="L216" s="164"/>
      <c r="M216" s="170">
        <f t="shared" si="50"/>
        <v>0.11008986675842394</v>
      </c>
      <c r="N216" s="164">
        <v>0.05</v>
      </c>
      <c r="O216" s="155">
        <f t="shared" si="51"/>
        <v>0.12000922365895146</v>
      </c>
      <c r="P216" s="155">
        <f t="shared" si="52"/>
        <v>0.11008986675842394</v>
      </c>
      <c r="Q216" s="155">
        <f t="shared" si="53"/>
        <v>0.17375845887210678</v>
      </c>
      <c r="R216" s="164"/>
      <c r="S216" s="164">
        <f t="shared" si="46"/>
        <v>-0.11333512919049606</v>
      </c>
      <c r="T216" s="170">
        <f t="shared" si="54"/>
        <v>0.05</v>
      </c>
      <c r="U216" s="164"/>
      <c r="V216" s="171">
        <f>'Price Deck'!K210</f>
        <v>3.7631948129189245</v>
      </c>
      <c r="W216" s="169">
        <f t="shared" si="55"/>
        <v>3.5668203943158576</v>
      </c>
      <c r="X216" s="164"/>
      <c r="Y216" s="169">
        <f t="shared" si="56"/>
        <v>15407.510029917828</v>
      </c>
      <c r="Z216" s="247">
        <f t="shared" si="57"/>
        <v>0.05</v>
      </c>
      <c r="AA216" s="169">
        <f t="shared" si="58"/>
        <v>770.37550149589151</v>
      </c>
      <c r="AB216" s="169">
        <f t="shared" si="59"/>
        <v>0.18815974064594626</v>
      </c>
    </row>
    <row r="217" spans="1:28">
      <c r="A217" s="164" t="str">
        <f>'Price Deck'!A211</f>
        <v>07/2034</v>
      </c>
      <c r="B217" s="51">
        <f>'Gas Type Curve'!A224</f>
        <v>16.250000000000039</v>
      </c>
      <c r="C217" s="51">
        <f>'Gas Type Curve'!B224</f>
        <v>195.00000000000045</v>
      </c>
      <c r="D217" s="51">
        <f>'Gas Type Curve'!C224</f>
        <v>134.11803259392295</v>
      </c>
      <c r="E217" s="51">
        <f>'Gas Type Curve'!D224</f>
        <v>4079.4234913984897</v>
      </c>
      <c r="F217" s="51">
        <f>'Gas Type Curve'!E224</f>
        <v>2160013.0383356772</v>
      </c>
      <c r="G217" s="164"/>
      <c r="H217" s="51">
        <f t="shared" si="47"/>
        <v>115517.03500593103</v>
      </c>
      <c r="I217" s="164">
        <f t="shared" si="48"/>
        <v>115.51703500593104</v>
      </c>
      <c r="J217" s="164">
        <f t="shared" si="45"/>
        <v>4308.7854057212271</v>
      </c>
      <c r="K217" s="169">
        <f t="shared" si="49"/>
        <v>3.5668203943158576</v>
      </c>
      <c r="L217" s="164"/>
      <c r="M217" s="170">
        <f t="shared" si="50"/>
        <v>0.11008986675842394</v>
      </c>
      <c r="N217" s="164">
        <v>0.05</v>
      </c>
      <c r="O217" s="155">
        <f t="shared" si="51"/>
        <v>0.12000922365895146</v>
      </c>
      <c r="P217" s="155">
        <f t="shared" si="52"/>
        <v>0.11008986675842394</v>
      </c>
      <c r="Q217" s="155">
        <f t="shared" si="53"/>
        <v>0.17375845887210678</v>
      </c>
      <c r="R217" s="164"/>
      <c r="S217" s="164">
        <f t="shared" si="46"/>
        <v>-0.11354258981757186</v>
      </c>
      <c r="T217" s="170">
        <f t="shared" si="54"/>
        <v>0.05</v>
      </c>
      <c r="U217" s="164"/>
      <c r="V217" s="171">
        <f>'Price Deck'!K211</f>
        <v>3.7631948129189245</v>
      </c>
      <c r="W217" s="169">
        <f t="shared" si="55"/>
        <v>3.5668203943158576</v>
      </c>
      <c r="X217" s="164"/>
      <c r="Y217" s="169">
        <f t="shared" si="56"/>
        <v>15351.665322530405</v>
      </c>
      <c r="Z217" s="247">
        <f t="shared" si="57"/>
        <v>0.05</v>
      </c>
      <c r="AA217" s="169">
        <f t="shared" si="58"/>
        <v>767.58326612652036</v>
      </c>
      <c r="AB217" s="169">
        <f t="shared" si="59"/>
        <v>0.18815974064594626</v>
      </c>
    </row>
    <row r="218" spans="1:28">
      <c r="A218" s="164" t="str">
        <f>'Price Deck'!A212</f>
        <v>08/2034</v>
      </c>
      <c r="B218" s="51">
        <f>'Gas Type Curve'!A225</f>
        <v>16.333333333333371</v>
      </c>
      <c r="C218" s="51">
        <f>'Gas Type Curve'!B225</f>
        <v>196.00000000000045</v>
      </c>
      <c r="D218" s="51">
        <f>'Gas Type Curve'!C225</f>
        <v>133.63440218542976</v>
      </c>
      <c r="E218" s="51">
        <f>'Gas Type Curve'!D225</f>
        <v>4064.7130664734887</v>
      </c>
      <c r="F218" s="51">
        <f>'Gas Type Curve'!E225</f>
        <v>2164077.7514021508</v>
      </c>
      <c r="G218" s="164"/>
      <c r="H218" s="51">
        <f t="shared" si="47"/>
        <v>115100.47990332977</v>
      </c>
      <c r="I218" s="164">
        <f t="shared" si="48"/>
        <v>115.10047990332977</v>
      </c>
      <c r="J218" s="164">
        <f t="shared" si="45"/>
        <v>4293.2479003942008</v>
      </c>
      <c r="K218" s="169">
        <f t="shared" si="49"/>
        <v>3.5668203943158576</v>
      </c>
      <c r="L218" s="164"/>
      <c r="M218" s="170">
        <f t="shared" si="50"/>
        <v>0.11008986675842394</v>
      </c>
      <c r="N218" s="164">
        <v>0.05</v>
      </c>
      <c r="O218" s="155">
        <f t="shared" si="51"/>
        <v>0.12000922365895146</v>
      </c>
      <c r="P218" s="155">
        <f t="shared" si="52"/>
        <v>0.11008986675842394</v>
      </c>
      <c r="Q218" s="155">
        <f t="shared" si="53"/>
        <v>0.17375845887210678</v>
      </c>
      <c r="R218" s="164"/>
      <c r="S218" s="164">
        <f t="shared" si="46"/>
        <v>-0.11374824307172611</v>
      </c>
      <c r="T218" s="170">
        <f t="shared" si="54"/>
        <v>0.05</v>
      </c>
      <c r="U218" s="164"/>
      <c r="V218" s="171">
        <f>'Price Deck'!K212</f>
        <v>3.7631948129189245</v>
      </c>
      <c r="W218" s="169">
        <f t="shared" si="55"/>
        <v>3.5668203943158576</v>
      </c>
      <c r="X218" s="164"/>
      <c r="Y218" s="169">
        <f t="shared" si="56"/>
        <v>15296.307127756809</v>
      </c>
      <c r="Z218" s="247">
        <f t="shared" si="57"/>
        <v>0.05</v>
      </c>
      <c r="AA218" s="169">
        <f t="shared" si="58"/>
        <v>764.81535638784044</v>
      </c>
      <c r="AB218" s="169">
        <f t="shared" si="59"/>
        <v>0.18815974064594623</v>
      </c>
    </row>
    <row r="219" spans="1:28">
      <c r="A219" s="164" t="str">
        <f>'Price Deck'!A213</f>
        <v>09/2034</v>
      </c>
      <c r="B219" s="51">
        <f>'Gas Type Curve'!A226</f>
        <v>16.416666666666703</v>
      </c>
      <c r="C219" s="51">
        <f>'Gas Type Curve'!B226</f>
        <v>197.00000000000045</v>
      </c>
      <c r="D219" s="51">
        <f>'Gas Type Curve'!C226</f>
        <v>133.15496370545964</v>
      </c>
      <c r="E219" s="51">
        <f>'Gas Type Curve'!D226</f>
        <v>4050.1301460410641</v>
      </c>
      <c r="F219" s="51">
        <f>'Gas Type Curve'!E226</f>
        <v>2168127.8815481919</v>
      </c>
      <c r="G219" s="164"/>
      <c r="H219" s="51">
        <f t="shared" si="47"/>
        <v>114687.5353454448</v>
      </c>
      <c r="I219" s="164">
        <f t="shared" si="48"/>
        <v>114.6875353454448</v>
      </c>
      <c r="J219" s="164">
        <f t="shared" si="45"/>
        <v>4277.8450683850915</v>
      </c>
      <c r="K219" s="169">
        <f t="shared" si="49"/>
        <v>3.5668203943158576</v>
      </c>
      <c r="L219" s="164"/>
      <c r="M219" s="170">
        <f t="shared" si="50"/>
        <v>0.11008986675842394</v>
      </c>
      <c r="N219" s="164">
        <v>0.05</v>
      </c>
      <c r="O219" s="155">
        <f t="shared" si="51"/>
        <v>0.12000922365895146</v>
      </c>
      <c r="P219" s="155">
        <f t="shared" si="52"/>
        <v>0.11008986675842394</v>
      </c>
      <c r="Q219" s="155">
        <f t="shared" si="53"/>
        <v>0.17375845887210678</v>
      </c>
      <c r="R219" s="164"/>
      <c r="S219" s="164">
        <f t="shared" si="46"/>
        <v>-0.1139521137999539</v>
      </c>
      <c r="T219" s="170">
        <f t="shared" si="54"/>
        <v>0.05</v>
      </c>
      <c r="U219" s="164"/>
      <c r="V219" s="171">
        <f>'Price Deck'!K213</f>
        <v>3.7631948129189245</v>
      </c>
      <c r="W219" s="169">
        <f t="shared" si="55"/>
        <v>3.5668203943158576</v>
      </c>
      <c r="X219" s="164"/>
      <c r="Y219" s="169">
        <f t="shared" si="56"/>
        <v>15241.428757228299</v>
      </c>
      <c r="Z219" s="247">
        <f t="shared" si="57"/>
        <v>0.05</v>
      </c>
      <c r="AA219" s="169">
        <f t="shared" si="58"/>
        <v>762.07143786141501</v>
      </c>
      <c r="AB219" s="169">
        <f t="shared" si="59"/>
        <v>0.18815974064594623</v>
      </c>
    </row>
    <row r="220" spans="1:28">
      <c r="A220" s="164" t="str">
        <f>'Price Deck'!A214</f>
        <v>10/2034</v>
      </c>
      <c r="B220" s="51">
        <f>'Gas Type Curve'!A227</f>
        <v>16.500000000000036</v>
      </c>
      <c r="C220" s="51">
        <f>'Gas Type Curve'!B227</f>
        <v>198.00000000000043</v>
      </c>
      <c r="D220" s="51">
        <f>'Gas Type Curve'!C227</f>
        <v>132.67965981643229</v>
      </c>
      <c r="E220" s="51">
        <f>'Gas Type Curve'!D227</f>
        <v>4035.6729860831492</v>
      </c>
      <c r="F220" s="51">
        <f>'Gas Type Curve'!E227</f>
        <v>2172163.5545342751</v>
      </c>
      <c r="G220" s="164"/>
      <c r="H220" s="51">
        <f t="shared" si="47"/>
        <v>114278.15194691654</v>
      </c>
      <c r="I220" s="164">
        <f t="shared" si="48"/>
        <v>114.27815194691654</v>
      </c>
      <c r="J220" s="164">
        <f t="shared" si="45"/>
        <v>4262.5750676199868</v>
      </c>
      <c r="K220" s="169">
        <f t="shared" si="49"/>
        <v>3.5668203943158576</v>
      </c>
      <c r="L220" s="164"/>
      <c r="M220" s="170">
        <f t="shared" si="50"/>
        <v>0.11008986675842394</v>
      </c>
      <c r="N220" s="164">
        <v>0.05</v>
      </c>
      <c r="O220" s="155">
        <f t="shared" si="51"/>
        <v>0.12000922365895146</v>
      </c>
      <c r="P220" s="155">
        <f t="shared" si="52"/>
        <v>0.11008986675842394</v>
      </c>
      <c r="Q220" s="155">
        <f t="shared" si="53"/>
        <v>0.17375845887210678</v>
      </c>
      <c r="R220" s="164"/>
      <c r="S220" s="164">
        <f t="shared" si="46"/>
        <v>-0.11415422638380732</v>
      </c>
      <c r="T220" s="170">
        <f t="shared" si="54"/>
        <v>0.05</v>
      </c>
      <c r="U220" s="164"/>
      <c r="V220" s="171">
        <f>'Price Deck'!K214</f>
        <v>3.7631948129189245</v>
      </c>
      <c r="W220" s="169">
        <f t="shared" si="55"/>
        <v>3.5668203943158576</v>
      </c>
      <c r="X220" s="164"/>
      <c r="Y220" s="169">
        <f t="shared" si="56"/>
        <v>15187.023647865135</v>
      </c>
      <c r="Z220" s="247">
        <f t="shared" si="57"/>
        <v>0.05</v>
      </c>
      <c r="AA220" s="169">
        <f t="shared" si="58"/>
        <v>759.35118239325675</v>
      </c>
      <c r="AB220" s="169">
        <f t="shared" si="59"/>
        <v>0.18815974064594623</v>
      </c>
    </row>
    <row r="221" spans="1:28">
      <c r="A221" s="164" t="str">
        <f>'Price Deck'!A215</f>
        <v>11/2034</v>
      </c>
      <c r="B221" s="51">
        <f>'Gas Type Curve'!A228</f>
        <v>16.583333333333368</v>
      </c>
      <c r="C221" s="51">
        <f>'Gas Type Curve'!B228</f>
        <v>199.0000000000004</v>
      </c>
      <c r="D221" s="51">
        <f>'Gas Type Curve'!C228</f>
        <v>132.2084342494347</v>
      </c>
      <c r="E221" s="51">
        <f>'Gas Type Curve'!D228</f>
        <v>4021.3398750869724</v>
      </c>
      <c r="F221" s="51">
        <f>'Gas Type Curve'!E228</f>
        <v>2176184.8944093622</v>
      </c>
      <c r="G221" s="164"/>
      <c r="H221" s="51">
        <f t="shared" si="47"/>
        <v>113872.28124283779</v>
      </c>
      <c r="I221" s="164">
        <f t="shared" si="48"/>
        <v>113.8722812428378</v>
      </c>
      <c r="J221" s="164">
        <f t="shared" si="45"/>
        <v>4247.4360903578499</v>
      </c>
      <c r="K221" s="169">
        <f t="shared" si="49"/>
        <v>3.5668203943158576</v>
      </c>
      <c r="L221" s="164"/>
      <c r="M221" s="170">
        <f t="shared" si="50"/>
        <v>0.11008986675842394</v>
      </c>
      <c r="N221" s="164">
        <v>0.05</v>
      </c>
      <c r="O221" s="155">
        <f t="shared" si="51"/>
        <v>0.12000922365895146</v>
      </c>
      <c r="P221" s="155">
        <f t="shared" si="52"/>
        <v>0.11008986675842394</v>
      </c>
      <c r="Q221" s="155">
        <f t="shared" si="53"/>
        <v>0.17375845887210678</v>
      </c>
      <c r="R221" s="164"/>
      <c r="S221" s="164">
        <f t="shared" si="46"/>
        <v>-0.11435460475041098</v>
      </c>
      <c r="T221" s="170">
        <f t="shared" si="54"/>
        <v>0.05</v>
      </c>
      <c r="U221" s="164"/>
      <c r="V221" s="171">
        <f>'Price Deck'!K215</f>
        <v>3.7631948129189245</v>
      </c>
      <c r="W221" s="169">
        <f t="shared" si="55"/>
        <v>3.5668203943158576</v>
      </c>
      <c r="X221" s="164"/>
      <c r="Y221" s="169">
        <f t="shared" si="56"/>
        <v>15133.08535891133</v>
      </c>
      <c r="Z221" s="247">
        <f t="shared" si="57"/>
        <v>0.05</v>
      </c>
      <c r="AA221" s="169">
        <f t="shared" si="58"/>
        <v>756.65426794556652</v>
      </c>
      <c r="AB221" s="169">
        <f t="shared" si="59"/>
        <v>0.18815974064594623</v>
      </c>
    </row>
    <row r="222" spans="1:28">
      <c r="A222" s="164" t="str">
        <f>'Price Deck'!A216</f>
        <v>01/2034</v>
      </c>
      <c r="B222" s="51">
        <f>'Gas Type Curve'!A229</f>
        <v>16.6666666666667</v>
      </c>
      <c r="C222" s="51">
        <f>'Gas Type Curve'!B229</f>
        <v>200.0000000000004</v>
      </c>
      <c r="D222" s="51">
        <f>'Gas Type Curve'!C229</f>
        <v>131.74123177905554</v>
      </c>
      <c r="E222" s="51">
        <f>'Gas Type Curve'!D229</f>
        <v>4007.1291332796063</v>
      </c>
      <c r="F222" s="51">
        <f>'Gas Type Curve'!E229</f>
        <v>2180192.0235426417</v>
      </c>
      <c r="G222" s="164"/>
      <c r="H222" s="51">
        <f t="shared" si="47"/>
        <v>113469.87566707861</v>
      </c>
      <c r="I222" s="164">
        <f t="shared" si="48"/>
        <v>113.46987566707861</v>
      </c>
      <c r="J222" s="164">
        <f t="shared" si="45"/>
        <v>4232.4263623820325</v>
      </c>
      <c r="K222" s="169">
        <f t="shared" si="49"/>
        <v>3.5668203943158576</v>
      </c>
      <c r="L222" s="164"/>
      <c r="M222" s="170">
        <f t="shared" si="50"/>
        <v>0.11008986675842394</v>
      </c>
      <c r="N222" s="164">
        <v>0.05</v>
      </c>
      <c r="O222" s="155">
        <f t="shared" si="51"/>
        <v>0.12000922365895146</v>
      </c>
      <c r="P222" s="155">
        <f t="shared" si="52"/>
        <v>0.11008986675842394</v>
      </c>
      <c r="Q222" s="155">
        <f t="shared" si="53"/>
        <v>0.17375845887210678</v>
      </c>
      <c r="R222" s="164"/>
      <c r="S222" s="164">
        <f t="shared" si="46"/>
        <v>-0.11455327238316329</v>
      </c>
      <c r="T222" s="170">
        <f t="shared" si="54"/>
        <v>0.05</v>
      </c>
      <c r="U222" s="164"/>
      <c r="V222" s="171">
        <f>'Price Deck'!K216</f>
        <v>3.7631948129189245</v>
      </c>
      <c r="W222" s="169">
        <f t="shared" si="55"/>
        <v>3.5668203943158576</v>
      </c>
      <c r="X222" s="164"/>
      <c r="Y222" s="169">
        <f t="shared" si="56"/>
        <v>15079.60756905412</v>
      </c>
      <c r="Z222" s="247">
        <f t="shared" si="57"/>
        <v>0.05</v>
      </c>
      <c r="AA222" s="169">
        <f t="shared" si="58"/>
        <v>753.98037845270608</v>
      </c>
      <c r="AB222" s="169">
        <f t="shared" si="59"/>
        <v>0.18815974064594623</v>
      </c>
    </row>
    <row r="223" spans="1:28">
      <c r="A223" s="164" t="str">
        <f>'Price Deck'!A217</f>
        <v>02/2034</v>
      </c>
      <c r="B223" s="51">
        <f>'Gas Type Curve'!A230</f>
        <v>16.750000000000032</v>
      </c>
      <c r="C223" s="51">
        <f>'Gas Type Curve'!B230</f>
        <v>201.0000000000004</v>
      </c>
      <c r="D223" s="51">
        <f>'Gas Type Curve'!C230</f>
        <v>131.27799819893494</v>
      </c>
      <c r="E223" s="51">
        <f>'Gas Type Curve'!D230</f>
        <v>3993.0391118842713</v>
      </c>
      <c r="F223" s="51">
        <f>'Gas Type Curve'!E230</f>
        <v>2184185.062654526</v>
      </c>
      <c r="G223" s="164"/>
      <c r="H223" s="51">
        <f t="shared" si="47"/>
        <v>113070.8885312269</v>
      </c>
      <c r="I223" s="164">
        <f t="shared" si="48"/>
        <v>113.0708885312269</v>
      </c>
      <c r="J223" s="164">
        <f t="shared" si="45"/>
        <v>4217.5441422147633</v>
      </c>
      <c r="K223" s="169">
        <f t="shared" si="49"/>
        <v>3.5668203943158576</v>
      </c>
      <c r="L223" s="164"/>
      <c r="M223" s="170">
        <f t="shared" si="50"/>
        <v>0.11008986675842394</v>
      </c>
      <c r="N223" s="164">
        <v>0.05</v>
      </c>
      <c r="O223" s="155">
        <f t="shared" si="51"/>
        <v>0.12000922365895146</v>
      </c>
      <c r="P223" s="155">
        <f t="shared" si="52"/>
        <v>0.11008986675842394</v>
      </c>
      <c r="Q223" s="155">
        <f t="shared" si="53"/>
        <v>0.17375845887210678</v>
      </c>
      <c r="R223" s="164"/>
      <c r="S223" s="164">
        <f t="shared" si="46"/>
        <v>-0.11475025233213329</v>
      </c>
      <c r="T223" s="170">
        <f t="shared" si="54"/>
        <v>0.05</v>
      </c>
      <c r="U223" s="164"/>
      <c r="V223" s="171">
        <f>'Price Deck'!K217</f>
        <v>3.7631948129189245</v>
      </c>
      <c r="W223" s="169">
        <f t="shared" si="55"/>
        <v>3.5668203943158576</v>
      </c>
      <c r="X223" s="164"/>
      <c r="Y223" s="169">
        <f t="shared" si="56"/>
        <v>15026.584073625279</v>
      </c>
      <c r="Z223" s="247">
        <f t="shared" si="57"/>
        <v>0.05</v>
      </c>
      <c r="AA223" s="169">
        <f t="shared" si="58"/>
        <v>751.32920368126406</v>
      </c>
      <c r="AB223" s="169">
        <f t="shared" si="59"/>
        <v>0.18815974064594626</v>
      </c>
    </row>
    <row r="224" spans="1:28">
      <c r="A224" s="164" t="str">
        <f>'Price Deck'!A218</f>
        <v>03/2034</v>
      </c>
      <c r="B224" s="51">
        <f>'Gas Type Curve'!A231</f>
        <v>16.833333333333364</v>
      </c>
      <c r="C224" s="51">
        <f>'Gas Type Curve'!B231</f>
        <v>202.00000000000037</v>
      </c>
      <c r="D224" s="51">
        <f>'Gas Type Curve'!C231</f>
        <v>130.81868029800395</v>
      </c>
      <c r="E224" s="51">
        <f>'Gas Type Curve'!D231</f>
        <v>3979.0681923976204</v>
      </c>
      <c r="F224" s="51">
        <f>'Gas Type Curve'!E231</f>
        <v>2188164.1308469237</v>
      </c>
      <c r="G224" s="164"/>
      <c r="H224" s="51">
        <f t="shared" si="47"/>
        <v>112675.27400412342</v>
      </c>
      <c r="I224" s="164">
        <f t="shared" si="48"/>
        <v>112.67527400412342</v>
      </c>
      <c r="J224" s="164">
        <f t="shared" si="45"/>
        <v>4202.7877203538037</v>
      </c>
      <c r="K224" s="169">
        <f t="shared" si="49"/>
        <v>3.6375549353818206</v>
      </c>
      <c r="L224" s="164"/>
      <c r="M224" s="170">
        <f t="shared" si="50"/>
        <v>0.11309608475372737</v>
      </c>
      <c r="N224" s="164">
        <v>0.05</v>
      </c>
      <c r="O224" s="155">
        <f t="shared" si="51"/>
        <v>0.12425329612290924</v>
      </c>
      <c r="P224" s="155">
        <f t="shared" si="52"/>
        <v>0.11309608475372737</v>
      </c>
      <c r="Q224" s="155">
        <f t="shared" si="53"/>
        <v>0.17534998604609095</v>
      </c>
      <c r="R224" s="164"/>
      <c r="S224" s="164">
        <f t="shared" si="46"/>
        <v>-0.11494556722416427</v>
      </c>
      <c r="T224" s="170">
        <f t="shared" si="54"/>
        <v>0.05</v>
      </c>
      <c r="U224" s="164"/>
      <c r="V224" s="171">
        <f>'Price Deck'!K218</f>
        <v>3.8378237060523817</v>
      </c>
      <c r="W224" s="169">
        <f t="shared" si="55"/>
        <v>3.6375549353818206</v>
      </c>
      <c r="X224" s="164"/>
      <c r="Y224" s="169">
        <f t="shared" si="56"/>
        <v>15270.962236782587</v>
      </c>
      <c r="Z224" s="247">
        <f t="shared" si="57"/>
        <v>0.05</v>
      </c>
      <c r="AA224" s="169">
        <f t="shared" si="58"/>
        <v>763.54811183912943</v>
      </c>
      <c r="AB224" s="169">
        <f t="shared" si="59"/>
        <v>0.19189118530261912</v>
      </c>
    </row>
    <row r="225" spans="1:28">
      <c r="A225" s="164" t="str">
        <f>'Price Deck'!A219</f>
        <v>04/2034</v>
      </c>
      <c r="B225" s="51">
        <f>'Gas Type Curve'!A232</f>
        <v>16.916666666666696</v>
      </c>
      <c r="C225" s="51">
        <f>'Gas Type Curve'!B232</f>
        <v>203.00000000000034</v>
      </c>
      <c r="D225" s="51">
        <f>'Gas Type Curve'!C232</f>
        <v>130.36322583739494</v>
      </c>
      <c r="E225" s="51">
        <f>'Gas Type Curve'!D232</f>
        <v>3965.2147858874296</v>
      </c>
      <c r="F225" s="51">
        <f>'Gas Type Curve'!E232</f>
        <v>2192129.3456328111</v>
      </c>
      <c r="G225" s="164"/>
      <c r="H225" s="51">
        <f t="shared" si="47"/>
        <v>112282.98709197434</v>
      </c>
      <c r="I225" s="164">
        <f t="shared" si="48"/>
        <v>112.28298709197433</v>
      </c>
      <c r="J225" s="164">
        <f t="shared" si="45"/>
        <v>4188.1554185306431</v>
      </c>
      <c r="K225" s="169">
        <f t="shared" si="49"/>
        <v>3.6375549353818206</v>
      </c>
      <c r="L225" s="164"/>
      <c r="M225" s="170">
        <f t="shared" si="50"/>
        <v>0.11309608475372737</v>
      </c>
      <c r="N225" s="164">
        <v>0.05</v>
      </c>
      <c r="O225" s="155">
        <f t="shared" si="51"/>
        <v>0.12425329612290924</v>
      </c>
      <c r="P225" s="155">
        <f t="shared" si="52"/>
        <v>0.11309608475372737</v>
      </c>
      <c r="Q225" s="155">
        <f t="shared" si="53"/>
        <v>0.17534998604609095</v>
      </c>
      <c r="R225" s="164"/>
      <c r="S225" s="164">
        <f t="shared" si="46"/>
        <v>-0.11513923927269226</v>
      </c>
      <c r="T225" s="170">
        <f t="shared" si="54"/>
        <v>0.05</v>
      </c>
      <c r="U225" s="164"/>
      <c r="V225" s="171">
        <f>'Price Deck'!K219</f>
        <v>3.8378237060523817</v>
      </c>
      <c r="W225" s="169">
        <f t="shared" si="55"/>
        <v>3.6375549353818206</v>
      </c>
      <c r="X225" s="164"/>
      <c r="Y225" s="169">
        <f t="shared" si="56"/>
        <v>15217.795304868196</v>
      </c>
      <c r="Z225" s="247">
        <f t="shared" si="57"/>
        <v>0.05</v>
      </c>
      <c r="AA225" s="169">
        <f t="shared" si="58"/>
        <v>760.88976524340978</v>
      </c>
      <c r="AB225" s="169">
        <f t="shared" si="59"/>
        <v>0.19189118530261909</v>
      </c>
    </row>
    <row r="226" spans="1:28">
      <c r="A226" s="164" t="str">
        <f>'Price Deck'!A220</f>
        <v>05/2034</v>
      </c>
      <c r="B226" s="51">
        <f>'Gas Type Curve'!A233</f>
        <v>17.000000000000028</v>
      </c>
      <c r="C226" s="51">
        <f>'Gas Type Curve'!B233</f>
        <v>204.00000000000034</v>
      </c>
      <c r="D226" s="51">
        <f>'Gas Type Curve'!C233</f>
        <v>129.9115835279953</v>
      </c>
      <c r="E226" s="51">
        <f>'Gas Type Curve'!D233</f>
        <v>3951.4773323098575</v>
      </c>
      <c r="F226" s="51">
        <f>'Gas Type Curve'!E233</f>
        <v>2196080.8229651209</v>
      </c>
      <c r="G226" s="164"/>
      <c r="H226" s="51">
        <f t="shared" si="47"/>
        <v>111893.98361901822</v>
      </c>
      <c r="I226" s="164">
        <f t="shared" si="48"/>
        <v>111.89398361901823</v>
      </c>
      <c r="J226" s="164">
        <f t="shared" si="45"/>
        <v>4173.6455889893796</v>
      </c>
      <c r="K226" s="169">
        <f t="shared" si="49"/>
        <v>3.6375549353818206</v>
      </c>
      <c r="L226" s="164"/>
      <c r="M226" s="170">
        <f t="shared" si="50"/>
        <v>0.11309608475372737</v>
      </c>
      <c r="N226" s="164">
        <v>0.05</v>
      </c>
      <c r="O226" s="155">
        <f t="shared" si="51"/>
        <v>0.12425329612290924</v>
      </c>
      <c r="P226" s="155">
        <f t="shared" si="52"/>
        <v>0.11309608475372737</v>
      </c>
      <c r="Q226" s="155">
        <f t="shared" si="53"/>
        <v>0.17534998604609095</v>
      </c>
      <c r="R226" s="164"/>
      <c r="S226" s="164">
        <f t="shared" si="46"/>
        <v>-0.11533129028729071</v>
      </c>
      <c r="T226" s="170">
        <f t="shared" si="54"/>
        <v>0.05</v>
      </c>
      <c r="U226" s="164"/>
      <c r="V226" s="171">
        <f>'Price Deck'!K220</f>
        <v>3.8378237060523817</v>
      </c>
      <c r="W226" s="169">
        <f t="shared" si="55"/>
        <v>3.6375549353818206</v>
      </c>
      <c r="X226" s="164"/>
      <c r="Y226" s="169">
        <f t="shared" si="56"/>
        <v>15165.073379867395</v>
      </c>
      <c r="Z226" s="247">
        <f t="shared" si="57"/>
        <v>0.05</v>
      </c>
      <c r="AA226" s="169">
        <f t="shared" si="58"/>
        <v>758.25366899336984</v>
      </c>
      <c r="AB226" s="169">
        <f t="shared" si="59"/>
        <v>0.19189118530261909</v>
      </c>
    </row>
    <row r="227" spans="1:28">
      <c r="A227" s="164" t="str">
        <f>'Price Deck'!A221</f>
        <v>06/2034</v>
      </c>
      <c r="B227" s="51">
        <f>'Gas Type Curve'!A234</f>
        <v>17.083333333333361</v>
      </c>
      <c r="C227" s="51">
        <f>'Gas Type Curve'!B234</f>
        <v>205.00000000000034</v>
      </c>
      <c r="D227" s="51">
        <f>'Gas Type Curve'!C234</f>
        <v>129.46370300862898</v>
      </c>
      <c r="E227" s="51">
        <f>'Gas Type Curve'!D234</f>
        <v>3937.8542998457983</v>
      </c>
      <c r="F227" s="51">
        <f>'Gas Type Curve'!E234</f>
        <v>2200018.6772649665</v>
      </c>
      <c r="G227" s="164"/>
      <c r="H227" s="51">
        <f t="shared" si="47"/>
        <v>111508.22020873347</v>
      </c>
      <c r="I227" s="164">
        <f t="shared" si="48"/>
        <v>111.50822020873348</v>
      </c>
      <c r="J227" s="164">
        <f t="shared" si="45"/>
        <v>4159.2566137857584</v>
      </c>
      <c r="K227" s="169">
        <f t="shared" si="49"/>
        <v>3.6375549353818206</v>
      </c>
      <c r="L227" s="164"/>
      <c r="M227" s="170">
        <f t="shared" si="50"/>
        <v>0.11309608475372737</v>
      </c>
      <c r="N227" s="164">
        <v>0.05</v>
      </c>
      <c r="O227" s="155">
        <f t="shared" si="51"/>
        <v>0.12425329612290924</v>
      </c>
      <c r="P227" s="155">
        <f t="shared" si="52"/>
        <v>0.11309608475372737</v>
      </c>
      <c r="Q227" s="155">
        <f t="shared" si="53"/>
        <v>0.17534998604609095</v>
      </c>
      <c r="R227" s="164"/>
      <c r="S227" s="164">
        <f t="shared" si="46"/>
        <v>-0.11552174168294829</v>
      </c>
      <c r="T227" s="170">
        <f t="shared" si="54"/>
        <v>0.05</v>
      </c>
      <c r="U227" s="164"/>
      <c r="V227" s="171">
        <f>'Price Deck'!K221</f>
        <v>3.8378237060523817</v>
      </c>
      <c r="W227" s="169">
        <f t="shared" si="55"/>
        <v>3.6375549353818206</v>
      </c>
      <c r="X227" s="164"/>
      <c r="Y227" s="169">
        <f t="shared" si="56"/>
        <v>15112.790582928508</v>
      </c>
      <c r="Z227" s="247">
        <f t="shared" si="57"/>
        <v>0.05</v>
      </c>
      <c r="AA227" s="169">
        <f t="shared" si="58"/>
        <v>755.6395291464255</v>
      </c>
      <c r="AB227" s="169">
        <f t="shared" si="59"/>
        <v>0.19189118530261912</v>
      </c>
    </row>
    <row r="228" spans="1:28">
      <c r="A228" s="164" t="str">
        <f>'Price Deck'!A222</f>
        <v>07/2034</v>
      </c>
      <c r="B228" s="51">
        <f>'Gas Type Curve'!A235</f>
        <v>17.166666666666693</v>
      </c>
      <c r="C228" s="51">
        <f>'Gas Type Curve'!B235</f>
        <v>206.00000000000031</v>
      </c>
      <c r="D228" s="51">
        <f>'Gas Type Curve'!C235</f>
        <v>129.01953482484149</v>
      </c>
      <c r="E228" s="51">
        <f>'Gas Type Curve'!D235</f>
        <v>3924.3441842555953</v>
      </c>
      <c r="F228" s="51">
        <f>'Gas Type Curve'!E235</f>
        <v>2203943.0214492222</v>
      </c>
      <c r="G228" s="164"/>
      <c r="H228" s="51">
        <f t="shared" si="47"/>
        <v>111125.65426556568</v>
      </c>
      <c r="I228" s="164">
        <f t="shared" si="48"/>
        <v>111.12565426556569</v>
      </c>
      <c r="J228" s="164">
        <f t="shared" si="45"/>
        <v>4144.9869041055999</v>
      </c>
      <c r="K228" s="169">
        <f t="shared" si="49"/>
        <v>3.6375549353818206</v>
      </c>
      <c r="L228" s="164"/>
      <c r="M228" s="170">
        <f t="shared" si="50"/>
        <v>0.11309608475372737</v>
      </c>
      <c r="N228" s="164">
        <v>0.05</v>
      </c>
      <c r="O228" s="155">
        <f t="shared" si="51"/>
        <v>0.12425329612290924</v>
      </c>
      <c r="P228" s="155">
        <f t="shared" si="52"/>
        <v>0.11309608475372737</v>
      </c>
      <c r="Q228" s="155">
        <f t="shared" si="53"/>
        <v>0.17534998604609095</v>
      </c>
      <c r="R228" s="164"/>
      <c r="S228" s="164">
        <f t="shared" si="46"/>
        <v>-0.11571061448909023</v>
      </c>
      <c r="T228" s="170">
        <f t="shared" si="54"/>
        <v>0.05</v>
      </c>
      <c r="U228" s="164"/>
      <c r="V228" s="171">
        <f>'Price Deck'!K222</f>
        <v>3.8378237060523817</v>
      </c>
      <c r="W228" s="169">
        <f t="shared" si="55"/>
        <v>3.6375549353818206</v>
      </c>
      <c r="X228" s="164"/>
      <c r="Y228" s="169">
        <f t="shared" si="56"/>
        <v>15060.941141044919</v>
      </c>
      <c r="Z228" s="247">
        <f t="shared" si="57"/>
        <v>0.05</v>
      </c>
      <c r="AA228" s="169">
        <f t="shared" si="58"/>
        <v>753.04705705224603</v>
      </c>
      <c r="AB228" s="169">
        <f t="shared" si="59"/>
        <v>0.19189118530261909</v>
      </c>
    </row>
    <row r="229" spans="1:28">
      <c r="A229" s="164" t="str">
        <f>'Price Deck'!A223</f>
        <v>08/2034</v>
      </c>
      <c r="B229" s="51">
        <f>'Gas Type Curve'!A236</f>
        <v>17.250000000000025</v>
      </c>
      <c r="C229" s="51">
        <f>'Gas Type Curve'!B236</f>
        <v>207.00000000000028</v>
      </c>
      <c r="D229" s="51">
        <f>'Gas Type Curve'!C236</f>
        <v>128.57903040827026</v>
      </c>
      <c r="E229" s="51">
        <f>'Gas Type Curve'!D236</f>
        <v>3910.9455082515537</v>
      </c>
      <c r="F229" s="51">
        <f>'Gas Type Curve'!E236</f>
        <v>2207853.9669574737</v>
      </c>
      <c r="G229" s="164"/>
      <c r="H229" s="51">
        <f t="shared" si="47"/>
        <v>110746.24395715924</v>
      </c>
      <c r="I229" s="164">
        <f t="shared" si="48"/>
        <v>110.74624395715924</v>
      </c>
      <c r="J229" s="164">
        <f t="shared" si="45"/>
        <v>4130.8348996020395</v>
      </c>
      <c r="K229" s="169">
        <f t="shared" si="49"/>
        <v>3.6375549353818206</v>
      </c>
      <c r="L229" s="164"/>
      <c r="M229" s="170">
        <f t="shared" si="50"/>
        <v>0.11309608475372737</v>
      </c>
      <c r="N229" s="164">
        <v>0.05</v>
      </c>
      <c r="O229" s="155">
        <f t="shared" si="51"/>
        <v>0.12425329612290924</v>
      </c>
      <c r="P229" s="155">
        <f t="shared" si="52"/>
        <v>0.11309608475372737</v>
      </c>
      <c r="Q229" s="155">
        <f t="shared" si="53"/>
        <v>0.17534998604609095</v>
      </c>
      <c r="R229" s="164"/>
      <c r="S229" s="164">
        <f t="shared" si="46"/>
        <v>-0.11589792935835048</v>
      </c>
      <c r="T229" s="170">
        <f t="shared" si="54"/>
        <v>0.05</v>
      </c>
      <c r="U229" s="164"/>
      <c r="V229" s="171">
        <f>'Price Deck'!K223</f>
        <v>3.8378237060523817</v>
      </c>
      <c r="W229" s="169">
        <f t="shared" si="55"/>
        <v>3.6375549353818206</v>
      </c>
      <c r="X229" s="164"/>
      <c r="Y229" s="169">
        <f t="shared" si="56"/>
        <v>15009.519384646894</v>
      </c>
      <c r="Z229" s="247">
        <f t="shared" si="57"/>
        <v>0.05</v>
      </c>
      <c r="AA229" s="169">
        <f t="shared" si="58"/>
        <v>750.47596923234471</v>
      </c>
      <c r="AB229" s="169">
        <f t="shared" si="59"/>
        <v>0.19189118530261909</v>
      </c>
    </row>
    <row r="230" spans="1:28">
      <c r="A230" s="164" t="str">
        <f>'Price Deck'!A224</f>
        <v>09/2034</v>
      </c>
      <c r="B230" s="51">
        <f>'Gas Type Curve'!A237</f>
        <v>17.333333333333357</v>
      </c>
      <c r="C230" s="51">
        <f>'Gas Type Curve'!B237</f>
        <v>208.00000000000028</v>
      </c>
      <c r="D230" s="51">
        <f>'Gas Type Curve'!C237</f>
        <v>128.14214205658166</v>
      </c>
      <c r="E230" s="51">
        <f>'Gas Type Curve'!D237</f>
        <v>3897.6568208876924</v>
      </c>
      <c r="F230" s="51">
        <f>'Gas Type Curve'!E237</f>
        <v>2211751.6237783614</v>
      </c>
      <c r="G230" s="164"/>
      <c r="H230" s="51">
        <f t="shared" si="47"/>
        <v>110369.94819707678</v>
      </c>
      <c r="I230" s="164">
        <f t="shared" si="48"/>
        <v>110.36994819707678</v>
      </c>
      <c r="J230" s="164">
        <f t="shared" si="45"/>
        <v>4116.7990677509642</v>
      </c>
      <c r="K230" s="169">
        <f t="shared" si="49"/>
        <v>3.6375549353818206</v>
      </c>
      <c r="L230" s="164"/>
      <c r="M230" s="170">
        <f t="shared" si="50"/>
        <v>0.11309608475372737</v>
      </c>
      <c r="N230" s="164">
        <v>0.05</v>
      </c>
      <c r="O230" s="155">
        <f t="shared" si="51"/>
        <v>0.12425329612290924</v>
      </c>
      <c r="P230" s="155">
        <f t="shared" si="52"/>
        <v>0.11309608475372737</v>
      </c>
      <c r="Q230" s="155">
        <f t="shared" si="53"/>
        <v>0.17534998604609095</v>
      </c>
      <c r="R230" s="164"/>
      <c r="S230" s="164">
        <f t="shared" si="46"/>
        <v>-0.1160837065751032</v>
      </c>
      <c r="T230" s="170">
        <f t="shared" si="54"/>
        <v>0.05</v>
      </c>
      <c r="U230" s="164"/>
      <c r="V230" s="171">
        <f>'Price Deck'!K224</f>
        <v>3.8378237060523817</v>
      </c>
      <c r="W230" s="169">
        <f t="shared" si="55"/>
        <v>3.6375549353818206</v>
      </c>
      <c r="X230" s="164"/>
      <c r="Y230" s="169">
        <f t="shared" si="56"/>
        <v>14958.519745259548</v>
      </c>
      <c r="Z230" s="247">
        <f t="shared" si="57"/>
        <v>0.05</v>
      </c>
      <c r="AA230" s="169">
        <f t="shared" si="58"/>
        <v>747.9259872629774</v>
      </c>
      <c r="AB230" s="169">
        <f t="shared" si="59"/>
        <v>0.19189118530261909</v>
      </c>
    </row>
    <row r="231" spans="1:28">
      <c r="A231" s="164" t="str">
        <f>'Price Deck'!A225</f>
        <v>10/2034</v>
      </c>
      <c r="B231" s="51">
        <f>'Gas Type Curve'!A238</f>
        <v>17.416666666666689</v>
      </c>
      <c r="C231" s="51">
        <f>'Gas Type Curve'!B238</f>
        <v>209.00000000000028</v>
      </c>
      <c r="D231" s="51">
        <f>'Gas Type Curve'!C238</f>
        <v>127.70882291395617</v>
      </c>
      <c r="E231" s="51">
        <f>'Gas Type Curve'!D238</f>
        <v>3884.4766969661669</v>
      </c>
      <c r="F231" s="51">
        <f>'Gas Type Curve'!E238</f>
        <v>2215636.1004753276</v>
      </c>
      <c r="G231" s="164"/>
      <c r="H231" s="51">
        <f t="shared" si="47"/>
        <v>109996.72662799095</v>
      </c>
      <c r="I231" s="164">
        <f t="shared" si="48"/>
        <v>109.99672662799095</v>
      </c>
      <c r="J231" s="164">
        <f t="shared" si="45"/>
        <v>4102.8779032240627</v>
      </c>
      <c r="K231" s="169">
        <f t="shared" si="49"/>
        <v>3.6375549353818206</v>
      </c>
      <c r="L231" s="164"/>
      <c r="M231" s="170">
        <f t="shared" si="50"/>
        <v>0.11309608475372737</v>
      </c>
      <c r="N231" s="164">
        <v>0.05</v>
      </c>
      <c r="O231" s="155">
        <f t="shared" si="51"/>
        <v>0.12425329612290924</v>
      </c>
      <c r="P231" s="155">
        <f t="shared" si="52"/>
        <v>0.11309608475372737</v>
      </c>
      <c r="Q231" s="155">
        <f t="shared" si="53"/>
        <v>0.17534998604609095</v>
      </c>
      <c r="R231" s="164"/>
      <c r="S231" s="164">
        <f t="shared" si="46"/>
        <v>-0.11626796606376087</v>
      </c>
      <c r="T231" s="170">
        <f t="shared" si="54"/>
        <v>0.05</v>
      </c>
      <c r="U231" s="164"/>
      <c r="V231" s="171">
        <f>'Price Deck'!K225</f>
        <v>3.8378237060523817</v>
      </c>
      <c r="W231" s="169">
        <f t="shared" si="55"/>
        <v>3.6375549353818206</v>
      </c>
      <c r="X231" s="164"/>
      <c r="Y231" s="169">
        <f t="shared" si="56"/>
        <v>14907.936753224809</v>
      </c>
      <c r="Z231" s="247">
        <f t="shared" si="57"/>
        <v>0.05</v>
      </c>
      <c r="AA231" s="169">
        <f t="shared" si="58"/>
        <v>745.39683766124051</v>
      </c>
      <c r="AB231" s="169">
        <f t="shared" si="59"/>
        <v>0.19189118530261909</v>
      </c>
    </row>
    <row r="232" spans="1:28">
      <c r="A232" s="164" t="str">
        <f>'Price Deck'!A226</f>
        <v>11/2034</v>
      </c>
      <c r="B232" s="51">
        <f>'Gas Type Curve'!A239</f>
        <v>17.500000000000021</v>
      </c>
      <c r="C232" s="51">
        <f>'Gas Type Curve'!B239</f>
        <v>210.00000000000026</v>
      </c>
      <c r="D232" s="51">
        <f>'Gas Type Curve'!C239</f>
        <v>127.27902695210385</v>
      </c>
      <c r="E232" s="51">
        <f>'Gas Type Curve'!D239</f>
        <v>3871.4037364598257</v>
      </c>
      <c r="F232" s="51">
        <f>'Gas Type Curve'!E239</f>
        <v>2219507.5042117876</v>
      </c>
      <c r="G232" s="164"/>
      <c r="H232" s="51">
        <f t="shared" si="47"/>
        <v>109626.53960533287</v>
      </c>
      <c r="I232" s="164">
        <f t="shared" si="48"/>
        <v>109.62653960533288</v>
      </c>
      <c r="J232" s="164">
        <f t="shared" si="45"/>
        <v>4089.0699272789161</v>
      </c>
      <c r="K232" s="169">
        <f t="shared" si="49"/>
        <v>3.6375549353818206</v>
      </c>
      <c r="L232" s="164"/>
      <c r="M232" s="170">
        <f t="shared" si="50"/>
        <v>0.11309608475372737</v>
      </c>
      <c r="N232" s="164">
        <v>0.05</v>
      </c>
      <c r="O232" s="155">
        <f t="shared" si="51"/>
        <v>0.12425329612290924</v>
      </c>
      <c r="P232" s="155">
        <f t="shared" si="52"/>
        <v>0.11309608475372737</v>
      </c>
      <c r="Q232" s="155">
        <f t="shared" si="53"/>
        <v>0.17534998604609095</v>
      </c>
      <c r="R232" s="164"/>
      <c r="S232" s="164">
        <f t="shared" si="46"/>
        <v>-0.11645072739684716</v>
      </c>
      <c r="T232" s="170">
        <f t="shared" si="54"/>
        <v>0.05</v>
      </c>
      <c r="U232" s="164"/>
      <c r="V232" s="171">
        <f>'Price Deck'!K226</f>
        <v>3.8378237060523817</v>
      </c>
      <c r="W232" s="169">
        <f t="shared" si="55"/>
        <v>3.6375549353818206</v>
      </c>
      <c r="X232" s="164"/>
      <c r="Y232" s="169">
        <f t="shared" si="56"/>
        <v>14857.765035485287</v>
      </c>
      <c r="Z232" s="247">
        <f t="shared" si="57"/>
        <v>0.05</v>
      </c>
      <c r="AA232" s="169">
        <f t="shared" si="58"/>
        <v>742.8882517742644</v>
      </c>
      <c r="AB232" s="169">
        <f t="shared" si="59"/>
        <v>0.19189118530261912</v>
      </c>
    </row>
    <row r="233" spans="1:28">
      <c r="A233" s="164" t="str">
        <f>'Price Deck'!A227</f>
        <v>12/2034</v>
      </c>
      <c r="B233" s="51">
        <f>'Gas Type Curve'!A240</f>
        <v>17.583333333333353</v>
      </c>
      <c r="C233" s="51">
        <f>'Gas Type Curve'!B240</f>
        <v>211.00000000000023</v>
      </c>
      <c r="D233" s="51">
        <f>'Gas Type Curve'!C240</f>
        <v>126.85270895179383</v>
      </c>
      <c r="E233" s="51">
        <f>'Gas Type Curve'!D240</f>
        <v>3858.4365639503958</v>
      </c>
      <c r="F233" s="51">
        <f>'Gas Type Curve'!E240</f>
        <v>2223365.9407757381</v>
      </c>
      <c r="G233" s="164"/>
      <c r="H233" s="51">
        <f t="shared" si="47"/>
        <v>109259.34818138335</v>
      </c>
      <c r="I233" s="164">
        <f t="shared" si="48"/>
        <v>109.25934818138334</v>
      </c>
      <c r="J233" s="164">
        <f t="shared" si="45"/>
        <v>4075.3736871655988</v>
      </c>
      <c r="K233" s="169">
        <f t="shared" si="49"/>
        <v>3.6375549353818206</v>
      </c>
      <c r="L233" s="164"/>
      <c r="M233" s="170">
        <f t="shared" si="50"/>
        <v>0.11309608475372737</v>
      </c>
      <c r="N233" s="164">
        <v>0.05</v>
      </c>
      <c r="O233" s="155">
        <f t="shared" si="51"/>
        <v>0.12425329612290924</v>
      </c>
      <c r="P233" s="155">
        <f t="shared" si="52"/>
        <v>0.11309608475372737</v>
      </c>
      <c r="Q233" s="155">
        <f t="shared" si="53"/>
        <v>0.17534998604609095</v>
      </c>
      <c r="R233" s="164"/>
      <c r="S233" s="164">
        <f t="shared" si="46"/>
        <v>-0.11663200980285104</v>
      </c>
      <c r="T233" s="170">
        <f t="shared" si="54"/>
        <v>0.05</v>
      </c>
      <c r="U233" s="164"/>
      <c r="V233" s="171">
        <f>'Price Deck'!K227</f>
        <v>3.8378237060523817</v>
      </c>
      <c r="W233" s="169">
        <f t="shared" si="55"/>
        <v>3.6375549353818206</v>
      </c>
      <c r="X233" s="164"/>
      <c r="Y233" s="169">
        <f t="shared" si="56"/>
        <v>14807.999313428125</v>
      </c>
      <c r="Z233" s="247">
        <f t="shared" si="57"/>
        <v>0.05</v>
      </c>
      <c r="AA233" s="169">
        <f t="shared" si="58"/>
        <v>740.39996567140633</v>
      </c>
      <c r="AB233" s="169">
        <f t="shared" si="59"/>
        <v>0.19189118530261909</v>
      </c>
    </row>
    <row r="234" spans="1:28">
      <c r="A234" s="164" t="str">
        <f>'Price Deck'!A228</f>
        <v>01/2035</v>
      </c>
      <c r="B234" s="51">
        <f>'Gas Type Curve'!A241</f>
        <v>17.666666666666686</v>
      </c>
      <c r="C234" s="51">
        <f>'Gas Type Curve'!B241</f>
        <v>212.00000000000023</v>
      </c>
      <c r="D234" s="51">
        <f>'Gas Type Curve'!C241</f>
        <v>126.42982448488142</v>
      </c>
      <c r="E234" s="51">
        <f>'Gas Type Curve'!D241</f>
        <v>3845.57382808181</v>
      </c>
      <c r="F234" s="51">
        <f>'Gas Type Curve'!E241</f>
        <v>2227211.5146038197</v>
      </c>
      <c r="G234" s="164"/>
      <c r="H234" s="51">
        <f t="shared" si="47"/>
        <v>108895.11408979261</v>
      </c>
      <c r="I234" s="164">
        <f t="shared" si="48"/>
        <v>108.89511408979261</v>
      </c>
      <c r="J234" s="164">
        <f t="shared" si="45"/>
        <v>4061.7877555492641</v>
      </c>
      <c r="K234" s="169">
        <f t="shared" si="49"/>
        <v>3.6375549353818206</v>
      </c>
      <c r="L234" s="164"/>
      <c r="M234" s="170">
        <f t="shared" si="50"/>
        <v>0.11309608475372737</v>
      </c>
      <c r="N234" s="164">
        <v>0.05</v>
      </c>
      <c r="O234" s="155">
        <f t="shared" si="51"/>
        <v>0.12425329612290924</v>
      </c>
      <c r="P234" s="155">
        <f t="shared" si="52"/>
        <v>0.11309608475372737</v>
      </c>
      <c r="Q234" s="155">
        <f t="shared" si="53"/>
        <v>0.17534998604609095</v>
      </c>
      <c r="R234" s="164"/>
      <c r="S234" s="164">
        <f t="shared" si="46"/>
        <v>-0.11681183217386938</v>
      </c>
      <c r="T234" s="170">
        <f t="shared" si="54"/>
        <v>0.05</v>
      </c>
      <c r="U234" s="164"/>
      <c r="V234" s="171">
        <f>'Price Deck'!K228</f>
        <v>3.8378237060523817</v>
      </c>
      <c r="W234" s="169">
        <f t="shared" si="55"/>
        <v>3.6375549353818206</v>
      </c>
      <c r="X234" s="164"/>
      <c r="Y234" s="169">
        <f t="shared" si="56"/>
        <v>14758.634400786976</v>
      </c>
      <c r="Z234" s="247">
        <f t="shared" si="57"/>
        <v>0.05</v>
      </c>
      <c r="AA234" s="169">
        <f t="shared" si="58"/>
        <v>737.93172003934887</v>
      </c>
      <c r="AB234" s="169">
        <f t="shared" si="59"/>
        <v>0.19189118530261909</v>
      </c>
    </row>
    <row r="235" spans="1:28">
      <c r="A235" s="164" t="str">
        <f>'Price Deck'!A229</f>
        <v>02/2035</v>
      </c>
      <c r="B235" s="51">
        <f>'Gas Type Curve'!A242</f>
        <v>17.750000000000018</v>
      </c>
      <c r="C235" s="51">
        <f>'Gas Type Curve'!B242</f>
        <v>213.00000000000023</v>
      </c>
      <c r="D235" s="51">
        <f>'Gas Type Curve'!C242</f>
        <v>126.0103298968168</v>
      </c>
      <c r="E235" s="51">
        <f>'Gas Type Curve'!D242</f>
        <v>3832.8142010281776</v>
      </c>
      <c r="F235" s="51">
        <f>'Gas Type Curve'!E242</f>
        <v>2231044.3288048478</v>
      </c>
      <c r="G235" s="164"/>
      <c r="H235" s="51">
        <f t="shared" si="47"/>
        <v>108533.7997305149</v>
      </c>
      <c r="I235" s="164">
        <f t="shared" si="48"/>
        <v>108.5337997305149</v>
      </c>
      <c r="J235" s="164">
        <f t="shared" si="45"/>
        <v>4048.3107299482058</v>
      </c>
      <c r="K235" s="169">
        <f t="shared" si="49"/>
        <v>3.7093504945637727</v>
      </c>
      <c r="L235" s="164"/>
      <c r="M235" s="170">
        <f t="shared" si="50"/>
        <v>0.11614739601896033</v>
      </c>
      <c r="N235" s="164">
        <v>0.05</v>
      </c>
      <c r="O235" s="155">
        <f t="shared" si="51"/>
        <v>0.12856102967382638</v>
      </c>
      <c r="P235" s="155">
        <f t="shared" si="52"/>
        <v>0.11614739601896033</v>
      </c>
      <c r="Q235" s="155">
        <f t="shared" si="53"/>
        <v>0.17696538612768486</v>
      </c>
      <c r="R235" s="164"/>
      <c r="S235" s="164">
        <f t="shared" si="46"/>
        <v>-0.1169902130730448</v>
      </c>
      <c r="T235" s="170">
        <f t="shared" si="54"/>
        <v>0.05</v>
      </c>
      <c r="U235" s="164"/>
      <c r="V235" s="171">
        <f>'Price Deck'!K229</f>
        <v>3.9135720325828398</v>
      </c>
      <c r="W235" s="169">
        <f t="shared" si="55"/>
        <v>3.7093504945637727</v>
      </c>
      <c r="X235" s="164"/>
      <c r="Y235" s="169">
        <f t="shared" si="56"/>
        <v>14999.994463230218</v>
      </c>
      <c r="Z235" s="247">
        <f t="shared" si="57"/>
        <v>0.05</v>
      </c>
      <c r="AA235" s="169">
        <f t="shared" si="58"/>
        <v>749.99972316151093</v>
      </c>
      <c r="AB235" s="169">
        <f t="shared" si="59"/>
        <v>0.195678601629142</v>
      </c>
    </row>
    <row r="236" spans="1:28">
      <c r="A236" s="164" t="str">
        <f>'Price Deck'!A230</f>
        <v>03/2035</v>
      </c>
      <c r="B236" s="51">
        <f>'Gas Type Curve'!A243</f>
        <v>17.83333333333335</v>
      </c>
      <c r="C236" s="51">
        <f>'Gas Type Curve'!B243</f>
        <v>214.0000000000002</v>
      </c>
      <c r="D236" s="51">
        <f>'Gas Type Curve'!C243</f>
        <v>125.59418228962068</v>
      </c>
      <c r="E236" s="51">
        <f>'Gas Type Curve'!D243</f>
        <v>3820.1563779759622</v>
      </c>
      <c r="F236" s="51">
        <f>'Gas Type Curve'!E243</f>
        <v>2234864.4851828236</v>
      </c>
      <c r="G236" s="164"/>
      <c r="H236" s="51">
        <f t="shared" si="47"/>
        <v>108175.36815514532</v>
      </c>
      <c r="I236" s="164">
        <f t="shared" si="48"/>
        <v>108.17536815514532</v>
      </c>
      <c r="J236" s="164">
        <f t="shared" si="45"/>
        <v>4034.9412321869204</v>
      </c>
      <c r="K236" s="169">
        <f t="shared" si="49"/>
        <v>3.7093504945637727</v>
      </c>
      <c r="L236" s="164"/>
      <c r="M236" s="170">
        <f t="shared" si="50"/>
        <v>0.11614739601896033</v>
      </c>
      <c r="N236" s="164">
        <v>0.05</v>
      </c>
      <c r="O236" s="155">
        <f t="shared" si="51"/>
        <v>0.12856102967382638</v>
      </c>
      <c r="P236" s="155">
        <f t="shared" si="52"/>
        <v>0.11614739601896033</v>
      </c>
      <c r="Q236" s="155">
        <f t="shared" si="53"/>
        <v>0.17696538612768486</v>
      </c>
      <c r="R236" s="164"/>
      <c r="S236" s="164">
        <f t="shared" si="46"/>
        <v>-0.11716717074180476</v>
      </c>
      <c r="T236" s="170">
        <f t="shared" si="54"/>
        <v>0.05</v>
      </c>
      <c r="U236" s="164"/>
      <c r="V236" s="171">
        <f>'Price Deck'!K230</f>
        <v>3.9135720325828398</v>
      </c>
      <c r="W236" s="169">
        <f t="shared" si="55"/>
        <v>3.7093504945637727</v>
      </c>
      <c r="X236" s="164"/>
      <c r="Y236" s="169">
        <f t="shared" si="56"/>
        <v>14950.457160939686</v>
      </c>
      <c r="Z236" s="247">
        <f t="shared" si="57"/>
        <v>0.05</v>
      </c>
      <c r="AA236" s="169">
        <f t="shared" si="58"/>
        <v>747.52285804698431</v>
      </c>
      <c r="AB236" s="169">
        <f t="shared" si="59"/>
        <v>0.195678601629142</v>
      </c>
    </row>
    <row r="237" spans="1:28">
      <c r="A237" s="164" t="str">
        <f>'Price Deck'!A231</f>
        <v>04/2035</v>
      </c>
      <c r="B237" s="51">
        <f>'Gas Type Curve'!A244</f>
        <v>17.916666666666682</v>
      </c>
      <c r="C237" s="51">
        <f>'Gas Type Curve'!B244</f>
        <v>215.00000000000017</v>
      </c>
      <c r="D237" s="51">
        <f>'Gas Type Curve'!C244</f>
        <v>125.18133950531164</v>
      </c>
      <c r="E237" s="51">
        <f>'Gas Type Curve'!D244</f>
        <v>3807.5990766198961</v>
      </c>
      <c r="F237" s="51">
        <f>'Gas Type Curve'!E244</f>
        <v>2238672.0842594435</v>
      </c>
      <c r="G237" s="164"/>
      <c r="H237" s="51">
        <f t="shared" si="47"/>
        <v>107819.78305264559</v>
      </c>
      <c r="I237" s="164">
        <f t="shared" si="48"/>
        <v>107.81978305264559</v>
      </c>
      <c r="J237" s="164">
        <f t="shared" si="45"/>
        <v>4021.6779078636805</v>
      </c>
      <c r="K237" s="169">
        <f t="shared" si="49"/>
        <v>3.7093504945637727</v>
      </c>
      <c r="L237" s="164"/>
      <c r="M237" s="170">
        <f t="shared" si="50"/>
        <v>0.11614739601896033</v>
      </c>
      <c r="N237" s="164">
        <v>0.05</v>
      </c>
      <c r="O237" s="155">
        <f t="shared" si="51"/>
        <v>0.12856102967382638</v>
      </c>
      <c r="P237" s="155">
        <f t="shared" si="52"/>
        <v>0.11614739601896033</v>
      </c>
      <c r="Q237" s="155">
        <f t="shared" si="53"/>
        <v>0.17696538612768486</v>
      </c>
      <c r="R237" s="164"/>
      <c r="S237" s="164">
        <f t="shared" si="46"/>
        <v>-0.11734272310690888</v>
      </c>
      <c r="T237" s="170">
        <f t="shared" si="54"/>
        <v>0.05</v>
      </c>
      <c r="U237" s="164"/>
      <c r="V237" s="171">
        <f>'Price Deck'!K231</f>
        <v>3.9135720325828398</v>
      </c>
      <c r="W237" s="169">
        <f t="shared" si="55"/>
        <v>3.7093504945637727</v>
      </c>
      <c r="X237" s="164"/>
      <c r="Y237" s="169">
        <f t="shared" si="56"/>
        <v>14901.31325754787</v>
      </c>
      <c r="Z237" s="247">
        <f t="shared" si="57"/>
        <v>0.05</v>
      </c>
      <c r="AA237" s="169">
        <f t="shared" si="58"/>
        <v>745.06566287739361</v>
      </c>
      <c r="AB237" s="169">
        <f t="shared" si="59"/>
        <v>0.195678601629142</v>
      </c>
    </row>
    <row r="238" spans="1:28">
      <c r="A238" s="164" t="str">
        <f>'Price Deck'!A232</f>
        <v>05/2035</v>
      </c>
      <c r="B238" s="51">
        <f>'Gas Type Curve'!A245</f>
        <v>18.000000000000014</v>
      </c>
      <c r="C238" s="51">
        <f>'Gas Type Curve'!B245</f>
        <v>216.00000000000017</v>
      </c>
      <c r="D238" s="51">
        <f>'Gas Type Curve'!C245</f>
        <v>124.771760109772</v>
      </c>
      <c r="E238" s="51">
        <f>'Gas Type Curve'!D245</f>
        <v>3795.1410366722321</v>
      </c>
      <c r="F238" s="51">
        <f>'Gas Type Curve'!E245</f>
        <v>2242467.2252961155</v>
      </c>
      <c r="G238" s="164"/>
      <c r="H238" s="51">
        <f t="shared" si="47"/>
        <v>107467.0087354476</v>
      </c>
      <c r="I238" s="164">
        <f t="shared" si="48"/>
        <v>107.46700873544759</v>
      </c>
      <c r="J238" s="164">
        <f t="shared" si="45"/>
        <v>4008.5194258321953</v>
      </c>
      <c r="K238" s="169">
        <f t="shared" si="49"/>
        <v>3.7093504945637727</v>
      </c>
      <c r="L238" s="164"/>
      <c r="M238" s="170">
        <f t="shared" si="50"/>
        <v>0.11614739601896033</v>
      </c>
      <c r="N238" s="164">
        <v>0.05</v>
      </c>
      <c r="O238" s="155">
        <f t="shared" si="51"/>
        <v>0.12856102967382638</v>
      </c>
      <c r="P238" s="155">
        <f t="shared" si="52"/>
        <v>0.11614739601896033</v>
      </c>
      <c r="Q238" s="155">
        <f t="shared" si="53"/>
        <v>0.17696538612768486</v>
      </c>
      <c r="R238" s="164"/>
      <c r="S238" s="164">
        <f t="shared" si="46"/>
        <v>-0.11751688778730952</v>
      </c>
      <c r="T238" s="170">
        <f t="shared" si="54"/>
        <v>0.05</v>
      </c>
      <c r="U238" s="164"/>
      <c r="V238" s="171">
        <f>'Price Deck'!K232</f>
        <v>3.9135720325828398</v>
      </c>
      <c r="W238" s="169">
        <f t="shared" si="55"/>
        <v>3.7093504945637727</v>
      </c>
      <c r="X238" s="164"/>
      <c r="Y238" s="169">
        <f t="shared" si="56"/>
        <v>14852.557820827893</v>
      </c>
      <c r="Z238" s="247">
        <f t="shared" si="57"/>
        <v>0.05</v>
      </c>
      <c r="AA238" s="169">
        <f t="shared" si="58"/>
        <v>742.62789104139472</v>
      </c>
      <c r="AB238" s="169">
        <f t="shared" si="59"/>
        <v>0.195678601629142</v>
      </c>
    </row>
    <row r="239" spans="1:28">
      <c r="A239" s="164" t="str">
        <f>'Price Deck'!A233</f>
        <v>06/2035</v>
      </c>
      <c r="B239" s="51">
        <f>'Gas Type Curve'!A246</f>
        <v>18.083333333333346</v>
      </c>
      <c r="C239" s="51">
        <f>'Gas Type Curve'!B246</f>
        <v>217.00000000000017</v>
      </c>
      <c r="D239" s="51">
        <f>'Gas Type Curve'!C246</f>
        <v>124.3654033770388</v>
      </c>
      <c r="E239" s="51">
        <f>'Gas Type Curve'!D246</f>
        <v>3782.7810193849305</v>
      </c>
      <c r="F239" s="51">
        <f>'Gas Type Curve'!E246</f>
        <v>2246250.0063155005</v>
      </c>
      <c r="G239" s="164"/>
      <c r="H239" s="51">
        <f t="shared" si="47"/>
        <v>107117.01012592307</v>
      </c>
      <c r="I239" s="164">
        <f t="shared" si="48"/>
        <v>107.11701012592307</v>
      </c>
      <c r="J239" s="164">
        <f t="shared" si="45"/>
        <v>3995.4644776969308</v>
      </c>
      <c r="K239" s="169">
        <f t="shared" si="49"/>
        <v>3.7093504945637727</v>
      </c>
      <c r="L239" s="164"/>
      <c r="M239" s="170">
        <f t="shared" si="50"/>
        <v>0.11614739601896033</v>
      </c>
      <c r="N239" s="164">
        <v>0.05</v>
      </c>
      <c r="O239" s="155">
        <f t="shared" si="51"/>
        <v>0.12856102967382638</v>
      </c>
      <c r="P239" s="155">
        <f t="shared" si="52"/>
        <v>0.11614739601896033</v>
      </c>
      <c r="Q239" s="155">
        <f t="shared" si="53"/>
        <v>0.17696538612768486</v>
      </c>
      <c r="R239" s="164"/>
      <c r="S239" s="164">
        <f t="shared" si="46"/>
        <v>-0.11768968210083179</v>
      </c>
      <c r="T239" s="170">
        <f t="shared" si="54"/>
        <v>0.05</v>
      </c>
      <c r="U239" s="164"/>
      <c r="V239" s="171">
        <f>'Price Deck'!K233</f>
        <v>3.9135720325828398</v>
      </c>
      <c r="W239" s="169">
        <f t="shared" si="55"/>
        <v>3.7093504945637727</v>
      </c>
      <c r="X239" s="164"/>
      <c r="Y239" s="169">
        <f t="shared" si="56"/>
        <v>14804.186002850069</v>
      </c>
      <c r="Z239" s="247">
        <f t="shared" si="57"/>
        <v>0.05</v>
      </c>
      <c r="AA239" s="169">
        <f t="shared" si="58"/>
        <v>740.20930014250348</v>
      </c>
      <c r="AB239" s="169">
        <f t="shared" si="59"/>
        <v>0.195678601629142</v>
      </c>
    </row>
    <row r="240" spans="1:28">
      <c r="A240" s="164" t="str">
        <f>'Price Deck'!A234</f>
        <v>07/2035</v>
      </c>
      <c r="B240" s="51">
        <f>'Gas Type Curve'!A247</f>
        <v>18.166666666666679</v>
      </c>
      <c r="C240" s="51">
        <f>'Gas Type Curve'!B247</f>
        <v>218.00000000000014</v>
      </c>
      <c r="D240" s="51">
        <f>'Gas Type Curve'!C247</f>
        <v>123.96222927400437</v>
      </c>
      <c r="E240" s="51">
        <f>'Gas Type Curve'!D247</f>
        <v>3770.5178070842999</v>
      </c>
      <c r="F240" s="51">
        <f>'Gas Type Curve'!E247</f>
        <v>2250020.5241225846</v>
      </c>
      <c r="G240" s="164"/>
      <c r="H240" s="51">
        <f t="shared" si="47"/>
        <v>106769.75274320612</v>
      </c>
      <c r="I240" s="164">
        <f t="shared" si="48"/>
        <v>106.76975274320611</v>
      </c>
      <c r="J240" s="164">
        <f t="shared" si="45"/>
        <v>3982.5117773215884</v>
      </c>
      <c r="K240" s="169">
        <f t="shared" si="49"/>
        <v>3.7093504945637727</v>
      </c>
      <c r="L240" s="164"/>
      <c r="M240" s="170">
        <f t="shared" si="50"/>
        <v>0.11614739601896033</v>
      </c>
      <c r="N240" s="164">
        <v>0.05</v>
      </c>
      <c r="O240" s="155">
        <f t="shared" si="51"/>
        <v>0.12856102967382638</v>
      </c>
      <c r="P240" s="155">
        <f t="shared" si="52"/>
        <v>0.11614739601896033</v>
      </c>
      <c r="Q240" s="155">
        <f t="shared" si="53"/>
        <v>0.17696538612768486</v>
      </c>
      <c r="R240" s="164"/>
      <c r="S240" s="164">
        <f t="shared" si="46"/>
        <v>-0.11786112307067914</v>
      </c>
      <c r="T240" s="170">
        <f t="shared" si="54"/>
        <v>0.05</v>
      </c>
      <c r="U240" s="164"/>
      <c r="V240" s="171">
        <f>'Price Deck'!K234</f>
        <v>3.9135720325828398</v>
      </c>
      <c r="W240" s="169">
        <f t="shared" si="55"/>
        <v>3.7093504945637727</v>
      </c>
      <c r="X240" s="164"/>
      <c r="Y240" s="169">
        <f t="shared" si="56"/>
        <v>14756.193038160696</v>
      </c>
      <c r="Z240" s="247">
        <f t="shared" si="57"/>
        <v>0.05</v>
      </c>
      <c r="AA240" s="169">
        <f t="shared" si="58"/>
        <v>737.80965190803488</v>
      </c>
      <c r="AB240" s="169">
        <f t="shared" si="59"/>
        <v>0.19567860162914202</v>
      </c>
    </row>
    <row r="241" spans="1:28">
      <c r="A241" s="164" t="str">
        <f>'Price Deck'!A235</f>
        <v>08/2035</v>
      </c>
      <c r="B241" s="51">
        <f>'Gas Type Curve'!A248</f>
        <v>18.250000000000011</v>
      </c>
      <c r="C241" s="51">
        <f>'Gas Type Curve'!B248</f>
        <v>219.00000000000011</v>
      </c>
      <c r="D241" s="51">
        <f>'Gas Type Curve'!C248</f>
        <v>123.56219844551826</v>
      </c>
      <c r="E241" s="51">
        <f>'Gas Type Curve'!D248</f>
        <v>3758.3502027178474</v>
      </c>
      <c r="F241" s="51">
        <f>'Gas Type Curve'!E248</f>
        <v>2253778.8743253024</v>
      </c>
      <c r="G241" s="164"/>
      <c r="H241" s="51">
        <f t="shared" si="47"/>
        <v>106425.20269036127</v>
      </c>
      <c r="I241" s="164">
        <f t="shared" si="48"/>
        <v>106.42520269036127</v>
      </c>
      <c r="J241" s="164">
        <f t="shared" si="45"/>
        <v>3969.6600603504753</v>
      </c>
      <c r="K241" s="169">
        <f t="shared" si="49"/>
        <v>3.7093504945637727</v>
      </c>
      <c r="L241" s="164"/>
      <c r="M241" s="170">
        <f t="shared" si="50"/>
        <v>0.11614739601896033</v>
      </c>
      <c r="N241" s="164">
        <v>0.05</v>
      </c>
      <c r="O241" s="155">
        <f t="shared" si="51"/>
        <v>0.12856102967382638</v>
      </c>
      <c r="P241" s="155">
        <f t="shared" si="52"/>
        <v>0.11614739601896033</v>
      </c>
      <c r="Q241" s="155">
        <f t="shared" si="53"/>
        <v>0.17696538612768486</v>
      </c>
      <c r="R241" s="164"/>
      <c r="S241" s="164">
        <f t="shared" si="46"/>
        <v>-0.11803122743176864</v>
      </c>
      <c r="T241" s="170">
        <f t="shared" si="54"/>
        <v>0.05</v>
      </c>
      <c r="U241" s="164"/>
      <c r="V241" s="171">
        <f>'Price Deck'!K235</f>
        <v>3.9135720325828398</v>
      </c>
      <c r="W241" s="169">
        <f t="shared" si="55"/>
        <v>3.7093504945637727</v>
      </c>
      <c r="X241" s="164"/>
      <c r="Y241" s="169">
        <f t="shared" si="56"/>
        <v>14708.574242008614</v>
      </c>
      <c r="Z241" s="247">
        <f t="shared" si="57"/>
        <v>0.05</v>
      </c>
      <c r="AA241" s="169">
        <f t="shared" si="58"/>
        <v>735.42871210043074</v>
      </c>
      <c r="AB241" s="169">
        <f t="shared" si="59"/>
        <v>0.195678601629142</v>
      </c>
    </row>
    <row r="242" spans="1:28">
      <c r="A242" s="164" t="str">
        <f>'Price Deck'!A236</f>
        <v>09/2035</v>
      </c>
      <c r="B242" s="51">
        <f>'Gas Type Curve'!A249</f>
        <v>18.333333333333343</v>
      </c>
      <c r="C242" s="51">
        <f>'Gas Type Curve'!B249</f>
        <v>220.00000000000011</v>
      </c>
      <c r="D242" s="51">
        <f>'Gas Type Curve'!C249</f>
        <v>123.16527219987356</v>
      </c>
      <c r="E242" s="51">
        <f>'Gas Type Curve'!D249</f>
        <v>3746.2770294128209</v>
      </c>
      <c r="F242" s="51">
        <f>'Gas Type Curve'!E249</f>
        <v>2257525.1513547152</v>
      </c>
      <c r="G242" s="164"/>
      <c r="H242" s="51">
        <f t="shared" si="47"/>
        <v>106083.32664188284</v>
      </c>
      <c r="I242" s="164">
        <f t="shared" si="48"/>
        <v>106.08332664188285</v>
      </c>
      <c r="J242" s="164">
        <f t="shared" si="45"/>
        <v>3956.9080837422298</v>
      </c>
      <c r="K242" s="169">
        <f t="shared" si="49"/>
        <v>3.7093504945637727</v>
      </c>
      <c r="L242" s="164"/>
      <c r="M242" s="170">
        <f t="shared" si="50"/>
        <v>0.11614739601896033</v>
      </c>
      <c r="N242" s="164">
        <v>0.05</v>
      </c>
      <c r="O242" s="155">
        <f t="shared" si="51"/>
        <v>0.12856102967382638</v>
      </c>
      <c r="P242" s="155">
        <f t="shared" si="52"/>
        <v>0.11614739601896033</v>
      </c>
      <c r="Q242" s="155">
        <f t="shared" si="53"/>
        <v>0.17696538612768486</v>
      </c>
      <c r="R242" s="164"/>
      <c r="S242" s="164">
        <f t="shared" si="46"/>
        <v>-0.11820001163690244</v>
      </c>
      <c r="T242" s="170">
        <f t="shared" si="54"/>
        <v>0.05</v>
      </c>
      <c r="U242" s="164"/>
      <c r="V242" s="171">
        <f>'Price Deck'!K236</f>
        <v>3.9135720325828398</v>
      </c>
      <c r="W242" s="169">
        <f t="shared" si="55"/>
        <v>3.7093504945637727</v>
      </c>
      <c r="X242" s="164"/>
      <c r="Y242" s="169">
        <f t="shared" si="56"/>
        <v>14661.325008617536</v>
      </c>
      <c r="Z242" s="247">
        <f t="shared" si="57"/>
        <v>0.05</v>
      </c>
      <c r="AA242" s="169">
        <f t="shared" si="58"/>
        <v>733.06625043087683</v>
      </c>
      <c r="AB242" s="169">
        <f t="shared" si="59"/>
        <v>0.195678601629142</v>
      </c>
    </row>
    <row r="243" spans="1:28">
      <c r="A243" s="164" t="str">
        <f>'Price Deck'!A237</f>
        <v>10/2035</v>
      </c>
      <c r="B243" s="51">
        <f>'Gas Type Curve'!A250</f>
        <v>18.416666666666675</v>
      </c>
      <c r="C243" s="51">
        <f>'Gas Type Curve'!B250</f>
        <v>221.00000000000011</v>
      </c>
      <c r="D243" s="51">
        <f>'Gas Type Curve'!C250</f>
        <v>122.77141249467026</v>
      </c>
      <c r="E243" s="51">
        <f>'Gas Type Curve'!D250</f>
        <v>3734.2971300462204</v>
      </c>
      <c r="F243" s="51">
        <f>'Gas Type Curve'!E250</f>
        <v>2261259.4484847616</v>
      </c>
      <c r="G243" s="164"/>
      <c r="H243" s="51">
        <f t="shared" si="47"/>
        <v>105744.09183151882</v>
      </c>
      <c r="I243" s="164">
        <f t="shared" si="48"/>
        <v>105.74409183151882</v>
      </c>
      <c r="J243" s="164">
        <f t="shared" si="45"/>
        <v>3944.254625315652</v>
      </c>
      <c r="K243" s="169">
        <f t="shared" si="49"/>
        <v>3.7093504945637727</v>
      </c>
      <c r="L243" s="164"/>
      <c r="M243" s="170">
        <f t="shared" si="50"/>
        <v>0.11614739601896033</v>
      </c>
      <c r="N243" s="164">
        <v>0.05</v>
      </c>
      <c r="O243" s="155">
        <f t="shared" si="51"/>
        <v>0.12856102967382638</v>
      </c>
      <c r="P243" s="155">
        <f t="shared" si="52"/>
        <v>0.11614739601896033</v>
      </c>
      <c r="Q243" s="155">
        <f t="shared" si="53"/>
        <v>0.17696538612768486</v>
      </c>
      <c r="R243" s="164"/>
      <c r="S243" s="164">
        <f t="shared" si="46"/>
        <v>-0.11836749186277917</v>
      </c>
      <c r="T243" s="170">
        <f t="shared" si="54"/>
        <v>0.05</v>
      </c>
      <c r="U243" s="164"/>
      <c r="V243" s="171">
        <f>'Price Deck'!K237</f>
        <v>3.9135720325828398</v>
      </c>
      <c r="W243" s="169">
        <f t="shared" si="55"/>
        <v>3.7093504945637727</v>
      </c>
      <c r="X243" s="164"/>
      <c r="Y243" s="169">
        <f t="shared" si="56"/>
        <v>14614.440809503252</v>
      </c>
      <c r="Z243" s="247">
        <f t="shared" si="57"/>
        <v>0.05</v>
      </c>
      <c r="AA243" s="169">
        <f t="shared" si="58"/>
        <v>730.72204047516266</v>
      </c>
      <c r="AB243" s="169">
        <f t="shared" si="59"/>
        <v>0.195678601629142</v>
      </c>
    </row>
    <row r="244" spans="1:28">
      <c r="A244" s="164" t="str">
        <f>'Price Deck'!A238</f>
        <v>11/2035</v>
      </c>
      <c r="B244" s="51">
        <f>'Gas Type Curve'!A251</f>
        <v>18.500000000000007</v>
      </c>
      <c r="C244" s="51">
        <f>'Gas Type Curve'!B251</f>
        <v>222.00000000000009</v>
      </c>
      <c r="D244" s="51">
        <f>'Gas Type Curve'!C251</f>
        <v>122.38058192304048</v>
      </c>
      <c r="E244" s="51">
        <f>'Gas Type Curve'!D251</f>
        <v>3722.4093668258147</v>
      </c>
      <c r="F244" s="51">
        <f>'Gas Type Curve'!E251</f>
        <v>2264981.8578515872</v>
      </c>
      <c r="G244" s="164"/>
      <c r="H244" s="51">
        <f t="shared" si="47"/>
        <v>105407.46604040659</v>
      </c>
      <c r="I244" s="164">
        <f t="shared" si="48"/>
        <v>105.40746604040659</v>
      </c>
      <c r="J244" s="164">
        <f t="shared" si="45"/>
        <v>3931.698483307166</v>
      </c>
      <c r="K244" s="169">
        <f t="shared" si="49"/>
        <v>3.7093504945637727</v>
      </c>
      <c r="L244" s="164"/>
      <c r="M244" s="170">
        <f t="shared" si="50"/>
        <v>0.11614739601896033</v>
      </c>
      <c r="N244" s="164">
        <v>0.05</v>
      </c>
      <c r="O244" s="155">
        <f t="shared" si="51"/>
        <v>0.12856102967382638</v>
      </c>
      <c r="P244" s="155">
        <f t="shared" si="52"/>
        <v>0.11614739601896033</v>
      </c>
      <c r="Q244" s="155">
        <f t="shared" si="53"/>
        <v>0.17696538612768486</v>
      </c>
      <c r="R244" s="164"/>
      <c r="S244" s="164">
        <f t="shared" si="46"/>
        <v>-0.11853368401585128</v>
      </c>
      <c r="T244" s="170">
        <f t="shared" si="54"/>
        <v>0.05</v>
      </c>
      <c r="U244" s="164"/>
      <c r="V244" s="171">
        <f>'Price Deck'!K238</f>
        <v>3.9135720325828398</v>
      </c>
      <c r="W244" s="169">
        <f t="shared" si="55"/>
        <v>3.7093504945637727</v>
      </c>
      <c r="X244" s="164"/>
      <c r="Y244" s="169">
        <f t="shared" si="56"/>
        <v>14567.917191833905</v>
      </c>
      <c r="Z244" s="247">
        <f t="shared" si="57"/>
        <v>0.05</v>
      </c>
      <c r="AA244" s="169">
        <f t="shared" si="58"/>
        <v>728.39585959169528</v>
      </c>
      <c r="AB244" s="169">
        <f t="shared" si="59"/>
        <v>0.195678601629142</v>
      </c>
    </row>
    <row r="245" spans="1:28">
      <c r="A245" s="164" t="str">
        <f>'Price Deck'!A239</f>
        <v>01/2035</v>
      </c>
      <c r="B245" s="51">
        <f>'Gas Type Curve'!A252</f>
        <v>18.583333333333339</v>
      </c>
      <c r="C245" s="51">
        <f>'Gas Type Curve'!B252</f>
        <v>223.00000000000006</v>
      </c>
      <c r="D245" s="51">
        <f>'Gas Type Curve'!C252</f>
        <v>121.99274370022775</v>
      </c>
      <c r="E245" s="51">
        <f>'Gas Type Curve'!D252</f>
        <v>3710.6126208819273</v>
      </c>
      <c r="F245" s="51">
        <f>'Gas Type Curve'!E252</f>
        <v>2268692.470472469</v>
      </c>
      <c r="G245" s="164"/>
      <c r="H245" s="51">
        <f t="shared" si="47"/>
        <v>105073.41758551353</v>
      </c>
      <c r="I245" s="164">
        <f t="shared" si="48"/>
        <v>105.07341758551352</v>
      </c>
      <c r="J245" s="164">
        <f t="shared" si="45"/>
        <v>3919.2384759396546</v>
      </c>
      <c r="K245" s="169">
        <f t="shared" si="49"/>
        <v>3.7093504945637727</v>
      </c>
      <c r="L245" s="164"/>
      <c r="M245" s="170">
        <f t="shared" si="50"/>
        <v>0.11614739601896033</v>
      </c>
      <c r="N245" s="164">
        <v>0.05</v>
      </c>
      <c r="O245" s="155">
        <f t="shared" si="51"/>
        <v>0.12856102967382638</v>
      </c>
      <c r="P245" s="155">
        <f t="shared" si="52"/>
        <v>0.11614739601896033</v>
      </c>
      <c r="Q245" s="155">
        <f t="shared" si="53"/>
        <v>0.17696538612768486</v>
      </c>
      <c r="R245" s="164"/>
      <c r="S245" s="164">
        <f t="shared" si="46"/>
        <v>-0.11869860373803197</v>
      </c>
      <c r="T245" s="170">
        <f t="shared" si="54"/>
        <v>0.05</v>
      </c>
      <c r="U245" s="164"/>
      <c r="V245" s="171">
        <f>'Price Deck'!K239</f>
        <v>3.9135720325828398</v>
      </c>
      <c r="W245" s="169">
        <f t="shared" si="55"/>
        <v>3.7093504945637727</v>
      </c>
      <c r="X245" s="164"/>
      <c r="Y245" s="169">
        <f t="shared" si="56"/>
        <v>14521.749776832423</v>
      </c>
      <c r="Z245" s="247">
        <f t="shared" si="57"/>
        <v>0.05</v>
      </c>
      <c r="AA245" s="169">
        <f t="shared" si="58"/>
        <v>726.08748884162117</v>
      </c>
      <c r="AB245" s="169">
        <f t="shared" si="59"/>
        <v>0.195678601629142</v>
      </c>
    </row>
    <row r="246" spans="1:28">
      <c r="A246" s="164" t="str">
        <f>'Price Deck'!A240</f>
        <v>02/2035</v>
      </c>
      <c r="B246" s="51">
        <f>'Gas Type Curve'!A253</f>
        <v>18.666666666666671</v>
      </c>
      <c r="C246" s="51">
        <f>'Gas Type Curve'!B253</f>
        <v>224.00000000000006</v>
      </c>
      <c r="D246" s="51">
        <f>'Gas Type Curve'!C253</f>
        <v>121.60786165050706</v>
      </c>
      <c r="E246" s="51">
        <f>'Gas Type Curve'!D253</f>
        <v>3698.9057918695898</v>
      </c>
      <c r="F246" s="51">
        <f>'Gas Type Curve'!E253</f>
        <v>2272391.3762643384</v>
      </c>
      <c r="G246" s="164"/>
      <c r="H246" s="51">
        <f t="shared" si="47"/>
        <v>104741.91530837117</v>
      </c>
      <c r="I246" s="164">
        <f t="shared" si="48"/>
        <v>104.74191530837118</v>
      </c>
      <c r="J246" s="164">
        <f t="shared" si="45"/>
        <v>3906.8734410022448</v>
      </c>
      <c r="K246" s="169">
        <f t="shared" si="49"/>
        <v>3.7093504945637727</v>
      </c>
      <c r="L246" s="164"/>
      <c r="M246" s="170">
        <f t="shared" si="50"/>
        <v>0.11614739601896033</v>
      </c>
      <c r="N246" s="164">
        <v>0.05</v>
      </c>
      <c r="O246" s="155">
        <f t="shared" si="51"/>
        <v>0.12856102967382638</v>
      </c>
      <c r="P246" s="155">
        <f t="shared" si="52"/>
        <v>0.11614739601896033</v>
      </c>
      <c r="Q246" s="155">
        <f t="shared" si="53"/>
        <v>0.17696538612768486</v>
      </c>
      <c r="R246" s="164"/>
      <c r="S246" s="164">
        <f t="shared" si="46"/>
        <v>-0.11886226641225715</v>
      </c>
      <c r="T246" s="170">
        <f t="shared" si="54"/>
        <v>0.05</v>
      </c>
      <c r="U246" s="164"/>
      <c r="V246" s="171">
        <f>'Price Deck'!K240</f>
        <v>3.9135720325828398</v>
      </c>
      <c r="W246" s="169">
        <f t="shared" si="55"/>
        <v>3.7093504945637727</v>
      </c>
      <c r="X246" s="164"/>
      <c r="Y246" s="169">
        <f t="shared" si="56"/>
        <v>14475.93425821951</v>
      </c>
      <c r="Z246" s="247">
        <f t="shared" si="57"/>
        <v>0.05</v>
      </c>
      <c r="AA246" s="169">
        <f t="shared" si="58"/>
        <v>723.79671291097554</v>
      </c>
      <c r="AB246" s="169">
        <f t="shared" si="59"/>
        <v>0.19567860162914202</v>
      </c>
    </row>
    <row r="247" spans="1:28">
      <c r="A247" s="164" t="str">
        <f>'Price Deck'!A241</f>
        <v>03/2035</v>
      </c>
      <c r="B247" s="51">
        <f>'Gas Type Curve'!A254</f>
        <v>18.750000000000004</v>
      </c>
      <c r="C247" s="51">
        <f>'Gas Type Curve'!B254</f>
        <v>225.00000000000006</v>
      </c>
      <c r="D247" s="51">
        <f>'Gas Type Curve'!C254</f>
        <v>121.22590019443861</v>
      </c>
      <c r="E247" s="51">
        <f>'Gas Type Curve'!D254</f>
        <v>3687.287797580841</v>
      </c>
      <c r="F247" s="51">
        <f>'Gas Type Curve'!E254</f>
        <v>2276078.6640619193</v>
      </c>
      <c r="G247" s="164"/>
      <c r="H247" s="51">
        <f t="shared" si="47"/>
        <v>104412.92856409667</v>
      </c>
      <c r="I247" s="164">
        <f t="shared" si="48"/>
        <v>104.41292856409667</v>
      </c>
      <c r="J247" s="164">
        <f t="shared" si="45"/>
        <v>3894.602235440806</v>
      </c>
      <c r="K247" s="169">
        <f t="shared" si="49"/>
        <v>3.7822229871334545</v>
      </c>
      <c r="L247" s="164"/>
      <c r="M247" s="170">
        <f t="shared" si="50"/>
        <v>0.11924447695317181</v>
      </c>
      <c r="N247" s="164">
        <v>0.05</v>
      </c>
      <c r="O247" s="155">
        <f t="shared" si="51"/>
        <v>0.13293337922800727</v>
      </c>
      <c r="P247" s="155">
        <f t="shared" si="52"/>
        <v>0.11924447695317181</v>
      </c>
      <c r="Q247" s="155">
        <f t="shared" si="53"/>
        <v>0.1786050172105027</v>
      </c>
      <c r="R247" s="164"/>
      <c r="S247" s="164">
        <f t="shared" si="46"/>
        <v>-0.11902468716790549</v>
      </c>
      <c r="T247" s="170">
        <f t="shared" si="54"/>
        <v>0.05</v>
      </c>
      <c r="U247" s="164"/>
      <c r="V247" s="171">
        <f>'Price Deck'!K241</f>
        <v>3.9904565840112558</v>
      </c>
      <c r="W247" s="169">
        <f t="shared" si="55"/>
        <v>3.7822229871334545</v>
      </c>
      <c r="X247" s="164"/>
      <c r="Y247" s="169">
        <f t="shared" si="56"/>
        <v>14713.96186900083</v>
      </c>
      <c r="Z247" s="247">
        <f t="shared" si="57"/>
        <v>0.05</v>
      </c>
      <c r="AA247" s="169">
        <f t="shared" si="58"/>
        <v>735.6980934500416</v>
      </c>
      <c r="AB247" s="169">
        <f t="shared" si="59"/>
        <v>0.19952282920056283</v>
      </c>
    </row>
    <row r="248" spans="1:28">
      <c r="A248" s="164" t="str">
        <f>'Price Deck'!A242</f>
        <v>04/2035</v>
      </c>
      <c r="B248" s="51">
        <f>'Gas Type Curve'!A255</f>
        <v>18.833333333333336</v>
      </c>
      <c r="C248" s="51">
        <f>'Gas Type Curve'!B255</f>
        <v>226.00000000000003</v>
      </c>
      <c r="D248" s="51">
        <f>'Gas Type Curve'!C255</f>
        <v>120.84682433644164</v>
      </c>
      <c r="E248" s="51">
        <f>'Gas Type Curve'!D255</f>
        <v>3675.757573566767</v>
      </c>
      <c r="F248" s="51">
        <f>'Gas Type Curve'!E255</f>
        <v>2279754.4216354862</v>
      </c>
      <c r="G248" s="164"/>
      <c r="H248" s="51">
        <f t="shared" si="47"/>
        <v>104086.42721069013</v>
      </c>
      <c r="I248" s="164">
        <f t="shared" si="48"/>
        <v>104.08642721069013</v>
      </c>
      <c r="J248" s="164">
        <f t="shared" si="45"/>
        <v>3882.423734958742</v>
      </c>
      <c r="K248" s="169">
        <f t="shared" si="49"/>
        <v>3.7822229871334545</v>
      </c>
      <c r="L248" s="164"/>
      <c r="M248" s="170">
        <f t="shared" si="50"/>
        <v>0.11924447695317181</v>
      </c>
      <c r="N248" s="164">
        <v>0.05</v>
      </c>
      <c r="O248" s="155">
        <f t="shared" si="51"/>
        <v>0.13293337922800727</v>
      </c>
      <c r="P248" s="155">
        <f t="shared" si="52"/>
        <v>0.11924447695317181</v>
      </c>
      <c r="Q248" s="155">
        <f t="shared" si="53"/>
        <v>0.1786050172105027</v>
      </c>
      <c r="R248" s="164"/>
      <c r="S248" s="164">
        <f t="shared" si="46"/>
        <v>-0.11918588088608228</v>
      </c>
      <c r="T248" s="170">
        <f t="shared" si="54"/>
        <v>0.05</v>
      </c>
      <c r="U248" s="164"/>
      <c r="V248" s="171">
        <f>'Price Deck'!K242</f>
        <v>3.9904565840112558</v>
      </c>
      <c r="W248" s="169">
        <f t="shared" si="55"/>
        <v>3.7822229871334545</v>
      </c>
      <c r="X248" s="164"/>
      <c r="Y248" s="169">
        <f t="shared" si="56"/>
        <v>14667.951010668743</v>
      </c>
      <c r="Z248" s="247">
        <f t="shared" si="57"/>
        <v>0.05</v>
      </c>
      <c r="AA248" s="169">
        <f t="shared" si="58"/>
        <v>733.3975505334372</v>
      </c>
      <c r="AB248" s="169">
        <f t="shared" si="59"/>
        <v>0.1995228292005628</v>
      </c>
    </row>
    <row r="249" spans="1:28">
      <c r="A249" s="164" t="str">
        <f>'Price Deck'!A243</f>
        <v>05/2035</v>
      </c>
      <c r="B249" s="51">
        <f>'Gas Type Curve'!A256</f>
        <v>18.916666666666668</v>
      </c>
      <c r="C249" s="51">
        <f>'Gas Type Curve'!B256</f>
        <v>227</v>
      </c>
      <c r="D249" s="51">
        <f>'Gas Type Curve'!C256</f>
        <v>120.47059965268248</v>
      </c>
      <c r="E249" s="51">
        <f>'Gas Type Curve'!D256</f>
        <v>3664.314072769092</v>
      </c>
      <c r="F249" s="51">
        <f>'Gas Type Curve'!E256</f>
        <v>2283418.7357082553</v>
      </c>
      <c r="G249" s="164"/>
      <c r="H249" s="51">
        <f t="shared" si="47"/>
        <v>103762.38159860237</v>
      </c>
      <c r="I249" s="164">
        <f t="shared" si="48"/>
        <v>103.76238159860237</v>
      </c>
      <c r="J249" s="164">
        <f t="shared" si="45"/>
        <v>3870.3368336278681</v>
      </c>
      <c r="K249" s="169">
        <f t="shared" si="49"/>
        <v>3.7822229871334545</v>
      </c>
      <c r="L249" s="164"/>
      <c r="M249" s="170">
        <f t="shared" si="50"/>
        <v>0.11924447695317181</v>
      </c>
      <c r="N249" s="164">
        <v>0.05</v>
      </c>
      <c r="O249" s="155">
        <f t="shared" si="51"/>
        <v>0.13293337922800727</v>
      </c>
      <c r="P249" s="155">
        <f t="shared" si="52"/>
        <v>0.11924447695317181</v>
      </c>
      <c r="Q249" s="155">
        <f t="shared" si="53"/>
        <v>0.1786050172105027</v>
      </c>
      <c r="R249" s="164"/>
      <c r="S249" s="164">
        <f t="shared" si="46"/>
        <v>-0.11934586220477002</v>
      </c>
      <c r="T249" s="170">
        <f t="shared" si="54"/>
        <v>0.05</v>
      </c>
      <c r="U249" s="164"/>
      <c r="V249" s="171">
        <f>'Price Deck'!K243</f>
        <v>3.9904565840112558</v>
      </c>
      <c r="W249" s="169">
        <f t="shared" si="55"/>
        <v>3.7822229871334545</v>
      </c>
      <c r="X249" s="164"/>
      <c r="Y249" s="169">
        <f t="shared" si="56"/>
        <v>14622.286217566523</v>
      </c>
      <c r="Z249" s="247">
        <f t="shared" si="57"/>
        <v>0.05</v>
      </c>
      <c r="AA249" s="169">
        <f t="shared" si="58"/>
        <v>731.11431087832625</v>
      </c>
      <c r="AB249" s="169">
        <f t="shared" si="59"/>
        <v>0.1995228292005628</v>
      </c>
    </row>
    <row r="250" spans="1:28">
      <c r="A250" s="164" t="str">
        <f>'Price Deck'!A244</f>
        <v>06/2035</v>
      </c>
      <c r="B250" s="51">
        <f>'Gas Type Curve'!A257</f>
        <v>19</v>
      </c>
      <c r="C250" s="51">
        <f>'Gas Type Curve'!B257</f>
        <v>228</v>
      </c>
      <c r="D250" s="51">
        <f>'Gas Type Curve'!C257</f>
        <v>120.09719227926477</v>
      </c>
      <c r="E250" s="51">
        <f>'Gas Type Curve'!D257</f>
        <v>3652.9562651609704</v>
      </c>
      <c r="F250" s="51">
        <f>'Gas Type Curve'!E257</f>
        <v>2287071.6919734161</v>
      </c>
      <c r="G250" s="164"/>
      <c r="H250" s="51">
        <f t="shared" si="47"/>
        <v>103440.76256056319</v>
      </c>
      <c r="I250" s="164">
        <f t="shared" si="48"/>
        <v>103.44076256056319</v>
      </c>
      <c r="J250" s="164">
        <f t="shared" si="45"/>
        <v>3858.3404435090069</v>
      </c>
      <c r="K250" s="169">
        <f t="shared" si="49"/>
        <v>3.7822229871334545</v>
      </c>
      <c r="L250" s="164"/>
      <c r="M250" s="170">
        <f t="shared" si="50"/>
        <v>0.11924447695317181</v>
      </c>
      <c r="N250" s="164">
        <v>0.05</v>
      </c>
      <c r="O250" s="155">
        <f t="shared" si="51"/>
        <v>0.13293337922800727</v>
      </c>
      <c r="P250" s="155">
        <f t="shared" si="52"/>
        <v>0.11924447695317181</v>
      </c>
      <c r="Q250" s="155">
        <f t="shared" si="53"/>
        <v>0.1786050172105027</v>
      </c>
      <c r="R250" s="164"/>
      <c r="S250" s="164">
        <f t="shared" si="46"/>
        <v>-0.11950464552384996</v>
      </c>
      <c r="T250" s="170">
        <f t="shared" si="54"/>
        <v>0.05</v>
      </c>
      <c r="U250" s="164"/>
      <c r="V250" s="171">
        <f>'Price Deck'!K244</f>
        <v>3.9904565840112558</v>
      </c>
      <c r="W250" s="169">
        <f t="shared" si="55"/>
        <v>3.7822229871334545</v>
      </c>
      <c r="X250" s="164"/>
      <c r="Y250" s="169">
        <f t="shared" si="56"/>
        <v>14576.96337941676</v>
      </c>
      <c r="Z250" s="247">
        <f t="shared" si="57"/>
        <v>0.05</v>
      </c>
      <c r="AA250" s="169">
        <f t="shared" si="58"/>
        <v>728.84816897083806</v>
      </c>
      <c r="AB250" s="169">
        <f t="shared" si="59"/>
        <v>0.1995228292005628</v>
      </c>
    </row>
    <row r="251" spans="1:28">
      <c r="A251" s="164" t="str">
        <f>'Price Deck'!A245</f>
        <v>07/2035</v>
      </c>
      <c r="B251" s="51">
        <f>'Gas Type Curve'!A258</f>
        <v>19.083333333333332</v>
      </c>
      <c r="C251" s="51">
        <f>'Gas Type Curve'!B258</f>
        <v>229</v>
      </c>
      <c r="D251" s="51">
        <f>'Gas Type Curve'!C258</f>
        <v>119.72656890071485</v>
      </c>
      <c r="E251" s="51">
        <f>'Gas Type Curve'!D258</f>
        <v>3641.6831373967434</v>
      </c>
      <c r="F251" s="51">
        <f>'Gas Type Curve'!E258</f>
        <v>2290713.375110813</v>
      </c>
      <c r="G251" s="164"/>
      <c r="H251" s="51">
        <f t="shared" si="47"/>
        <v>103121.54140166358</v>
      </c>
      <c r="I251" s="164">
        <f t="shared" si="48"/>
        <v>103.12154140166358</v>
      </c>
      <c r="J251" s="164">
        <f t="shared" si="45"/>
        <v>3846.4334942820515</v>
      </c>
      <c r="K251" s="169">
        <f t="shared" si="49"/>
        <v>3.7822229871334545</v>
      </c>
      <c r="L251" s="164"/>
      <c r="M251" s="170">
        <f t="shared" si="50"/>
        <v>0.11924447695317181</v>
      </c>
      <c r="N251" s="164">
        <v>0.05</v>
      </c>
      <c r="O251" s="155">
        <f t="shared" si="51"/>
        <v>0.13293337922800727</v>
      </c>
      <c r="P251" s="155">
        <f t="shared" si="52"/>
        <v>0.11924447695317181</v>
      </c>
      <c r="Q251" s="155">
        <f t="shared" si="53"/>
        <v>0.1786050172105027</v>
      </c>
      <c r="R251" s="164"/>
      <c r="S251" s="164">
        <f t="shared" si="46"/>
        <v>-0.11966224500999868</v>
      </c>
      <c r="T251" s="170">
        <f t="shared" si="54"/>
        <v>0.05</v>
      </c>
      <c r="U251" s="164"/>
      <c r="V251" s="171">
        <f>'Price Deck'!K245</f>
        <v>3.9904565840112558</v>
      </c>
      <c r="W251" s="169">
        <f t="shared" si="55"/>
        <v>3.7822229871334545</v>
      </c>
      <c r="X251" s="164"/>
      <c r="Y251" s="169">
        <f t="shared" si="56"/>
        <v>14531.978452507601</v>
      </c>
      <c r="Z251" s="247">
        <f t="shared" si="57"/>
        <v>0.05</v>
      </c>
      <c r="AA251" s="169">
        <f t="shared" si="58"/>
        <v>726.59892262538006</v>
      </c>
      <c r="AB251" s="169">
        <f t="shared" si="59"/>
        <v>0.19952282920056277</v>
      </c>
    </row>
    <row r="252" spans="1:28">
      <c r="A252" s="164" t="str">
        <f>'Price Deck'!A246</f>
        <v>08/2035</v>
      </c>
      <c r="B252" s="51">
        <f>'Gas Type Curve'!A259</f>
        <v>19.166666666666664</v>
      </c>
      <c r="C252" s="51">
        <f>'Gas Type Curve'!B259</f>
        <v>229.99999999999997</v>
      </c>
      <c r="D252" s="51">
        <f>'Gas Type Curve'!C259</f>
        <v>119.35869673875278</v>
      </c>
      <c r="E252" s="51">
        <f>'Gas Type Curve'!D259</f>
        <v>3630.4936924703975</v>
      </c>
      <c r="F252" s="51">
        <f>'Gas Type Curve'!E259</f>
        <v>2294343.8688032832</v>
      </c>
      <c r="G252" s="164"/>
      <c r="H252" s="51">
        <f t="shared" si="47"/>
        <v>102804.68988968423</v>
      </c>
      <c r="I252" s="164">
        <f t="shared" si="48"/>
        <v>102.80468988968423</v>
      </c>
      <c r="J252" s="164">
        <f t="shared" si="45"/>
        <v>3834.6149328852221</v>
      </c>
      <c r="K252" s="169">
        <f t="shared" si="49"/>
        <v>3.7822229871334545</v>
      </c>
      <c r="L252" s="164"/>
      <c r="M252" s="170">
        <f t="shared" si="50"/>
        <v>0.11924447695317181</v>
      </c>
      <c r="N252" s="164">
        <v>0.05</v>
      </c>
      <c r="O252" s="155">
        <f t="shared" si="51"/>
        <v>0.13293337922800727</v>
      </c>
      <c r="P252" s="155">
        <f t="shared" si="52"/>
        <v>0.11924447695317181</v>
      </c>
      <c r="Q252" s="155">
        <f t="shared" si="53"/>
        <v>0.1786050172105027</v>
      </c>
      <c r="R252" s="164"/>
      <c r="S252" s="164">
        <f t="shared" si="46"/>
        <v>-0.11981867460146291</v>
      </c>
      <c r="T252" s="170">
        <f t="shared" si="54"/>
        <v>0.05</v>
      </c>
      <c r="U252" s="164"/>
      <c r="V252" s="171">
        <f>'Price Deck'!K246</f>
        <v>3.9904565840112558</v>
      </c>
      <c r="W252" s="169">
        <f t="shared" si="55"/>
        <v>3.7822229871334545</v>
      </c>
      <c r="X252" s="164"/>
      <c r="Y252" s="169">
        <f t="shared" si="56"/>
        <v>14487.327458329833</v>
      </c>
      <c r="Z252" s="247">
        <f t="shared" si="57"/>
        <v>0.05</v>
      </c>
      <c r="AA252" s="169">
        <f t="shared" si="58"/>
        <v>724.36637291649174</v>
      </c>
      <c r="AB252" s="169">
        <f t="shared" si="59"/>
        <v>0.1995228292005628</v>
      </c>
    </row>
    <row r="253" spans="1:28">
      <c r="A253" s="164" t="str">
        <f>'Price Deck'!A247</f>
        <v>09/2035</v>
      </c>
      <c r="B253" s="51">
        <f>'Gas Type Curve'!A260</f>
        <v>19.249999999999996</v>
      </c>
      <c r="C253" s="51">
        <f>'Gas Type Curve'!B260</f>
        <v>230.99999999999994</v>
      </c>
      <c r="D253" s="51">
        <f>'Gas Type Curve'!C260</f>
        <v>118.99354354134076</v>
      </c>
      <c r="E253" s="51">
        <f>'Gas Type Curve'!D260</f>
        <v>3619.3869493824482</v>
      </c>
      <c r="F253" s="51">
        <f>'Gas Type Curve'!E260</f>
        <v>2297963.2557526655</v>
      </c>
      <c r="G253" s="164"/>
      <c r="H253" s="51">
        <f t="shared" si="47"/>
        <v>102490.18024566278</v>
      </c>
      <c r="I253" s="164">
        <f t="shared" si="48"/>
        <v>102.49018024566277</v>
      </c>
      <c r="J253" s="164">
        <f t="shared" si="45"/>
        <v>3822.8837231632215</v>
      </c>
      <c r="K253" s="169">
        <f t="shared" si="49"/>
        <v>3.7822229871334545</v>
      </c>
      <c r="L253" s="164"/>
      <c r="M253" s="170">
        <f t="shared" si="50"/>
        <v>0.11924447695317181</v>
      </c>
      <c r="N253" s="164">
        <v>0.05</v>
      </c>
      <c r="O253" s="155">
        <f t="shared" si="51"/>
        <v>0.13293337922800727</v>
      </c>
      <c r="P253" s="155">
        <f t="shared" si="52"/>
        <v>0.11924447695317181</v>
      </c>
      <c r="Q253" s="155">
        <f t="shared" si="53"/>
        <v>0.1786050172105027</v>
      </c>
      <c r="R253" s="164"/>
      <c r="S253" s="164">
        <f t="shared" si="46"/>
        <v>-0.1199739480127163</v>
      </c>
      <c r="T253" s="170">
        <f t="shared" si="54"/>
        <v>0.05</v>
      </c>
      <c r="U253" s="164"/>
      <c r="V253" s="171">
        <f>'Price Deck'!K247</f>
        <v>3.9904565840112558</v>
      </c>
      <c r="W253" s="169">
        <f t="shared" si="55"/>
        <v>3.7822229871334545</v>
      </c>
      <c r="X253" s="164"/>
      <c r="Y253" s="169">
        <f t="shared" si="56"/>
        <v>14443.006482247603</v>
      </c>
      <c r="Z253" s="247">
        <f t="shared" si="57"/>
        <v>0.05</v>
      </c>
      <c r="AA253" s="169">
        <f t="shared" si="58"/>
        <v>722.15032411238019</v>
      </c>
      <c r="AB253" s="169">
        <f t="shared" si="59"/>
        <v>0.19952282920056277</v>
      </c>
    </row>
    <row r="254" spans="1:28">
      <c r="A254" s="164" t="str">
        <f>'Price Deck'!A248</f>
        <v>10/2035</v>
      </c>
      <c r="B254" s="51">
        <f>'Gas Type Curve'!A261</f>
        <v>19.333333333333329</v>
      </c>
      <c r="C254" s="51">
        <f>'Gas Type Curve'!B261</f>
        <v>231.99999999999994</v>
      </c>
      <c r="D254" s="51">
        <f>'Gas Type Curve'!C261</f>
        <v>118.63107757200123</v>
      </c>
      <c r="E254" s="51">
        <f>'Gas Type Curve'!D261</f>
        <v>3608.3619428150378</v>
      </c>
      <c r="F254" s="51">
        <f>'Gas Type Curve'!E261</f>
        <v>2301571.6176954806</v>
      </c>
      <c r="G254" s="164"/>
      <c r="H254" s="51">
        <f t="shared" si="47"/>
        <v>102177.98513469342</v>
      </c>
      <c r="I254" s="164">
        <f t="shared" si="48"/>
        <v>102.17798513469342</v>
      </c>
      <c r="J254" s="164">
        <f t="shared" si="45"/>
        <v>3811.2388455240643</v>
      </c>
      <c r="K254" s="169">
        <f t="shared" si="49"/>
        <v>3.7822229871334545</v>
      </c>
      <c r="L254" s="164"/>
      <c r="M254" s="170">
        <f t="shared" si="50"/>
        <v>0.11924447695317181</v>
      </c>
      <c r="N254" s="164">
        <v>0.05</v>
      </c>
      <c r="O254" s="155">
        <f t="shared" si="51"/>
        <v>0.13293337922800727</v>
      </c>
      <c r="P254" s="155">
        <f t="shared" si="52"/>
        <v>0.11924447695317181</v>
      </c>
      <c r="Q254" s="155">
        <f t="shared" si="53"/>
        <v>0.1786050172105027</v>
      </c>
      <c r="R254" s="164"/>
      <c r="S254" s="164">
        <f t="shared" si="46"/>
        <v>-0.12012807873900186</v>
      </c>
      <c r="T254" s="170">
        <f t="shared" si="54"/>
        <v>0.05</v>
      </c>
      <c r="U254" s="164"/>
      <c r="V254" s="171">
        <f>'Price Deck'!K248</f>
        <v>3.9904565840112558</v>
      </c>
      <c r="W254" s="169">
        <f t="shared" si="55"/>
        <v>3.7822229871334545</v>
      </c>
      <c r="X254" s="164"/>
      <c r="Y254" s="169">
        <f t="shared" si="56"/>
        <v>14399.011672201914</v>
      </c>
      <c r="Z254" s="247">
        <f t="shared" si="57"/>
        <v>0.05</v>
      </c>
      <c r="AA254" s="169">
        <f t="shared" si="58"/>
        <v>719.95058361009569</v>
      </c>
      <c r="AB254" s="169">
        <f t="shared" si="59"/>
        <v>0.1995228292005628</v>
      </c>
    </row>
    <row r="255" spans="1:28">
      <c r="A255" s="164" t="str">
        <f>'Price Deck'!A249</f>
        <v>11/2035</v>
      </c>
      <c r="B255" s="51">
        <f>'Gas Type Curve'!A262</f>
        <v>19.416666666666661</v>
      </c>
      <c r="C255" s="51">
        <f>'Gas Type Curve'!B262</f>
        <v>232.99999999999994</v>
      </c>
      <c r="D255" s="51">
        <f>'Gas Type Curve'!C262</f>
        <v>118.27126759939691</v>
      </c>
      <c r="E255" s="51">
        <f>'Gas Type Curve'!D262</f>
        <v>3597.4177228149892</v>
      </c>
      <c r="F255" s="51">
        <f>'Gas Type Curve'!E262</f>
        <v>2305169.0354182958</v>
      </c>
      <c r="G255" s="164"/>
      <c r="H255" s="51">
        <f t="shared" si="47"/>
        <v>101868.07765695204</v>
      </c>
      <c r="I255" s="164">
        <f t="shared" si="48"/>
        <v>101.86807765695204</v>
      </c>
      <c r="J255" s="164">
        <f t="shared" si="45"/>
        <v>3799.6792966043108</v>
      </c>
      <c r="K255" s="169">
        <f t="shared" si="49"/>
        <v>3.7822229871334545</v>
      </c>
      <c r="L255" s="164"/>
      <c r="M255" s="170">
        <f t="shared" si="50"/>
        <v>0.11924447695317181</v>
      </c>
      <c r="N255" s="164">
        <v>0.05</v>
      </c>
      <c r="O255" s="155">
        <f t="shared" si="51"/>
        <v>0.13293337922800727</v>
      </c>
      <c r="P255" s="155">
        <f t="shared" si="52"/>
        <v>0.11924447695317181</v>
      </c>
      <c r="Q255" s="155">
        <f t="shared" si="53"/>
        <v>0.1786050172105027</v>
      </c>
      <c r="R255" s="164"/>
      <c r="S255" s="164">
        <f t="shared" si="46"/>
        <v>-0.12028108006076278</v>
      </c>
      <c r="T255" s="170">
        <f t="shared" si="54"/>
        <v>0.05</v>
      </c>
      <c r="U255" s="164"/>
      <c r="V255" s="171">
        <f>'Price Deck'!K249</f>
        <v>3.9904565840112558</v>
      </c>
      <c r="W255" s="169">
        <f t="shared" si="55"/>
        <v>3.7822229871334545</v>
      </c>
      <c r="X255" s="164"/>
      <c r="Y255" s="169">
        <f t="shared" si="56"/>
        <v>14355.339237445853</v>
      </c>
      <c r="Z255" s="247">
        <f t="shared" si="57"/>
        <v>0.05</v>
      </c>
      <c r="AA255" s="169">
        <f t="shared" si="58"/>
        <v>717.76696187229265</v>
      </c>
      <c r="AB255" s="169">
        <f t="shared" si="59"/>
        <v>0.1995228292005628</v>
      </c>
    </row>
    <row r="256" spans="1:28">
      <c r="A256" s="164" t="str">
        <f>'Price Deck'!A250</f>
        <v>12/2035</v>
      </c>
      <c r="B256" s="51">
        <f>'Gas Type Curve'!A263</f>
        <v>19.499999999999993</v>
      </c>
      <c r="C256" s="51">
        <f>'Gas Type Curve'!B263</f>
        <v>233.99999999999991</v>
      </c>
      <c r="D256" s="51">
        <f>'Gas Type Curve'!C263</f>
        <v>117.91408288716482</v>
      </c>
      <c r="E256" s="51">
        <f>'Gas Type Curve'!D263</f>
        <v>3586.5533544845966</v>
      </c>
      <c r="F256" s="51">
        <f>'Gas Type Curve'!E263</f>
        <v>2308755.5887727803</v>
      </c>
      <c r="G256" s="164"/>
      <c r="H256" s="51">
        <f t="shared" si="47"/>
        <v>101560.43133894033</v>
      </c>
      <c r="I256" s="164">
        <f t="shared" si="48"/>
        <v>101.56043133894032</v>
      </c>
      <c r="J256" s="164">
        <f t="shared" si="45"/>
        <v>3788.2040889424743</v>
      </c>
      <c r="K256" s="169">
        <f t="shared" si="49"/>
        <v>3.7822229871334545</v>
      </c>
      <c r="L256" s="164"/>
      <c r="M256" s="170">
        <f t="shared" si="50"/>
        <v>0.11924447695317181</v>
      </c>
      <c r="N256" s="164">
        <v>0.05</v>
      </c>
      <c r="O256" s="155">
        <f t="shared" si="51"/>
        <v>0.13293337922800727</v>
      </c>
      <c r="P256" s="155">
        <f t="shared" si="52"/>
        <v>0.11924447695317181</v>
      </c>
      <c r="Q256" s="155">
        <f t="shared" si="53"/>
        <v>0.1786050172105027</v>
      </c>
      <c r="R256" s="164"/>
      <c r="S256" s="164">
        <f t="shared" si="46"/>
        <v>-0.12043296504796518</v>
      </c>
      <c r="T256" s="170">
        <f t="shared" si="54"/>
        <v>0.05</v>
      </c>
      <c r="U256" s="164"/>
      <c r="V256" s="171">
        <f>'Price Deck'!K250</f>
        <v>3.9904565840112558</v>
      </c>
      <c r="W256" s="169">
        <f t="shared" si="55"/>
        <v>3.7822229871334545</v>
      </c>
      <c r="X256" s="164"/>
      <c r="Y256" s="169">
        <f t="shared" si="56"/>
        <v>14311.985447310713</v>
      </c>
      <c r="Z256" s="247">
        <f t="shared" si="57"/>
        <v>0.05</v>
      </c>
      <c r="AA256" s="169">
        <f t="shared" si="58"/>
        <v>715.59927236553574</v>
      </c>
      <c r="AB256" s="169">
        <f t="shared" si="59"/>
        <v>0.1995228292005628</v>
      </c>
    </row>
    <row r="257" spans="1:28">
      <c r="A257" s="164" t="str">
        <f>'Price Deck'!A251</f>
        <v>01/2036</v>
      </c>
      <c r="B257" s="51">
        <f>'Gas Type Curve'!A264</f>
        <v>19.583333333333325</v>
      </c>
      <c r="C257" s="51">
        <f>'Gas Type Curve'!B264</f>
        <v>234.99999999999989</v>
      </c>
      <c r="D257" s="51">
        <f>'Gas Type Curve'!C264</f>
        <v>117.55949318399739</v>
      </c>
      <c r="E257" s="51">
        <f>'Gas Type Curve'!D264</f>
        <v>3575.7679176799206</v>
      </c>
      <c r="F257" s="51">
        <f>'Gas Type Curve'!E264</f>
        <v>2312331.3566904604</v>
      </c>
      <c r="G257" s="164"/>
      <c r="H257" s="51">
        <f t="shared" si="47"/>
        <v>101255.02012494231</v>
      </c>
      <c r="I257" s="164">
        <f t="shared" si="48"/>
        <v>101.25502012494231</v>
      </c>
      <c r="J257" s="164">
        <f t="shared" si="45"/>
        <v>3776.8122506603481</v>
      </c>
      <c r="K257" s="169">
        <f t="shared" si="49"/>
        <v>3.7822229871334545</v>
      </c>
      <c r="L257" s="164"/>
      <c r="M257" s="170">
        <f t="shared" si="50"/>
        <v>0.11924447695317181</v>
      </c>
      <c r="N257" s="164">
        <v>0.05</v>
      </c>
      <c r="O257" s="155">
        <f t="shared" si="51"/>
        <v>0.13293337922800727</v>
      </c>
      <c r="P257" s="155">
        <f t="shared" si="52"/>
        <v>0.11924447695317181</v>
      </c>
      <c r="Q257" s="155">
        <f t="shared" si="53"/>
        <v>0.1786050172105027</v>
      </c>
      <c r="R257" s="164"/>
      <c r="S257" s="164">
        <f t="shared" si="46"/>
        <v>-0.120583746564316</v>
      </c>
      <c r="T257" s="170">
        <f t="shared" si="54"/>
        <v>0.05</v>
      </c>
      <c r="U257" s="164"/>
      <c r="V257" s="171">
        <f>'Price Deck'!K251</f>
        <v>3.9904565840112558</v>
      </c>
      <c r="W257" s="169">
        <f t="shared" si="55"/>
        <v>3.7822229871334545</v>
      </c>
      <c r="X257" s="164"/>
      <c r="Y257" s="169">
        <f t="shared" si="56"/>
        <v>14268.946630002058</v>
      </c>
      <c r="Z257" s="247">
        <f t="shared" si="57"/>
        <v>0.05</v>
      </c>
      <c r="AA257" s="169">
        <f t="shared" si="58"/>
        <v>713.44733150010291</v>
      </c>
      <c r="AB257" s="169">
        <f t="shared" si="59"/>
        <v>0.1995228292005628</v>
      </c>
    </row>
    <row r="258" spans="1:28">
      <c r="A258" s="164" t="str">
        <f>'Price Deck'!A252</f>
        <v>02/2036</v>
      </c>
      <c r="B258" s="51">
        <f>'Gas Type Curve'!A265</f>
        <v>19.666666666666657</v>
      </c>
      <c r="C258" s="51">
        <f>'Gas Type Curve'!B265</f>
        <v>235.99999999999989</v>
      </c>
      <c r="D258" s="51">
        <f>'Gas Type Curve'!C265</f>
        <v>117.20746871396356</v>
      </c>
      <c r="E258" s="51">
        <f>'Gas Type Curve'!D265</f>
        <v>3565.060506716392</v>
      </c>
      <c r="F258" s="51">
        <f>'Gas Type Curve'!E265</f>
        <v>2315896.4171971767</v>
      </c>
      <c r="G258" s="164"/>
      <c r="H258" s="51">
        <f t="shared" si="47"/>
        <v>100951.81836868807</v>
      </c>
      <c r="I258" s="164">
        <f t="shared" si="48"/>
        <v>100.95181836868807</v>
      </c>
      <c r="J258" s="164">
        <f t="shared" si="45"/>
        <v>3765.5028251520648</v>
      </c>
      <c r="K258" s="169">
        <f t="shared" si="49"/>
        <v>3.8561885670916816</v>
      </c>
      <c r="L258" s="164"/>
      <c r="M258" s="170">
        <f t="shared" si="50"/>
        <v>0.12238801410139646</v>
      </c>
      <c r="N258" s="164">
        <v>0.05</v>
      </c>
      <c r="O258" s="155">
        <f t="shared" si="51"/>
        <v>0.1373713140255009</v>
      </c>
      <c r="P258" s="155">
        <f t="shared" si="52"/>
        <v>0.12238801410139646</v>
      </c>
      <c r="Q258" s="155">
        <f t="shared" si="53"/>
        <v>0.18026924275956283</v>
      </c>
      <c r="R258" s="164"/>
      <c r="S258" s="164">
        <f t="shared" si="46"/>
        <v>-0.12073343727137871</v>
      </c>
      <c r="T258" s="170">
        <f t="shared" si="54"/>
        <v>0.05</v>
      </c>
      <c r="U258" s="164"/>
      <c r="V258" s="171">
        <f>'Price Deck'!K252</f>
        <v>4.0684944037110977</v>
      </c>
      <c r="W258" s="169">
        <f t="shared" si="55"/>
        <v>3.8561885670916816</v>
      </c>
      <c r="X258" s="164"/>
      <c r="Y258" s="169">
        <f t="shared" si="56"/>
        <v>14504.428720467091</v>
      </c>
      <c r="Z258" s="247">
        <f t="shared" si="57"/>
        <v>0.05</v>
      </c>
      <c r="AA258" s="169">
        <f t="shared" si="58"/>
        <v>725.22143602335461</v>
      </c>
      <c r="AB258" s="169">
        <f t="shared" si="59"/>
        <v>0.20342472018555491</v>
      </c>
    </row>
    <row r="259" spans="1:28">
      <c r="A259" s="164" t="str">
        <f>'Price Deck'!A253</f>
        <v>03/2036</v>
      </c>
      <c r="B259" s="51">
        <f>'Gas Type Curve'!A266</f>
        <v>19.749999999999989</v>
      </c>
      <c r="C259" s="51">
        <f>'Gas Type Curve'!B266</f>
        <v>236.99999999999989</v>
      </c>
      <c r="D259" s="51">
        <f>'Gas Type Curve'!C266</f>
        <v>116.85798016706319</v>
      </c>
      <c r="E259" s="51">
        <f>'Gas Type Curve'!D266</f>
        <v>3554.4302300815057</v>
      </c>
      <c r="F259" s="51">
        <f>'Gas Type Curve'!E266</f>
        <v>2319450.8474272583</v>
      </c>
      <c r="G259" s="164"/>
      <c r="H259" s="51">
        <f t="shared" si="47"/>
        <v>100650.80082521799</v>
      </c>
      <c r="I259" s="164">
        <f t="shared" si="48"/>
        <v>100.65080082521798</v>
      </c>
      <c r="J259" s="164">
        <f t="shared" si="45"/>
        <v>3754.2748707806309</v>
      </c>
      <c r="K259" s="169">
        <f t="shared" si="49"/>
        <v>3.8561885670916816</v>
      </c>
      <c r="L259" s="164"/>
      <c r="M259" s="170">
        <f t="shared" si="50"/>
        <v>0.12238801410139646</v>
      </c>
      <c r="N259" s="164">
        <v>0.05</v>
      </c>
      <c r="O259" s="155">
        <f t="shared" si="51"/>
        <v>0.1373713140255009</v>
      </c>
      <c r="P259" s="155">
        <f t="shared" si="52"/>
        <v>0.12238801410139646</v>
      </c>
      <c r="Q259" s="155">
        <f t="shared" si="53"/>
        <v>0.18026924275956283</v>
      </c>
      <c r="R259" s="164"/>
      <c r="S259" s="164">
        <f t="shared" si="46"/>
        <v>-0.12088204963258989</v>
      </c>
      <c r="T259" s="170">
        <f t="shared" si="54"/>
        <v>0.05</v>
      </c>
      <c r="U259" s="164"/>
      <c r="V259" s="171">
        <f>'Price Deck'!K253</f>
        <v>4.0684944037110977</v>
      </c>
      <c r="W259" s="169">
        <f t="shared" si="55"/>
        <v>3.8561885670916816</v>
      </c>
      <c r="X259" s="164"/>
      <c r="Y259" s="169">
        <f t="shared" si="56"/>
        <v>14461.179499468155</v>
      </c>
      <c r="Z259" s="247">
        <f t="shared" si="57"/>
        <v>0.05</v>
      </c>
      <c r="AA259" s="169">
        <f t="shared" si="58"/>
        <v>723.05897497340777</v>
      </c>
      <c r="AB259" s="169">
        <f t="shared" si="59"/>
        <v>0.20342472018555488</v>
      </c>
    </row>
    <row r="260" spans="1:28">
      <c r="A260" s="164" t="str">
        <f>'Price Deck'!A254</f>
        <v>04/2036</v>
      </c>
      <c r="B260" s="51">
        <f>'Gas Type Curve'!A267</f>
        <v>19.833333333333321</v>
      </c>
      <c r="C260" s="51">
        <f>'Gas Type Curve'!B267</f>
        <v>237.99999999999986</v>
      </c>
      <c r="D260" s="51">
        <f>'Gas Type Curve'!C267</f>
        <v>116.5109986900079</v>
      </c>
      <c r="E260" s="51">
        <f>'Gas Type Curve'!D267</f>
        <v>3543.8762101544071</v>
      </c>
      <c r="F260" s="51">
        <f>'Gas Type Curve'!E267</f>
        <v>2322994.7236374128</v>
      </c>
      <c r="G260" s="164"/>
      <c r="H260" s="51">
        <f t="shared" si="47"/>
        <v>100351.94264294235</v>
      </c>
      <c r="I260" s="164">
        <f t="shared" si="48"/>
        <v>100.35194264294235</v>
      </c>
      <c r="J260" s="164">
        <f t="shared" si="45"/>
        <v>3743.1274605817493</v>
      </c>
      <c r="K260" s="169">
        <f t="shared" si="49"/>
        <v>3.8561885670916816</v>
      </c>
      <c r="L260" s="164"/>
      <c r="M260" s="170">
        <f t="shared" si="50"/>
        <v>0.12238801410139646</v>
      </c>
      <c r="N260" s="164">
        <v>0.05</v>
      </c>
      <c r="O260" s="155">
        <f t="shared" si="51"/>
        <v>0.1373713140255009</v>
      </c>
      <c r="P260" s="155">
        <f t="shared" si="52"/>
        <v>0.12238801410139646</v>
      </c>
      <c r="Q260" s="155">
        <f t="shared" si="53"/>
        <v>0.18026924275956283</v>
      </c>
      <c r="R260" s="164"/>
      <c r="S260" s="164">
        <f t="shared" si="46"/>
        <v>-0.12102959591717938</v>
      </c>
      <c r="T260" s="170">
        <f t="shared" si="54"/>
        <v>0.05</v>
      </c>
      <c r="U260" s="164"/>
      <c r="V260" s="171">
        <f>'Price Deck'!K254</f>
        <v>4.0684944037110977</v>
      </c>
      <c r="W260" s="169">
        <f t="shared" si="55"/>
        <v>3.8561885670916816</v>
      </c>
      <c r="X260" s="164"/>
      <c r="Y260" s="169">
        <f t="shared" si="56"/>
        <v>14418.2405284581</v>
      </c>
      <c r="Z260" s="247">
        <f t="shared" si="57"/>
        <v>0.05</v>
      </c>
      <c r="AA260" s="169">
        <f t="shared" si="58"/>
        <v>720.912026422905</v>
      </c>
      <c r="AB260" s="169">
        <f t="shared" si="59"/>
        <v>0.20342472018555491</v>
      </c>
    </row>
    <row r="261" spans="1:28">
      <c r="A261" s="164" t="str">
        <f>'Price Deck'!A255</f>
        <v>05/2036</v>
      </c>
      <c r="B261" s="51">
        <f>'Gas Type Curve'!A268</f>
        <v>19.916666666666654</v>
      </c>
      <c r="C261" s="51">
        <f>'Gas Type Curve'!B268</f>
        <v>238.99999999999983</v>
      </c>
      <c r="D261" s="51">
        <f>'Gas Type Curve'!C268</f>
        <v>116.16649587722206</v>
      </c>
      <c r="E261" s="51">
        <f>'Gas Type Curve'!D268</f>
        <v>3533.3975829321712</v>
      </c>
      <c r="F261" s="51">
        <f>'Gas Type Curve'!E268</f>
        <v>2326528.1212203451</v>
      </c>
      <c r="G261" s="164"/>
      <c r="H261" s="51">
        <f t="shared" si="47"/>
        <v>100055.21935589029</v>
      </c>
      <c r="I261" s="164">
        <f t="shared" si="48"/>
        <v>100.0552193558903</v>
      </c>
      <c r="J261" s="164">
        <f t="shared" si="45"/>
        <v>3732.0596819747079</v>
      </c>
      <c r="K261" s="169">
        <f t="shared" si="49"/>
        <v>3.8561885670916816</v>
      </c>
      <c r="L261" s="164"/>
      <c r="M261" s="170">
        <f t="shared" si="50"/>
        <v>0.12238801410139646</v>
      </c>
      <c r="N261" s="164">
        <v>0.05</v>
      </c>
      <c r="O261" s="155">
        <f t="shared" si="51"/>
        <v>0.1373713140255009</v>
      </c>
      <c r="P261" s="155">
        <f t="shared" si="52"/>
        <v>0.12238801410139646</v>
      </c>
      <c r="Q261" s="155">
        <f t="shared" si="53"/>
        <v>0.18026924275956283</v>
      </c>
      <c r="R261" s="164"/>
      <c r="S261" s="164">
        <f t="shared" si="46"/>
        <v>-0.12117608820399696</v>
      </c>
      <c r="T261" s="170">
        <f t="shared" si="54"/>
        <v>0.05</v>
      </c>
      <c r="U261" s="164"/>
      <c r="V261" s="171">
        <f>'Price Deck'!K255</f>
        <v>4.0684944037110977</v>
      </c>
      <c r="W261" s="169">
        <f t="shared" si="55"/>
        <v>3.8561885670916816</v>
      </c>
      <c r="X261" s="164"/>
      <c r="Y261" s="169">
        <f t="shared" si="56"/>
        <v>14375.608292245857</v>
      </c>
      <c r="Z261" s="247">
        <f t="shared" si="57"/>
        <v>0.05</v>
      </c>
      <c r="AA261" s="169">
        <f t="shared" si="58"/>
        <v>718.78041461229293</v>
      </c>
      <c r="AB261" s="169">
        <f t="shared" si="59"/>
        <v>0.20342472018555491</v>
      </c>
    </row>
    <row r="262" spans="1:28">
      <c r="A262" s="164" t="str">
        <f>'Price Deck'!A256</f>
        <v>06/2036</v>
      </c>
      <c r="B262" s="51">
        <f>'Gas Type Curve'!A269</f>
        <v>19.999999999999986</v>
      </c>
      <c r="C262" s="51">
        <f>'Gas Type Curve'!B269</f>
        <v>239.99999999999983</v>
      </c>
      <c r="D262" s="51">
        <f>'Gas Type Curve'!C269</f>
        <v>115.82444376205842</v>
      </c>
      <c r="E262" s="51">
        <f>'Gas Type Curve'!D269</f>
        <v>3522.9934977626103</v>
      </c>
      <c r="F262" s="51">
        <f>'Gas Type Curve'!E269</f>
        <v>2330051.114718108</v>
      </c>
      <c r="G262" s="164"/>
      <c r="H262" s="51">
        <f t="shared" si="47"/>
        <v>99760.606876143822</v>
      </c>
      <c r="I262" s="164">
        <f t="shared" si="48"/>
        <v>99.760606876143825</v>
      </c>
      <c r="J262" s="164">
        <f t="shared" si="45"/>
        <v>3721.0706364801645</v>
      </c>
      <c r="K262" s="169">
        <f t="shared" si="49"/>
        <v>3.8561885670916816</v>
      </c>
      <c r="L262" s="164"/>
      <c r="M262" s="170">
        <f t="shared" si="50"/>
        <v>0.12238801410139646</v>
      </c>
      <c r="N262" s="164">
        <v>0.05</v>
      </c>
      <c r="O262" s="155">
        <f t="shared" si="51"/>
        <v>0.1373713140255009</v>
      </c>
      <c r="P262" s="155">
        <f t="shared" si="52"/>
        <v>0.12238801410139646</v>
      </c>
      <c r="Q262" s="155">
        <f t="shared" si="53"/>
        <v>0.18026924275956283</v>
      </c>
      <c r="R262" s="164"/>
      <c r="S262" s="164">
        <f t="shared" si="46"/>
        <v>-0.1213215383852478</v>
      </c>
      <c r="T262" s="170">
        <f t="shared" si="54"/>
        <v>0.05</v>
      </c>
      <c r="U262" s="164"/>
      <c r="V262" s="171">
        <f>'Price Deck'!K256</f>
        <v>4.0684944037110977</v>
      </c>
      <c r="W262" s="169">
        <f t="shared" si="55"/>
        <v>3.8561885670916816</v>
      </c>
      <c r="X262" s="164"/>
      <c r="Y262" s="169">
        <f t="shared" si="56"/>
        <v>14333.279329957766</v>
      </c>
      <c r="Z262" s="247">
        <f t="shared" si="57"/>
        <v>0.05</v>
      </c>
      <c r="AA262" s="169">
        <f t="shared" si="58"/>
        <v>716.6639664978884</v>
      </c>
      <c r="AB262" s="169">
        <f t="shared" si="59"/>
        <v>0.20342472018555491</v>
      </c>
    </row>
  </sheetData>
  <mergeCells count="3">
    <mergeCell ref="J1:M1"/>
    <mergeCell ref="F1:H1"/>
    <mergeCell ref="N9:Q9"/>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AH256"/>
  <sheetViews>
    <sheetView zoomScale="70" zoomScaleNormal="70" workbookViewId="0">
      <selection activeCell="D1" sqref="D1:D2"/>
    </sheetView>
  </sheetViews>
  <sheetFormatPr defaultColWidth="11" defaultRowHeight="15.9"/>
  <cols>
    <col min="1" max="1" width="18" bestFit="1" customWidth="1"/>
    <col min="2" max="2" width="17.7109375" bestFit="1" customWidth="1"/>
    <col min="3" max="3" width="18.35546875" bestFit="1" customWidth="1"/>
    <col min="4" max="4" width="22.140625" bestFit="1" customWidth="1"/>
    <col min="5" max="5" width="23.2109375" bestFit="1" customWidth="1"/>
    <col min="6" max="6" width="26.35546875" bestFit="1" customWidth="1"/>
    <col min="8" max="8" width="5.7109375" customWidth="1"/>
    <col min="9" max="9" width="7.640625" customWidth="1"/>
    <col min="10" max="10" width="22.140625" bestFit="1" customWidth="1"/>
    <col min="11" max="11" width="23.2109375" bestFit="1" customWidth="1"/>
    <col min="12" max="12" width="26.35546875" bestFit="1" customWidth="1"/>
    <col min="13" max="13" width="14.85546875" bestFit="1" customWidth="1"/>
    <col min="14" max="14" width="18.35546875" bestFit="1" customWidth="1"/>
    <col min="15" max="15" width="16.140625" bestFit="1" customWidth="1"/>
    <col min="16" max="16" width="19.85546875" bestFit="1" customWidth="1"/>
    <col min="17" max="17" width="17.35546875" bestFit="1" customWidth="1"/>
    <col min="18" max="18" width="16.2109375" bestFit="1" customWidth="1"/>
    <col min="19" max="19" width="23" bestFit="1" customWidth="1"/>
    <col min="20" max="20" width="7.7109375" bestFit="1" customWidth="1"/>
    <col min="21" max="21" width="25" bestFit="1" customWidth="1"/>
    <col min="22" max="22" width="26" bestFit="1" customWidth="1"/>
    <col min="23" max="23" width="25" bestFit="1" customWidth="1"/>
    <col min="25" max="25" width="19" bestFit="1" customWidth="1"/>
    <col min="26" max="26" width="8.35546875" customWidth="1"/>
    <col min="28" max="28" width="14" bestFit="1" customWidth="1"/>
    <col min="29" max="29" width="11.2109375" bestFit="1" customWidth="1"/>
    <col min="31" max="31" width="14.85546875" bestFit="1" customWidth="1"/>
    <col min="32" max="32" width="17.640625" bestFit="1" customWidth="1"/>
    <col min="33" max="33" width="16.35546875" bestFit="1" customWidth="1"/>
  </cols>
  <sheetData>
    <row r="1" spans="1:34">
      <c r="A1" s="163" t="s">
        <v>704</v>
      </c>
      <c r="B1" s="163" t="s">
        <v>863</v>
      </c>
      <c r="C1" s="163" t="s">
        <v>859</v>
      </c>
      <c r="D1" s="35" t="s">
        <v>852</v>
      </c>
      <c r="P1" s="315" t="s">
        <v>803</v>
      </c>
      <c r="Q1" s="315"/>
      <c r="R1" s="315"/>
      <c r="T1" s="315" t="s">
        <v>803</v>
      </c>
      <c r="U1" s="315"/>
      <c r="V1" s="315"/>
      <c r="W1" s="315"/>
      <c r="AB1" s="273" t="s">
        <v>867</v>
      </c>
      <c r="AE1" s="163"/>
      <c r="AF1" s="163"/>
    </row>
    <row r="2" spans="1:34">
      <c r="A2" s="6">
        <f>'Capital Cost Calculation'!B9</f>
        <v>6354768.5</v>
      </c>
      <c r="B2" s="164">
        <f>1/6.2898</f>
        <v>0.15898756717224713</v>
      </c>
      <c r="C2" s="12">
        <f>'Price Deck'!P4</f>
        <v>0.44</v>
      </c>
      <c r="D2" s="247">
        <v>345.5</v>
      </c>
      <c r="P2" s="247" t="s">
        <v>800</v>
      </c>
      <c r="Q2" s="247" t="s">
        <v>801</v>
      </c>
      <c r="R2" s="247" t="s">
        <v>802</v>
      </c>
      <c r="T2" s="159" t="s">
        <v>824</v>
      </c>
      <c r="U2" s="159" t="s">
        <v>825</v>
      </c>
      <c r="V2" s="159" t="s">
        <v>826</v>
      </c>
      <c r="W2" s="159" t="s">
        <v>827</v>
      </c>
      <c r="X2" s="247" t="s">
        <v>812</v>
      </c>
      <c r="AB2" s="35" t="s">
        <v>869</v>
      </c>
      <c r="AE2" s="2"/>
    </row>
    <row r="3" spans="1:34">
      <c r="N3" s="35" t="s">
        <v>857</v>
      </c>
      <c r="P3" s="255">
        <v>2.4</v>
      </c>
      <c r="Q3" s="255">
        <v>3</v>
      </c>
      <c r="R3" s="255">
        <v>6.75</v>
      </c>
      <c r="T3" s="12">
        <v>0.05</v>
      </c>
      <c r="U3" t="s">
        <v>828</v>
      </c>
      <c r="V3" t="s">
        <v>829</v>
      </c>
      <c r="W3" t="s">
        <v>830</v>
      </c>
      <c r="X3" s="247">
        <v>0.36</v>
      </c>
      <c r="AB3" s="164">
        <v>3082000</v>
      </c>
    </row>
    <row r="4" spans="1:34">
      <c r="A4" s="264" t="s">
        <v>854</v>
      </c>
      <c r="N4" t="s">
        <v>719</v>
      </c>
      <c r="O4">
        <v>7.8399999999999997E-2</v>
      </c>
      <c r="T4">
        <v>2.4</v>
      </c>
      <c r="U4">
        <v>2.4</v>
      </c>
      <c r="V4">
        <v>3</v>
      </c>
      <c r="W4">
        <v>6.75</v>
      </c>
      <c r="AB4" s="35" t="s">
        <v>868</v>
      </c>
    </row>
    <row r="5" spans="1:34">
      <c r="A5" s="265">
        <f>'Capital Cost Calculation'!B10</f>
        <v>24</v>
      </c>
      <c r="N5" t="s">
        <v>858</v>
      </c>
      <c r="O5">
        <v>20.98</v>
      </c>
      <c r="AB5">
        <f>+AB3*1055.06</f>
        <v>3251694920</v>
      </c>
    </row>
    <row r="6" spans="1:34">
      <c r="N6" s="35" t="s">
        <v>856</v>
      </c>
      <c r="AB6" s="35" t="s">
        <v>870</v>
      </c>
    </row>
    <row r="7" spans="1:34">
      <c r="N7">
        <f>O5/O4</f>
        <v>267.60204081632656</v>
      </c>
      <c r="AB7">
        <f>+AB5/1000000000</f>
        <v>3.2516949199999998</v>
      </c>
    </row>
    <row r="8" spans="1:34">
      <c r="B8" t="s">
        <v>735</v>
      </c>
      <c r="H8" s="35" t="s">
        <v>569</v>
      </c>
    </row>
    <row r="9" spans="1:34">
      <c r="B9" s="52" t="str">
        <f>'Liquids Type Curve'!A17</f>
        <v>Years</v>
      </c>
      <c r="C9" s="52" t="str">
        <f>'Liquids Type Curve'!B17</f>
        <v>Months</v>
      </c>
      <c r="D9" s="52" t="str">
        <f>'Liquids Type Curve'!C17</f>
        <v>Daily production (Bbl/d)</v>
      </c>
      <c r="E9" s="52" t="str">
        <f>'Liquids Type Curve'!D17</f>
        <v>Monthly production (Bbl)</v>
      </c>
      <c r="F9" s="52" t="str">
        <f>'Liquids Type Curve'!E17</f>
        <v>Cumulative Production (Bbls)</v>
      </c>
      <c r="H9" s="52" t="s">
        <v>711</v>
      </c>
      <c r="I9" s="52" t="s">
        <v>712</v>
      </c>
      <c r="J9" s="52" t="s">
        <v>713</v>
      </c>
      <c r="K9" s="52" t="s">
        <v>718</v>
      </c>
      <c r="L9" s="52" t="s">
        <v>715</v>
      </c>
      <c r="N9" s="52" t="s">
        <v>860</v>
      </c>
      <c r="O9" s="52" t="s">
        <v>861</v>
      </c>
      <c r="P9" s="52" t="s">
        <v>862</v>
      </c>
      <c r="Q9" s="52" t="s">
        <v>871</v>
      </c>
      <c r="R9" s="52"/>
      <c r="S9" s="52" t="s">
        <v>836</v>
      </c>
      <c r="T9" s="315" t="s">
        <v>837</v>
      </c>
      <c r="U9" s="315"/>
      <c r="V9" s="315"/>
      <c r="W9" s="315"/>
      <c r="Y9" t="s">
        <v>807</v>
      </c>
      <c r="Z9" t="s">
        <v>864</v>
      </c>
      <c r="AB9" t="s">
        <v>865</v>
      </c>
      <c r="AC9" t="s">
        <v>866</v>
      </c>
      <c r="AE9" t="s">
        <v>849</v>
      </c>
      <c r="AF9" s="164" t="s">
        <v>850</v>
      </c>
      <c r="AG9" t="s">
        <v>851</v>
      </c>
      <c r="AH9" t="s">
        <v>873</v>
      </c>
    </row>
    <row r="10" spans="1:34">
      <c r="T10" t="s">
        <v>838</v>
      </c>
      <c r="U10" t="s">
        <v>839</v>
      </c>
      <c r="V10" t="s">
        <v>840</v>
      </c>
      <c r="W10" t="s">
        <v>841</v>
      </c>
      <c r="AB10" t="s">
        <v>872</v>
      </c>
    </row>
    <row r="11" spans="1:34">
      <c r="A11" t="str">
        <f>'Price Deck'!A5</f>
        <v>03/2019</v>
      </c>
      <c r="B11" s="39">
        <f>'Liquids Type Curve'!A18</f>
        <v>4.3478260869565251E-2</v>
      </c>
      <c r="C11" s="39">
        <f>'Liquids Type Curve'!B18</f>
        <v>0.52173913043478304</v>
      </c>
      <c r="D11" s="39">
        <f>'Liquids Type Curve'!C18</f>
        <v>55.2173913043478</v>
      </c>
      <c r="E11" s="39">
        <f>'Liquids Type Curve'!D18</f>
        <v>1679.5289855072456</v>
      </c>
      <c r="F11" s="39">
        <f>'Liquids Type Curve'!E18</f>
        <v>1679.5289855072456</v>
      </c>
      <c r="H11" s="39">
        <f>B11</f>
        <v>4.3478260869565251E-2</v>
      </c>
      <c r="I11" s="39">
        <f t="shared" ref="I11:L11" si="0">C11</f>
        <v>0.52173913043478304</v>
      </c>
      <c r="J11" s="39">
        <f t="shared" ref="J11:J74" si="1">D11*$C$2</f>
        <v>24.29565217391303</v>
      </c>
      <c r="K11" s="39">
        <f>J11*(365/12)</f>
        <v>738.99275362318804</v>
      </c>
      <c r="L11" s="39">
        <f t="shared" si="0"/>
        <v>1679.5289855072456</v>
      </c>
      <c r="N11">
        <f t="shared" ref="N11:N74" si="2">K11*$B$2</f>
        <v>117.49066005647047</v>
      </c>
      <c r="O11">
        <f t="shared" ref="O11:O74" si="3">N11*$N$7</f>
        <v>31440.740407968762</v>
      </c>
      <c r="P11">
        <f>O11/1000</f>
        <v>31.440740407968761</v>
      </c>
      <c r="Q11" s="161">
        <f>AC11</f>
        <v>2.5371383856638059</v>
      </c>
      <c r="S11" s="157">
        <f>MIN(IF(Q11&gt;$U$4,U11,IF(Q11&gt;$V$4,V11,IF(Q11&gt;$W$4,W11,T11))),0.36)</f>
        <v>5.8228303139828359E-2</v>
      </c>
      <c r="T11" s="157">
        <v>0.05</v>
      </c>
      <c r="U11" s="157">
        <f t="shared" ref="U11:U74" si="4">+(Q11-$U$4)*0.06+0.05</f>
        <v>5.8228303139828359E-2</v>
      </c>
      <c r="V11" s="157">
        <f t="shared" ref="V11:V74" si="5">(Q11-$V$4)*0.0425+0.086</f>
        <v>6.6328381390711746E-2</v>
      </c>
      <c r="W11" s="157">
        <f t="shared" ref="W11:W74" si="6">(Q11-$W$4)*0.0225+0.24538</f>
        <v>0.15059061367743562</v>
      </c>
      <c r="Y11" s="157">
        <f t="shared" ref="Y11:Y74" si="7">IF(P11&gt;$D$2,0,(P11-$D$2)*0.0004937)</f>
        <v>-0.15505105646058584</v>
      </c>
      <c r="Z11" s="157">
        <f>MAX(Y11+S11,0.05)</f>
        <v>0.05</v>
      </c>
      <c r="AB11" s="2">
        <f>'Price Deck'!P5/'Price Deck'!M5</f>
        <v>8.2499999999999982</v>
      </c>
      <c r="AC11" s="161">
        <f>AB11/$AB$7</f>
        <v>2.5371383856638059</v>
      </c>
      <c r="AE11" s="161">
        <f>AB11*K11</f>
        <v>6096.6902173913004</v>
      </c>
      <c r="AF11">
        <f>IF(I11&lt;$A$5, 0.05,Z11)</f>
        <v>0.05</v>
      </c>
      <c r="AG11" s="165">
        <f>+AE11*AF11</f>
        <v>304.83451086956501</v>
      </c>
      <c r="AH11" s="165">
        <f>AG11/E11</f>
        <v>0.18149999999999997</v>
      </c>
    </row>
    <row r="12" spans="1:34">
      <c r="A12" t="str">
        <f>'Price Deck'!A6</f>
        <v>04/2019</v>
      </c>
      <c r="B12" s="39">
        <f>'Liquids Type Curve'!A19</f>
        <v>7.7098078867542746E-2</v>
      </c>
      <c r="C12" s="39">
        <f>'Liquids Type Curve'!B19</f>
        <v>0.92517694641051296</v>
      </c>
      <c r="D12" s="39">
        <f>'Liquids Type Curve'!C19</f>
        <v>63.913043478260803</v>
      </c>
      <c r="E12" s="39">
        <f>'Liquids Type Curve'!D19</f>
        <v>1944.0217391304329</v>
      </c>
      <c r="F12" s="39">
        <f>'Liquids Type Curve'!E19</f>
        <v>3623.5507246376783</v>
      </c>
      <c r="H12" s="39">
        <f>B12</f>
        <v>7.7098078867542746E-2</v>
      </c>
      <c r="I12" s="39">
        <f t="shared" ref="I12" si="8">C12</f>
        <v>0.92517694641051296</v>
      </c>
      <c r="J12" s="39">
        <f t="shared" si="1"/>
        <v>28.121739130434754</v>
      </c>
      <c r="K12" s="39">
        <f>J12*(365/12)</f>
        <v>855.36956521739046</v>
      </c>
      <c r="L12" s="39">
        <f>+L11+K12</f>
        <v>2534.8985507246362</v>
      </c>
      <c r="N12">
        <f t="shared" si="2"/>
        <v>135.99312620709568</v>
      </c>
      <c r="O12">
        <f t="shared" si="3"/>
        <v>36392.038110011068</v>
      </c>
      <c r="P12">
        <f t="shared" ref="P12:P75" si="9">O12/1000</f>
        <v>36.392038110011065</v>
      </c>
      <c r="Q12" s="161">
        <f t="shared" ref="Q12:Q75" si="10">AC12</f>
        <v>2.5371383856638059</v>
      </c>
      <c r="S12" s="157">
        <f t="shared" ref="S12:S75" si="11">MIN(IF(Q12&gt;$U$4,U12,IF(Q12&gt;$V$4,V12,IF(Q12&gt;$W$4,W12,T12))),0.36)</f>
        <v>5.8228303139828359E-2</v>
      </c>
      <c r="T12" s="157">
        <v>0.05</v>
      </c>
      <c r="U12" s="157">
        <f t="shared" si="4"/>
        <v>5.8228303139828359E-2</v>
      </c>
      <c r="V12" s="157">
        <f t="shared" si="5"/>
        <v>6.6328381390711746E-2</v>
      </c>
      <c r="W12" s="157">
        <f t="shared" si="6"/>
        <v>0.15059061367743562</v>
      </c>
      <c r="Y12" s="157">
        <f t="shared" si="7"/>
        <v>-0.15260660078508753</v>
      </c>
      <c r="Z12" s="157">
        <f t="shared" ref="Z12:Z75" si="12">MAX(Y12+S12,0.05)</f>
        <v>0.05</v>
      </c>
      <c r="AB12" s="2">
        <f>'Price Deck'!P6/'Price Deck'!M6</f>
        <v>8.2499999999999982</v>
      </c>
      <c r="AC12" s="161">
        <f t="shared" ref="AC12:AC75" si="13">AB12/$AB$7</f>
        <v>2.5371383856638059</v>
      </c>
      <c r="AE12" s="161">
        <f t="shared" ref="AE12:AE75" si="14">AB12*K12</f>
        <v>7056.7989130434698</v>
      </c>
      <c r="AF12">
        <f t="shared" ref="AF12:AF75" si="15">IF(I12&lt;$A$5, 0.05,Z12)</f>
        <v>0.05</v>
      </c>
      <c r="AG12" s="165">
        <f t="shared" ref="AG12:AG75" si="16">+AE12*AF12</f>
        <v>352.83994565217353</v>
      </c>
      <c r="AH12" s="165">
        <f t="shared" ref="AH12:AH75" si="17">AG12/E12</f>
        <v>0.18149999999999997</v>
      </c>
    </row>
    <row r="13" spans="1:34">
      <c r="A13" t="str">
        <f>'Price Deck'!A7</f>
        <v>05/2019</v>
      </c>
      <c r="B13" s="39">
        <f>'Liquids Type Curve'!A20</f>
        <v>0.12285136501516584</v>
      </c>
      <c r="C13" s="39">
        <f>'Liquids Type Curve'!B20</f>
        <v>1.4742163801819901</v>
      </c>
      <c r="D13" s="39">
        <f>'Liquids Type Curve'!C20</f>
        <v>69.130434782608702</v>
      </c>
      <c r="E13" s="39">
        <f>'Liquids Type Curve'!D20</f>
        <v>2102.717391304348</v>
      </c>
      <c r="F13" s="39">
        <f>'Liquids Type Curve'!E20</f>
        <v>5726.2681159420263</v>
      </c>
      <c r="H13" s="39">
        <f t="shared" ref="H13:H76" si="18">B13</f>
        <v>0.12285136501516584</v>
      </c>
      <c r="I13" s="39">
        <f t="shared" ref="I13:I76" si="19">C13</f>
        <v>1.4742163801819901</v>
      </c>
      <c r="J13" s="39">
        <f t="shared" si="1"/>
        <v>30.417391304347831</v>
      </c>
      <c r="K13" s="39">
        <f t="shared" ref="K13:K76" si="20">J13*(365/12)</f>
        <v>925.19565217391323</v>
      </c>
      <c r="L13" s="39">
        <f t="shared" ref="L13:L76" si="21">+L12+K13</f>
        <v>3460.0942028985492</v>
      </c>
      <c r="N13">
        <f t="shared" si="2"/>
        <v>147.09460589747101</v>
      </c>
      <c r="O13">
        <f t="shared" si="3"/>
        <v>39362.816731236511</v>
      </c>
      <c r="P13">
        <f t="shared" si="9"/>
        <v>39.362816731236514</v>
      </c>
      <c r="Q13" s="161">
        <f t="shared" si="10"/>
        <v>2.5371383856638059</v>
      </c>
      <c r="S13" s="157">
        <f t="shared" si="11"/>
        <v>5.8228303139828359E-2</v>
      </c>
      <c r="T13" s="157">
        <v>0.05</v>
      </c>
      <c r="U13" s="157">
        <f t="shared" si="4"/>
        <v>5.8228303139828359E-2</v>
      </c>
      <c r="V13" s="157">
        <f t="shared" si="5"/>
        <v>6.6328381390711746E-2</v>
      </c>
      <c r="W13" s="157">
        <f t="shared" si="6"/>
        <v>0.15059061367743562</v>
      </c>
      <c r="Y13" s="157">
        <f t="shared" si="7"/>
        <v>-0.15113992737978854</v>
      </c>
      <c r="Z13" s="157">
        <f t="shared" si="12"/>
        <v>0.05</v>
      </c>
      <c r="AB13" s="2">
        <f>'Price Deck'!P7/'Price Deck'!M7</f>
        <v>8.2499999999999982</v>
      </c>
      <c r="AC13" s="161">
        <f t="shared" si="13"/>
        <v>2.5371383856638059</v>
      </c>
      <c r="AE13" s="161">
        <f t="shared" si="14"/>
        <v>7632.864130434783</v>
      </c>
      <c r="AF13">
        <f t="shared" si="15"/>
        <v>0.05</v>
      </c>
      <c r="AG13" s="165">
        <f t="shared" si="16"/>
        <v>381.64320652173916</v>
      </c>
      <c r="AH13" s="165">
        <f t="shared" si="17"/>
        <v>0.18149999999999999</v>
      </c>
    </row>
    <row r="14" spans="1:34">
      <c r="A14" t="str">
        <f>'Price Deck'!A8</f>
        <v>06/2019</v>
      </c>
      <c r="B14" s="39">
        <f>'Liquids Type Curve'!A21</f>
        <v>0.16885743174924084</v>
      </c>
      <c r="C14" s="39">
        <f>'Liquids Type Curve'!B21</f>
        <v>2.0262891809908901</v>
      </c>
      <c r="D14" s="39">
        <f>'Liquids Type Curve'!C21</f>
        <v>72.608695652173907</v>
      </c>
      <c r="E14" s="39">
        <f>'Liquids Type Curve'!D21</f>
        <v>2208.514492753623</v>
      </c>
      <c r="F14" s="39">
        <f>'Liquids Type Curve'!E21</f>
        <v>7934.7826086956493</v>
      </c>
      <c r="H14" s="39">
        <f t="shared" si="18"/>
        <v>0.16885743174924084</v>
      </c>
      <c r="I14" s="39">
        <f t="shared" si="19"/>
        <v>2.0262891809908901</v>
      </c>
      <c r="J14" s="39">
        <f t="shared" si="1"/>
        <v>31.947826086956518</v>
      </c>
      <c r="K14" s="39">
        <f t="shared" si="20"/>
        <v>971.74637681159413</v>
      </c>
      <c r="L14" s="39">
        <f t="shared" si="21"/>
        <v>4431.8405797101432</v>
      </c>
      <c r="N14">
        <f t="shared" si="2"/>
        <v>154.49559235772108</v>
      </c>
      <c r="O14">
        <f t="shared" si="3"/>
        <v>41343.335812053425</v>
      </c>
      <c r="P14">
        <f t="shared" si="9"/>
        <v>41.343335812053425</v>
      </c>
      <c r="Q14" s="161">
        <f t="shared" si="10"/>
        <v>2.5371383856638059</v>
      </c>
      <c r="S14" s="157">
        <f t="shared" si="11"/>
        <v>5.8228303139828359E-2</v>
      </c>
      <c r="T14" s="157">
        <v>0.05</v>
      </c>
      <c r="U14" s="157">
        <f t="shared" si="4"/>
        <v>5.8228303139828359E-2</v>
      </c>
      <c r="V14" s="157">
        <f t="shared" si="5"/>
        <v>6.6328381390711746E-2</v>
      </c>
      <c r="W14" s="157">
        <f t="shared" si="6"/>
        <v>0.15059061367743562</v>
      </c>
      <c r="Y14" s="157">
        <f t="shared" si="7"/>
        <v>-0.15016214510958925</v>
      </c>
      <c r="Z14" s="157">
        <f t="shared" si="12"/>
        <v>0.05</v>
      </c>
      <c r="AB14" s="2">
        <f>'Price Deck'!P8/'Price Deck'!M8</f>
        <v>8.2499999999999982</v>
      </c>
      <c r="AC14" s="161">
        <f t="shared" si="13"/>
        <v>2.5371383856638059</v>
      </c>
      <c r="AE14" s="161">
        <f t="shared" si="14"/>
        <v>8016.9076086956502</v>
      </c>
      <c r="AF14">
        <f t="shared" si="15"/>
        <v>0.05</v>
      </c>
      <c r="AG14" s="165">
        <f t="shared" si="16"/>
        <v>400.84538043478256</v>
      </c>
      <c r="AH14" s="165">
        <f t="shared" si="17"/>
        <v>0.18149999999999999</v>
      </c>
    </row>
    <row r="15" spans="1:34">
      <c r="A15" t="str">
        <f>'Price Deck'!A9</f>
        <v>07/2019</v>
      </c>
      <c r="B15" s="39">
        <f>'Liquids Type Curve'!A22</f>
        <v>0.21486349848331585</v>
      </c>
      <c r="C15" s="39">
        <f>'Liquids Type Curve'!B22</f>
        <v>2.57836198179979</v>
      </c>
      <c r="D15" s="39">
        <f>'Liquids Type Curve'!C22</f>
        <v>76.086956521739197</v>
      </c>
      <c r="E15" s="39">
        <f>'Liquids Type Curve'!D22</f>
        <v>2314.3115942029008</v>
      </c>
      <c r="F15" s="39">
        <f>'Liquids Type Curve'!E22</f>
        <v>10249.09420289855</v>
      </c>
      <c r="H15" s="39">
        <f t="shared" si="18"/>
        <v>0.21486349848331585</v>
      </c>
      <c r="I15" s="39">
        <f t="shared" si="19"/>
        <v>2.57836198179979</v>
      </c>
      <c r="J15" s="39">
        <f t="shared" si="1"/>
        <v>33.478260869565247</v>
      </c>
      <c r="K15" s="39">
        <f t="shared" si="20"/>
        <v>1018.2971014492763</v>
      </c>
      <c r="L15" s="39">
        <f t="shared" si="21"/>
        <v>5450.1376811594191</v>
      </c>
      <c r="N15">
        <f t="shared" si="2"/>
        <v>161.89657881797137</v>
      </c>
      <c r="O15">
        <f t="shared" si="3"/>
        <v>43323.854892870404</v>
      </c>
      <c r="P15">
        <f t="shared" si="9"/>
        <v>43.323854892870401</v>
      </c>
      <c r="Q15" s="161">
        <f t="shared" si="10"/>
        <v>2.5371383856638059</v>
      </c>
      <c r="S15" s="157">
        <f t="shared" si="11"/>
        <v>5.8228303139828359E-2</v>
      </c>
      <c r="T15" s="157">
        <v>0.05</v>
      </c>
      <c r="U15" s="157">
        <f t="shared" si="4"/>
        <v>5.8228303139828359E-2</v>
      </c>
      <c r="V15" s="157">
        <f t="shared" si="5"/>
        <v>6.6328381390711746E-2</v>
      </c>
      <c r="W15" s="157">
        <f t="shared" si="6"/>
        <v>0.15059061367743562</v>
      </c>
      <c r="Y15" s="157">
        <f t="shared" si="7"/>
        <v>-0.14918436283938991</v>
      </c>
      <c r="Z15" s="157">
        <f t="shared" si="12"/>
        <v>0.05</v>
      </c>
      <c r="AB15" s="2">
        <f>'Price Deck'!P9/'Price Deck'!M9</f>
        <v>8.2499999999999982</v>
      </c>
      <c r="AC15" s="161">
        <f t="shared" si="13"/>
        <v>2.5371383856638059</v>
      </c>
      <c r="AE15" s="161">
        <f t="shared" si="14"/>
        <v>8400.9510869565274</v>
      </c>
      <c r="AF15">
        <f t="shared" si="15"/>
        <v>0.05</v>
      </c>
      <c r="AG15" s="165">
        <f t="shared" si="16"/>
        <v>420.04755434782641</v>
      </c>
      <c r="AH15" s="165">
        <f t="shared" si="17"/>
        <v>0.18149999999999997</v>
      </c>
    </row>
    <row r="16" spans="1:34">
      <c r="A16" t="str">
        <f>'Price Deck'!A10</f>
        <v>08/2019</v>
      </c>
      <c r="B16" s="39">
        <f>'Liquids Type Curve'!A23</f>
        <v>0.272497472194135</v>
      </c>
      <c r="C16" s="39">
        <f>'Liquids Type Curve'!B23</f>
        <v>3.2699696663296201</v>
      </c>
      <c r="D16" s="39">
        <f>'Liquids Type Curve'!C23</f>
        <v>79.565217391304401</v>
      </c>
      <c r="E16" s="39">
        <f>'Liquids Type Curve'!D23</f>
        <v>2420.1086956521758</v>
      </c>
      <c r="F16" s="39">
        <f>'Liquids Type Curve'!E23</f>
        <v>12669.202898550726</v>
      </c>
      <c r="H16" s="39">
        <f t="shared" si="18"/>
        <v>0.272497472194135</v>
      </c>
      <c r="I16" s="39">
        <f t="shared" si="19"/>
        <v>3.2699696663296201</v>
      </c>
      <c r="J16" s="39">
        <f t="shared" si="1"/>
        <v>35.008695652173934</v>
      </c>
      <c r="K16" s="39">
        <f t="shared" si="20"/>
        <v>1064.8478260869572</v>
      </c>
      <c r="L16" s="39">
        <f t="shared" si="21"/>
        <v>6514.9855072463761</v>
      </c>
      <c r="N16">
        <f t="shared" si="2"/>
        <v>169.29756527822144</v>
      </c>
      <c r="O16">
        <f t="shared" si="3"/>
        <v>45304.373973687325</v>
      </c>
      <c r="P16">
        <f t="shared" si="9"/>
        <v>45.304373973687326</v>
      </c>
      <c r="Q16" s="161">
        <f t="shared" si="10"/>
        <v>2.5371383856638059</v>
      </c>
      <c r="S16" s="157">
        <f t="shared" si="11"/>
        <v>5.8228303139828359E-2</v>
      </c>
      <c r="T16" s="157">
        <v>0.05</v>
      </c>
      <c r="U16" s="157">
        <f t="shared" si="4"/>
        <v>5.8228303139828359E-2</v>
      </c>
      <c r="V16" s="157">
        <f t="shared" si="5"/>
        <v>6.6328381390711746E-2</v>
      </c>
      <c r="W16" s="157">
        <f t="shared" si="6"/>
        <v>0.15059061367743562</v>
      </c>
      <c r="Y16" s="157">
        <f t="shared" si="7"/>
        <v>-0.14820658056919056</v>
      </c>
      <c r="Z16" s="157">
        <f t="shared" si="12"/>
        <v>0.05</v>
      </c>
      <c r="AB16" s="2">
        <f>'Price Deck'!P10/'Price Deck'!M10</f>
        <v>8.2499999999999982</v>
      </c>
      <c r="AC16" s="161">
        <f t="shared" si="13"/>
        <v>2.5371383856638059</v>
      </c>
      <c r="AE16" s="161">
        <f t="shared" si="14"/>
        <v>8784.9945652173956</v>
      </c>
      <c r="AF16">
        <f t="shared" si="15"/>
        <v>0.05</v>
      </c>
      <c r="AG16" s="165">
        <f t="shared" si="16"/>
        <v>439.2497282608698</v>
      </c>
      <c r="AH16" s="165">
        <f t="shared" si="17"/>
        <v>0.18149999999999997</v>
      </c>
    </row>
    <row r="17" spans="1:34">
      <c r="A17" t="str">
        <f>'Price Deck'!A11</f>
        <v>09/2019</v>
      </c>
      <c r="B17" s="39">
        <f>'Liquids Type Curve'!A24</f>
        <v>0.3415065722952475</v>
      </c>
      <c r="C17" s="39">
        <f>'Liquids Type Curve'!B24</f>
        <v>4.09807886754297</v>
      </c>
      <c r="D17" s="39">
        <f>'Liquids Type Curve'!C24</f>
        <v>84.7826086956522</v>
      </c>
      <c r="E17" s="39">
        <f>'Liquids Type Curve'!D24</f>
        <v>2578.8043478260879</v>
      </c>
      <c r="F17" s="39">
        <f>'Liquids Type Curve'!E24</f>
        <v>15248.007246376814</v>
      </c>
      <c r="H17" s="39">
        <f t="shared" si="18"/>
        <v>0.3415065722952475</v>
      </c>
      <c r="I17" s="39">
        <f t="shared" si="19"/>
        <v>4.09807886754297</v>
      </c>
      <c r="J17" s="39">
        <f t="shared" si="1"/>
        <v>37.304347826086968</v>
      </c>
      <c r="K17" s="39">
        <f t="shared" si="20"/>
        <v>1134.6739130434787</v>
      </c>
      <c r="L17" s="39">
        <f t="shared" si="21"/>
        <v>7649.659420289855</v>
      </c>
      <c r="N17">
        <f t="shared" si="2"/>
        <v>180.39904496859657</v>
      </c>
      <c r="O17">
        <f t="shared" si="3"/>
        <v>48275.15259491271</v>
      </c>
      <c r="P17">
        <f t="shared" si="9"/>
        <v>48.275152594912711</v>
      </c>
      <c r="Q17" s="161">
        <f t="shared" si="10"/>
        <v>2.5371383856638059</v>
      </c>
      <c r="S17" s="157">
        <f t="shared" si="11"/>
        <v>5.8228303139828359E-2</v>
      </c>
      <c r="T17" s="157">
        <v>0.05</v>
      </c>
      <c r="U17" s="157">
        <f t="shared" si="4"/>
        <v>5.8228303139828359E-2</v>
      </c>
      <c r="V17" s="157">
        <f t="shared" si="5"/>
        <v>6.6328381390711746E-2</v>
      </c>
      <c r="W17" s="157">
        <f t="shared" si="6"/>
        <v>0.15059061367743562</v>
      </c>
      <c r="Y17" s="157">
        <f t="shared" si="7"/>
        <v>-0.1467399071638916</v>
      </c>
      <c r="Z17" s="157">
        <f t="shared" si="12"/>
        <v>0.05</v>
      </c>
      <c r="AB17" s="2">
        <f>'Price Deck'!P11/'Price Deck'!M11</f>
        <v>8.2499999999999982</v>
      </c>
      <c r="AC17" s="161">
        <f t="shared" si="13"/>
        <v>2.5371383856638059</v>
      </c>
      <c r="AE17" s="161">
        <f t="shared" si="14"/>
        <v>9361.0597826086978</v>
      </c>
      <c r="AF17">
        <f t="shared" si="15"/>
        <v>0.05</v>
      </c>
      <c r="AG17" s="165">
        <f t="shared" si="16"/>
        <v>468.05298913043492</v>
      </c>
      <c r="AH17" s="165">
        <f t="shared" si="17"/>
        <v>0.18149999999999999</v>
      </c>
    </row>
    <row r="18" spans="1:34">
      <c r="A18" t="str">
        <f>'Price Deck'!A12</f>
        <v>10/2019</v>
      </c>
      <c r="B18" s="39">
        <f>'Liquids Type Curve'!A25</f>
        <v>0.38220424671385161</v>
      </c>
      <c r="C18" s="39">
        <f>'Liquids Type Curve'!B25</f>
        <v>4.5864509605662196</v>
      </c>
      <c r="D18" s="39">
        <f>'Liquids Type Curve'!C25</f>
        <v>84.7826086956522</v>
      </c>
      <c r="E18" s="39">
        <f>'Liquids Type Curve'!D25</f>
        <v>2578.8043478260879</v>
      </c>
      <c r="F18" s="39">
        <f>'Liquids Type Curve'!E25</f>
        <v>17826.811594202904</v>
      </c>
      <c r="H18" s="39">
        <f t="shared" si="18"/>
        <v>0.38220424671385161</v>
      </c>
      <c r="I18" s="39">
        <f t="shared" si="19"/>
        <v>4.5864509605662196</v>
      </c>
      <c r="J18" s="39">
        <f t="shared" si="1"/>
        <v>37.304347826086968</v>
      </c>
      <c r="K18" s="39">
        <f t="shared" si="20"/>
        <v>1134.6739130434787</v>
      </c>
      <c r="L18" s="39">
        <f t="shared" si="21"/>
        <v>8784.3333333333339</v>
      </c>
      <c r="N18">
        <f t="shared" si="2"/>
        <v>180.39904496859657</v>
      </c>
      <c r="O18">
        <f t="shared" si="3"/>
        <v>48275.15259491271</v>
      </c>
      <c r="P18">
        <f t="shared" si="9"/>
        <v>48.275152594912711</v>
      </c>
      <c r="Q18" s="161">
        <f t="shared" si="10"/>
        <v>2.5371383856638059</v>
      </c>
      <c r="S18" s="157">
        <f t="shared" si="11"/>
        <v>5.8228303139828359E-2</v>
      </c>
      <c r="T18" s="157">
        <v>0.05</v>
      </c>
      <c r="U18" s="157">
        <f t="shared" si="4"/>
        <v>5.8228303139828359E-2</v>
      </c>
      <c r="V18" s="157">
        <f t="shared" si="5"/>
        <v>6.6328381390711746E-2</v>
      </c>
      <c r="W18" s="157">
        <f t="shared" si="6"/>
        <v>0.15059061367743562</v>
      </c>
      <c r="Y18" s="157">
        <f t="shared" si="7"/>
        <v>-0.1467399071638916</v>
      </c>
      <c r="Z18" s="157">
        <f t="shared" si="12"/>
        <v>0.05</v>
      </c>
      <c r="AB18" s="2">
        <f>'Price Deck'!P12/'Price Deck'!M12</f>
        <v>8.2499999999999982</v>
      </c>
      <c r="AC18" s="161">
        <f t="shared" si="13"/>
        <v>2.5371383856638059</v>
      </c>
      <c r="AE18" s="161">
        <f t="shared" si="14"/>
        <v>9361.0597826086978</v>
      </c>
      <c r="AF18">
        <f t="shared" si="15"/>
        <v>0.05</v>
      </c>
      <c r="AG18" s="165">
        <f t="shared" si="16"/>
        <v>468.05298913043492</v>
      </c>
      <c r="AH18" s="165">
        <f t="shared" si="17"/>
        <v>0.18149999999999999</v>
      </c>
    </row>
    <row r="19" spans="1:34">
      <c r="A19" t="str">
        <f>'Price Deck'!A13</f>
        <v>11/2019</v>
      </c>
      <c r="B19" s="39">
        <f>'Liquids Type Curve'!A26</f>
        <v>0.4165824064711825</v>
      </c>
      <c r="C19" s="39">
        <f>'Liquids Type Curve'!B26</f>
        <v>4.99898887765419</v>
      </c>
      <c r="D19" s="39">
        <f>'Liquids Type Curve'!C26</f>
        <v>88.260869565217405</v>
      </c>
      <c r="E19" s="39">
        <f>'Liquids Type Curve'!D26</f>
        <v>2684.6014492753629</v>
      </c>
      <c r="F19" s="39">
        <f>'Liquids Type Curve'!E26</f>
        <v>20511.413043478267</v>
      </c>
      <c r="H19" s="39">
        <f t="shared" si="18"/>
        <v>0.4165824064711825</v>
      </c>
      <c r="I19" s="39">
        <f t="shared" si="19"/>
        <v>4.99898887765419</v>
      </c>
      <c r="J19" s="39">
        <f t="shared" si="1"/>
        <v>38.834782608695662</v>
      </c>
      <c r="K19" s="39">
        <f t="shared" si="20"/>
        <v>1181.2246376811597</v>
      </c>
      <c r="L19" s="39">
        <f t="shared" si="21"/>
        <v>9965.5579710144939</v>
      </c>
      <c r="N19">
        <f t="shared" si="2"/>
        <v>187.80003142884667</v>
      </c>
      <c r="O19">
        <f t="shared" si="3"/>
        <v>50255.671675729638</v>
      </c>
      <c r="P19">
        <f t="shared" si="9"/>
        <v>50.255671675729637</v>
      </c>
      <c r="Q19" s="161">
        <f t="shared" si="10"/>
        <v>2.5371383856638059</v>
      </c>
      <c r="S19" s="157">
        <f t="shared" si="11"/>
        <v>5.8228303139828359E-2</v>
      </c>
      <c r="T19" s="157">
        <v>0.05</v>
      </c>
      <c r="U19" s="157">
        <f t="shared" si="4"/>
        <v>5.8228303139828359E-2</v>
      </c>
      <c r="V19" s="157">
        <f t="shared" si="5"/>
        <v>6.6328381390711746E-2</v>
      </c>
      <c r="W19" s="157">
        <f t="shared" si="6"/>
        <v>0.15059061367743562</v>
      </c>
      <c r="Y19" s="157">
        <f t="shared" si="7"/>
        <v>-0.14576212489369231</v>
      </c>
      <c r="Z19" s="157">
        <f t="shared" si="12"/>
        <v>0.05</v>
      </c>
      <c r="AB19" s="2">
        <f>'Price Deck'!P13/'Price Deck'!M13</f>
        <v>8.2499999999999982</v>
      </c>
      <c r="AC19" s="161">
        <f t="shared" si="13"/>
        <v>2.5371383856638059</v>
      </c>
      <c r="AE19" s="161">
        <f t="shared" si="14"/>
        <v>9745.1032608695659</v>
      </c>
      <c r="AF19">
        <f t="shared" si="15"/>
        <v>0.05</v>
      </c>
      <c r="AG19" s="165">
        <f t="shared" si="16"/>
        <v>487.25516304347832</v>
      </c>
      <c r="AH19" s="165">
        <f t="shared" si="17"/>
        <v>0.18149999999999997</v>
      </c>
    </row>
    <row r="20" spans="1:34">
      <c r="A20" t="str">
        <f>'Price Deck'!A14</f>
        <v>12/2019</v>
      </c>
      <c r="B20" s="39">
        <f>'Liquids Type Curve'!A27</f>
        <v>0.48559150657229505</v>
      </c>
      <c r="C20" s="39">
        <f>'Liquids Type Curve'!B27</f>
        <v>5.8270980788675404</v>
      </c>
      <c r="D20" s="39">
        <f>'Liquids Type Curve'!C27</f>
        <v>93.478260869565304</v>
      </c>
      <c r="E20" s="39">
        <f>'Liquids Type Curve'!D27</f>
        <v>2843.2971014492782</v>
      </c>
      <c r="F20" s="39">
        <f>'Liquids Type Curve'!E27</f>
        <v>23354.710144927547</v>
      </c>
      <c r="H20" s="39">
        <f t="shared" si="18"/>
        <v>0.48559150657229505</v>
      </c>
      <c r="I20" s="39">
        <f t="shared" si="19"/>
        <v>5.8270980788675404</v>
      </c>
      <c r="J20" s="39">
        <f t="shared" si="1"/>
        <v>41.130434782608731</v>
      </c>
      <c r="K20" s="39">
        <f t="shared" si="20"/>
        <v>1251.0507246376824</v>
      </c>
      <c r="L20" s="39">
        <f t="shared" si="21"/>
        <v>11216.608695652176</v>
      </c>
      <c r="N20">
        <f t="shared" si="2"/>
        <v>198.90151111922196</v>
      </c>
      <c r="O20">
        <f t="shared" si="3"/>
        <v>53226.450296955067</v>
      </c>
      <c r="P20">
        <f t="shared" si="9"/>
        <v>53.226450296955065</v>
      </c>
      <c r="Q20" s="161">
        <f t="shared" si="10"/>
        <v>2.5371383856638059</v>
      </c>
      <c r="S20" s="157">
        <f t="shared" si="11"/>
        <v>5.8228303139828359E-2</v>
      </c>
      <c r="T20" s="157">
        <v>0.05</v>
      </c>
      <c r="U20" s="157">
        <f t="shared" si="4"/>
        <v>5.8228303139828359E-2</v>
      </c>
      <c r="V20" s="157">
        <f t="shared" si="5"/>
        <v>6.6328381390711746E-2</v>
      </c>
      <c r="W20" s="157">
        <f t="shared" si="6"/>
        <v>0.15059061367743562</v>
      </c>
      <c r="Y20" s="157">
        <f t="shared" si="7"/>
        <v>-0.14429545148839329</v>
      </c>
      <c r="Z20" s="157">
        <f t="shared" si="12"/>
        <v>0.05</v>
      </c>
      <c r="AB20" s="2">
        <f>'Price Deck'!P14/'Price Deck'!M14</f>
        <v>8.2499999999999982</v>
      </c>
      <c r="AC20" s="161">
        <f t="shared" si="13"/>
        <v>2.5371383856638059</v>
      </c>
      <c r="AE20" s="161">
        <f t="shared" si="14"/>
        <v>10321.168478260877</v>
      </c>
      <c r="AF20">
        <f t="shared" si="15"/>
        <v>0.05</v>
      </c>
      <c r="AG20" s="165">
        <f t="shared" si="16"/>
        <v>516.05842391304384</v>
      </c>
      <c r="AH20" s="165">
        <f t="shared" si="17"/>
        <v>0.18149999999999994</v>
      </c>
    </row>
    <row r="21" spans="1:34">
      <c r="A21" t="str">
        <f>'Price Deck'!A15</f>
        <v>01/2020</v>
      </c>
      <c r="B21" s="39">
        <f>'Liquids Type Curve'!A28</f>
        <v>0.55535894843276001</v>
      </c>
      <c r="C21" s="39">
        <f>'Liquids Type Curve'!B28</f>
        <v>6.6643073811931197</v>
      </c>
      <c r="D21" s="39">
        <f>'Liquids Type Curve'!C28</f>
        <v>93.478260869565304</v>
      </c>
      <c r="E21" s="39">
        <f>'Liquids Type Curve'!D28</f>
        <v>2843.2971014492782</v>
      </c>
      <c r="F21" s="39">
        <f>'Liquids Type Curve'!E28</f>
        <v>26198.007246376827</v>
      </c>
      <c r="H21" s="39">
        <f t="shared" si="18"/>
        <v>0.55535894843276001</v>
      </c>
      <c r="I21" s="39">
        <f t="shared" si="19"/>
        <v>6.6643073811931197</v>
      </c>
      <c r="J21" s="39">
        <f t="shared" si="1"/>
        <v>41.130434782608731</v>
      </c>
      <c r="K21" s="39">
        <f t="shared" si="20"/>
        <v>1251.0507246376824</v>
      </c>
      <c r="L21" s="39">
        <f t="shared" si="21"/>
        <v>12467.659420289858</v>
      </c>
      <c r="N21">
        <f t="shared" si="2"/>
        <v>198.90151111922196</v>
      </c>
      <c r="O21">
        <f t="shared" si="3"/>
        <v>53226.450296955067</v>
      </c>
      <c r="P21">
        <f t="shared" si="9"/>
        <v>53.226450296955065</v>
      </c>
      <c r="Q21" s="161">
        <f t="shared" si="10"/>
        <v>3.0003114686342132</v>
      </c>
      <c r="S21" s="157">
        <f t="shared" si="11"/>
        <v>8.60186881180528E-2</v>
      </c>
      <c r="T21" s="157">
        <v>0.05</v>
      </c>
      <c r="U21" s="157">
        <f t="shared" si="4"/>
        <v>8.60186881180528E-2</v>
      </c>
      <c r="V21" s="157">
        <f t="shared" si="5"/>
        <v>8.6013237416954047E-2</v>
      </c>
      <c r="W21" s="157">
        <f t="shared" si="6"/>
        <v>0.16101200804426979</v>
      </c>
      <c r="Y21" s="157">
        <f t="shared" si="7"/>
        <v>-0.14429545148839329</v>
      </c>
      <c r="Z21" s="157">
        <f t="shared" si="12"/>
        <v>0.05</v>
      </c>
      <c r="AB21" s="2">
        <f>'Price Deck'!P15/'Price Deck'!M15</f>
        <v>9.7560975609756095</v>
      </c>
      <c r="AC21" s="161">
        <f t="shared" si="13"/>
        <v>3.0003114686342132</v>
      </c>
      <c r="AE21" s="161">
        <f t="shared" si="14"/>
        <v>12205.372923294462</v>
      </c>
      <c r="AF21">
        <f t="shared" si="15"/>
        <v>0.05</v>
      </c>
      <c r="AG21" s="165">
        <f t="shared" si="16"/>
        <v>610.26864616472312</v>
      </c>
      <c r="AH21" s="165">
        <f t="shared" si="17"/>
        <v>0.21463414634146341</v>
      </c>
    </row>
    <row r="22" spans="1:34">
      <c r="A22" t="str">
        <f>'Price Deck'!A16</f>
        <v>02/2020</v>
      </c>
      <c r="B22" s="39">
        <f>'Liquids Type Curve'!A29</f>
        <v>0.61931243680485337</v>
      </c>
      <c r="C22" s="39">
        <f>'Liquids Type Curve'!B29</f>
        <v>7.43174924165824</v>
      </c>
      <c r="D22" s="39">
        <f>'Liquids Type Curve'!C29</f>
        <v>93.478260869565304</v>
      </c>
      <c r="E22" s="39">
        <f>'Liquids Type Curve'!D29</f>
        <v>2843.2971014492782</v>
      </c>
      <c r="F22" s="39">
        <f>'Liquids Type Curve'!E29</f>
        <v>29041.304347826106</v>
      </c>
      <c r="H22" s="39">
        <f t="shared" si="18"/>
        <v>0.61931243680485337</v>
      </c>
      <c r="I22" s="39">
        <f t="shared" si="19"/>
        <v>7.43174924165824</v>
      </c>
      <c r="J22" s="39">
        <f t="shared" si="1"/>
        <v>41.130434782608731</v>
      </c>
      <c r="K22" s="39">
        <f t="shared" si="20"/>
        <v>1251.0507246376824</v>
      </c>
      <c r="L22" s="39">
        <f t="shared" si="21"/>
        <v>13718.71014492754</v>
      </c>
      <c r="N22">
        <f t="shared" si="2"/>
        <v>198.90151111922196</v>
      </c>
      <c r="O22">
        <f t="shared" si="3"/>
        <v>53226.450296955067</v>
      </c>
      <c r="P22">
        <f t="shared" si="9"/>
        <v>53.226450296955065</v>
      </c>
      <c r="Q22" s="161">
        <f t="shared" si="10"/>
        <v>3.0003114686342132</v>
      </c>
      <c r="S22" s="157">
        <f t="shared" si="11"/>
        <v>8.60186881180528E-2</v>
      </c>
      <c r="T22" s="157">
        <v>0.05</v>
      </c>
      <c r="U22" s="157">
        <f t="shared" si="4"/>
        <v>8.60186881180528E-2</v>
      </c>
      <c r="V22" s="157">
        <f t="shared" si="5"/>
        <v>8.6013237416954047E-2</v>
      </c>
      <c r="W22" s="157">
        <f t="shared" si="6"/>
        <v>0.16101200804426979</v>
      </c>
      <c r="Y22" s="157">
        <f t="shared" si="7"/>
        <v>-0.14429545148839329</v>
      </c>
      <c r="Z22" s="157">
        <f t="shared" si="12"/>
        <v>0.05</v>
      </c>
      <c r="AB22" s="2">
        <f>'Price Deck'!P16/'Price Deck'!M16</f>
        <v>9.7560975609756095</v>
      </c>
      <c r="AC22" s="161">
        <f t="shared" si="13"/>
        <v>3.0003114686342132</v>
      </c>
      <c r="AE22" s="161">
        <f t="shared" si="14"/>
        <v>12205.372923294462</v>
      </c>
      <c r="AF22">
        <f t="shared" si="15"/>
        <v>0.05</v>
      </c>
      <c r="AG22" s="165">
        <f t="shared" si="16"/>
        <v>610.26864616472312</v>
      </c>
      <c r="AH22" s="165">
        <f t="shared" si="17"/>
        <v>0.21463414634146341</v>
      </c>
    </row>
    <row r="23" spans="1:34">
      <c r="A23" t="str">
        <f>'Price Deck'!A17</f>
        <v>03/2020</v>
      </c>
      <c r="B23" s="39">
        <f>'Liquids Type Curve'!A30</f>
        <v>0.67189079878665325</v>
      </c>
      <c r="C23" s="39">
        <f>'Liquids Type Curve'!B30</f>
        <v>8.0626895854398395</v>
      </c>
      <c r="D23" s="39">
        <f>'Liquids Type Curve'!C30</f>
        <v>92</v>
      </c>
      <c r="E23" s="39">
        <f>'Liquids Type Curve'!D30</f>
        <v>2798.3333333333335</v>
      </c>
      <c r="F23" s="39">
        <f>'Liquids Type Curve'!E30</f>
        <v>31839.637681159438</v>
      </c>
      <c r="H23" s="39">
        <f t="shared" si="18"/>
        <v>0.67189079878665325</v>
      </c>
      <c r="I23" s="39">
        <f t="shared" si="19"/>
        <v>8.0626895854398395</v>
      </c>
      <c r="J23" s="39">
        <f t="shared" si="1"/>
        <v>40.479999999999997</v>
      </c>
      <c r="K23" s="39">
        <f t="shared" si="20"/>
        <v>1231.2666666666667</v>
      </c>
      <c r="L23" s="39">
        <f t="shared" si="21"/>
        <v>14949.976811594206</v>
      </c>
      <c r="N23">
        <f t="shared" si="2"/>
        <v>195.75609187361547</v>
      </c>
      <c r="O23">
        <f t="shared" si="3"/>
        <v>52384.729687607818</v>
      </c>
      <c r="P23">
        <f t="shared" si="9"/>
        <v>52.384729687607816</v>
      </c>
      <c r="Q23" s="161">
        <f t="shared" si="10"/>
        <v>3.0003114686342132</v>
      </c>
      <c r="S23" s="157">
        <f t="shared" si="11"/>
        <v>8.60186881180528E-2</v>
      </c>
      <c r="T23" s="157">
        <v>0.05</v>
      </c>
      <c r="U23" s="157">
        <f t="shared" si="4"/>
        <v>8.60186881180528E-2</v>
      </c>
      <c r="V23" s="157">
        <f t="shared" si="5"/>
        <v>8.6013237416954047E-2</v>
      </c>
      <c r="W23" s="157">
        <f t="shared" si="6"/>
        <v>0.16101200804426979</v>
      </c>
      <c r="Y23" s="157">
        <f t="shared" si="7"/>
        <v>-0.14471100895322803</v>
      </c>
      <c r="Z23" s="157">
        <f t="shared" si="12"/>
        <v>0.05</v>
      </c>
      <c r="AB23" s="2">
        <f>'Price Deck'!P17/'Price Deck'!M17</f>
        <v>9.7560975609756095</v>
      </c>
      <c r="AC23" s="161">
        <f t="shared" si="13"/>
        <v>3.0003114686342132</v>
      </c>
      <c r="AE23" s="161">
        <f t="shared" si="14"/>
        <v>12012.357723577235</v>
      </c>
      <c r="AF23">
        <f t="shared" si="15"/>
        <v>0.05</v>
      </c>
      <c r="AG23" s="165">
        <f t="shared" si="16"/>
        <v>600.6178861788618</v>
      </c>
      <c r="AH23" s="165">
        <f t="shared" si="17"/>
        <v>0.21463414634146341</v>
      </c>
    </row>
    <row r="24" spans="1:34">
      <c r="A24" t="str">
        <f>'Price Deck'!A18</f>
        <v>04/2020</v>
      </c>
      <c r="B24" s="39">
        <f>'Liquids Type Curve'!A31</f>
        <v>0.75522413211998662</v>
      </c>
      <c r="C24" s="39">
        <f>'Liquids Type Curve'!B31</f>
        <v>9.0626895854398395</v>
      </c>
      <c r="D24" s="39">
        <f>'Liquids Type Curve'!C31</f>
        <v>87.321809873686405</v>
      </c>
      <c r="E24" s="39">
        <f>'Liquids Type Curve'!D31</f>
        <v>2656.0383836579617</v>
      </c>
      <c r="F24" s="39">
        <f>'Liquids Type Curve'!E31</f>
        <v>34495.676064817402</v>
      </c>
      <c r="H24" s="39">
        <f t="shared" si="18"/>
        <v>0.75522413211998662</v>
      </c>
      <c r="I24" s="39">
        <f t="shared" si="19"/>
        <v>9.0626895854398395</v>
      </c>
      <c r="J24" s="39">
        <f t="shared" si="1"/>
        <v>38.421596344422021</v>
      </c>
      <c r="K24" s="39">
        <f t="shared" si="20"/>
        <v>1168.6568888095032</v>
      </c>
      <c r="L24" s="39">
        <f t="shared" si="21"/>
        <v>16118.633700403709</v>
      </c>
      <c r="N24">
        <f t="shared" si="2"/>
        <v>185.80191561091024</v>
      </c>
      <c r="O24">
        <f t="shared" si="3"/>
        <v>49720.971805062465</v>
      </c>
      <c r="P24">
        <f t="shared" si="9"/>
        <v>49.720971805062462</v>
      </c>
      <c r="Q24" s="161">
        <f t="shared" si="10"/>
        <v>3.0003114686342132</v>
      </c>
      <c r="S24" s="157">
        <f t="shared" si="11"/>
        <v>8.60186881180528E-2</v>
      </c>
      <c r="T24" s="157">
        <v>0.05</v>
      </c>
      <c r="U24" s="157">
        <f t="shared" si="4"/>
        <v>8.60186881180528E-2</v>
      </c>
      <c r="V24" s="157">
        <f t="shared" si="5"/>
        <v>8.6013237416954047E-2</v>
      </c>
      <c r="W24" s="157">
        <f t="shared" si="6"/>
        <v>0.16101200804426979</v>
      </c>
      <c r="Y24" s="157">
        <f t="shared" si="7"/>
        <v>-0.14602610621984066</v>
      </c>
      <c r="Z24" s="157">
        <f t="shared" si="12"/>
        <v>0.05</v>
      </c>
      <c r="AB24" s="2">
        <f>'Price Deck'!P18/'Price Deck'!M18</f>
        <v>9.7560975609756095</v>
      </c>
      <c r="AC24" s="161">
        <f t="shared" si="13"/>
        <v>3.0003114686342132</v>
      </c>
      <c r="AE24" s="161">
        <f t="shared" si="14"/>
        <v>11401.530622531738</v>
      </c>
      <c r="AF24">
        <f t="shared" si="15"/>
        <v>0.05</v>
      </c>
      <c r="AG24" s="165">
        <f t="shared" si="16"/>
        <v>570.07653112658693</v>
      </c>
      <c r="AH24" s="165">
        <f t="shared" si="17"/>
        <v>0.21463414634146341</v>
      </c>
    </row>
    <row r="25" spans="1:34">
      <c r="A25" t="str">
        <f>'Price Deck'!A19</f>
        <v>05/2020</v>
      </c>
      <c r="B25" s="39">
        <f>'Liquids Type Curve'!A32</f>
        <v>0.83855746545331999</v>
      </c>
      <c r="C25" s="39">
        <f>'Liquids Type Curve'!B32</f>
        <v>10.062689585439839</v>
      </c>
      <c r="D25" s="39">
        <f>'Liquids Type Curve'!C32</f>
        <v>79.205102425857348</v>
      </c>
      <c r="E25" s="39">
        <f>'Liquids Type Curve'!D32</f>
        <v>2409.1551987864946</v>
      </c>
      <c r="F25" s="39">
        <f>'Liquids Type Curve'!E32</f>
        <v>36904.831263603897</v>
      </c>
      <c r="H25" s="39">
        <f t="shared" si="18"/>
        <v>0.83855746545331999</v>
      </c>
      <c r="I25" s="39">
        <f t="shared" si="19"/>
        <v>10.062689585439839</v>
      </c>
      <c r="J25" s="39">
        <f t="shared" si="1"/>
        <v>34.85024506737723</v>
      </c>
      <c r="K25" s="39">
        <f t="shared" si="20"/>
        <v>1060.0282874660575</v>
      </c>
      <c r="L25" s="39">
        <f t="shared" si="21"/>
        <v>17178.661987869767</v>
      </c>
      <c r="N25">
        <f t="shared" si="2"/>
        <v>168.53131855799191</v>
      </c>
      <c r="O25">
        <f t="shared" si="3"/>
        <v>45099.324787585087</v>
      </c>
      <c r="P25">
        <f t="shared" si="9"/>
        <v>45.09932478758509</v>
      </c>
      <c r="Q25" s="161">
        <f t="shared" si="10"/>
        <v>3.0003114686342132</v>
      </c>
      <c r="S25" s="157">
        <f t="shared" si="11"/>
        <v>8.60186881180528E-2</v>
      </c>
      <c r="T25" s="157">
        <v>0.05</v>
      </c>
      <c r="U25" s="157">
        <f t="shared" si="4"/>
        <v>8.60186881180528E-2</v>
      </c>
      <c r="V25" s="157">
        <f t="shared" si="5"/>
        <v>8.6013237416954047E-2</v>
      </c>
      <c r="W25" s="157">
        <f t="shared" si="6"/>
        <v>0.16101200804426979</v>
      </c>
      <c r="Y25" s="157">
        <f t="shared" si="7"/>
        <v>-0.14830781335236926</v>
      </c>
      <c r="Z25" s="157">
        <f t="shared" si="12"/>
        <v>0.05</v>
      </c>
      <c r="AB25" s="2">
        <f>'Price Deck'!P19/'Price Deck'!M19</f>
        <v>9.7560975609756095</v>
      </c>
      <c r="AC25" s="161">
        <f t="shared" si="13"/>
        <v>3.0003114686342132</v>
      </c>
      <c r="AE25" s="161">
        <f t="shared" si="14"/>
        <v>10341.739389912755</v>
      </c>
      <c r="AF25">
        <f t="shared" si="15"/>
        <v>0.05</v>
      </c>
      <c r="AG25" s="165">
        <f t="shared" si="16"/>
        <v>517.08696949563773</v>
      </c>
      <c r="AH25" s="165">
        <f t="shared" si="17"/>
        <v>0.21463414634146336</v>
      </c>
    </row>
    <row r="26" spans="1:34">
      <c r="A26" t="str">
        <f>'Price Deck'!A20</f>
        <v>06/2020</v>
      </c>
      <c r="B26" s="39">
        <f>'Liquids Type Curve'!A33</f>
        <v>0.92189079878665336</v>
      </c>
      <c r="C26" s="39">
        <f>'Liquids Type Curve'!B33</f>
        <v>11.062689585439841</v>
      </c>
      <c r="D26" s="39">
        <f>'Liquids Type Curve'!C33</f>
        <v>72.510543092929751</v>
      </c>
      <c r="E26" s="39">
        <f>'Liquids Type Curve'!D33</f>
        <v>2205.5290190766132</v>
      </c>
      <c r="F26" s="39">
        <f>'Liquids Type Curve'!E33</f>
        <v>39110.360282680507</v>
      </c>
      <c r="H26" s="39">
        <f t="shared" si="18"/>
        <v>0.92189079878665336</v>
      </c>
      <c r="I26" s="39">
        <f t="shared" si="19"/>
        <v>11.062689585439841</v>
      </c>
      <c r="J26" s="39">
        <f t="shared" si="1"/>
        <v>31.904638960889091</v>
      </c>
      <c r="K26" s="39">
        <f t="shared" si="20"/>
        <v>970.43276839370992</v>
      </c>
      <c r="L26" s="39">
        <f t="shared" si="21"/>
        <v>18149.094756263476</v>
      </c>
      <c r="N26">
        <f t="shared" si="2"/>
        <v>154.2867449511447</v>
      </c>
      <c r="O26">
        <f t="shared" si="3"/>
        <v>41287.447819834393</v>
      </c>
      <c r="P26">
        <f t="shared" si="9"/>
        <v>41.287447819834391</v>
      </c>
      <c r="Q26" s="161">
        <f t="shared" si="10"/>
        <v>3.0003114686342132</v>
      </c>
      <c r="S26" s="157">
        <f t="shared" si="11"/>
        <v>8.60186881180528E-2</v>
      </c>
      <c r="T26" s="157">
        <v>0.05</v>
      </c>
      <c r="U26" s="157">
        <f t="shared" si="4"/>
        <v>8.60186881180528E-2</v>
      </c>
      <c r="V26" s="157">
        <f t="shared" si="5"/>
        <v>8.6013237416954047E-2</v>
      </c>
      <c r="W26" s="157">
        <f t="shared" si="6"/>
        <v>0.16101200804426979</v>
      </c>
      <c r="Y26" s="157">
        <f t="shared" si="7"/>
        <v>-0.15018973701134777</v>
      </c>
      <c r="Z26" s="157">
        <f t="shared" si="12"/>
        <v>0.05</v>
      </c>
      <c r="AB26" s="2">
        <f>'Price Deck'!P20/'Price Deck'!M20</f>
        <v>9.7560975609756095</v>
      </c>
      <c r="AC26" s="161">
        <f t="shared" si="13"/>
        <v>3.0003114686342132</v>
      </c>
      <c r="AE26" s="161">
        <f t="shared" si="14"/>
        <v>9467.6367648166815</v>
      </c>
      <c r="AF26">
        <f t="shared" si="15"/>
        <v>0.05</v>
      </c>
      <c r="AG26" s="165">
        <f t="shared" si="16"/>
        <v>473.3818382408341</v>
      </c>
      <c r="AH26" s="165">
        <f t="shared" si="17"/>
        <v>0.21463414634146344</v>
      </c>
    </row>
    <row r="27" spans="1:34">
      <c r="A27" t="str">
        <f>'Price Deck'!A21</f>
        <v>07/2020</v>
      </c>
      <c r="B27" s="39">
        <f>'Liquids Type Curve'!A34</f>
        <v>1.0052241321199866</v>
      </c>
      <c r="C27" s="39">
        <f>'Liquids Type Curve'!B34</f>
        <v>12.062689585439839</v>
      </c>
      <c r="D27" s="39">
        <f>'Liquids Type Curve'!C34</f>
        <v>66.891412926135061</v>
      </c>
      <c r="E27" s="39">
        <f>'Liquids Type Curve'!D34</f>
        <v>2034.6138098366082</v>
      </c>
      <c r="F27" s="39">
        <f>'Liquids Type Curve'!E34</f>
        <v>41144.974092517114</v>
      </c>
      <c r="H27" s="39">
        <f t="shared" si="18"/>
        <v>1.0052241321199866</v>
      </c>
      <c r="I27" s="39">
        <f t="shared" si="19"/>
        <v>12.062689585439839</v>
      </c>
      <c r="J27" s="39">
        <f t="shared" si="1"/>
        <v>29.432221687499428</v>
      </c>
      <c r="K27" s="39">
        <f t="shared" si="20"/>
        <v>895.23007632810766</v>
      </c>
      <c r="L27" s="39">
        <f t="shared" si="21"/>
        <v>19044.324832591585</v>
      </c>
      <c r="N27">
        <f t="shared" si="2"/>
        <v>142.33045189483093</v>
      </c>
      <c r="O27">
        <f t="shared" si="3"/>
        <v>38087.91939736675</v>
      </c>
      <c r="P27">
        <f t="shared" si="9"/>
        <v>38.087919397366747</v>
      </c>
      <c r="Q27" s="161">
        <f t="shared" si="10"/>
        <v>3.0003114686342132</v>
      </c>
      <c r="S27" s="157">
        <f t="shared" si="11"/>
        <v>8.60186881180528E-2</v>
      </c>
      <c r="T27" s="157">
        <v>0.05</v>
      </c>
      <c r="U27" s="157">
        <f t="shared" si="4"/>
        <v>8.60186881180528E-2</v>
      </c>
      <c r="V27" s="157">
        <f t="shared" si="5"/>
        <v>8.6013237416954047E-2</v>
      </c>
      <c r="W27" s="157">
        <f t="shared" si="6"/>
        <v>0.16101200804426979</v>
      </c>
      <c r="Y27" s="157">
        <f t="shared" si="7"/>
        <v>-0.15176934419352003</v>
      </c>
      <c r="Z27" s="157">
        <f t="shared" si="12"/>
        <v>0.05</v>
      </c>
      <c r="AB27" s="2">
        <f>'Price Deck'!P21/'Price Deck'!M21</f>
        <v>9.7560975609756095</v>
      </c>
      <c r="AC27" s="161">
        <f t="shared" si="13"/>
        <v>3.0003114686342132</v>
      </c>
      <c r="AE27" s="161">
        <f t="shared" si="14"/>
        <v>8733.9519641766601</v>
      </c>
      <c r="AF27">
        <f t="shared" si="15"/>
        <v>0.05</v>
      </c>
      <c r="AG27" s="165">
        <f t="shared" si="16"/>
        <v>436.69759820883303</v>
      </c>
      <c r="AH27" s="165">
        <f t="shared" si="17"/>
        <v>0.21463414634146344</v>
      </c>
    </row>
    <row r="28" spans="1:34">
      <c r="A28" t="str">
        <f>'Price Deck'!A22</f>
        <v>08/2020</v>
      </c>
      <c r="B28" s="39">
        <f>'Liquids Type Curve'!A35</f>
        <v>1.0885574654533199</v>
      </c>
      <c r="C28" s="39">
        <f>'Liquids Type Curve'!B35</f>
        <v>13.062689585439838</v>
      </c>
      <c r="D28" s="39">
        <f>'Liquids Type Curve'!C35</f>
        <v>62.105653511985544</v>
      </c>
      <c r="E28" s="39">
        <f>'Liquids Type Curve'!D35</f>
        <v>1889.0469609895604</v>
      </c>
      <c r="F28" s="39">
        <f>'Liquids Type Curve'!E35</f>
        <v>43034.021053506673</v>
      </c>
      <c r="H28" s="39">
        <f t="shared" si="18"/>
        <v>1.0885574654533199</v>
      </c>
      <c r="I28" s="39">
        <f t="shared" si="19"/>
        <v>13.062689585439838</v>
      </c>
      <c r="J28" s="39">
        <f t="shared" si="1"/>
        <v>27.32648754527364</v>
      </c>
      <c r="K28" s="39">
        <f t="shared" si="20"/>
        <v>831.18066283540657</v>
      </c>
      <c r="L28" s="39">
        <f t="shared" si="21"/>
        <v>19875.505495426991</v>
      </c>
      <c r="N28">
        <f t="shared" si="2"/>
        <v>132.1473914648171</v>
      </c>
      <c r="O28">
        <f t="shared" si="3"/>
        <v>35362.911644539068</v>
      </c>
      <c r="P28">
        <f t="shared" si="9"/>
        <v>35.362911644539068</v>
      </c>
      <c r="Q28" s="161">
        <f t="shared" si="10"/>
        <v>3.0003114686342132</v>
      </c>
      <c r="S28" s="157">
        <f t="shared" si="11"/>
        <v>8.60186881180528E-2</v>
      </c>
      <c r="T28" s="157">
        <v>0.05</v>
      </c>
      <c r="U28" s="157">
        <f t="shared" si="4"/>
        <v>8.60186881180528E-2</v>
      </c>
      <c r="V28" s="157">
        <f t="shared" si="5"/>
        <v>8.6013237416954047E-2</v>
      </c>
      <c r="W28" s="157">
        <f t="shared" si="6"/>
        <v>0.16101200804426979</v>
      </c>
      <c r="Y28" s="157">
        <f t="shared" si="7"/>
        <v>-0.15311468052109106</v>
      </c>
      <c r="Z28" s="157">
        <f t="shared" si="12"/>
        <v>0.05</v>
      </c>
      <c r="AB28" s="2">
        <f>'Price Deck'!P22/'Price Deck'!M22</f>
        <v>9.7560975609756095</v>
      </c>
      <c r="AC28" s="161">
        <f t="shared" si="13"/>
        <v>3.0003114686342132</v>
      </c>
      <c r="AE28" s="161">
        <f t="shared" si="14"/>
        <v>8109.0796374186002</v>
      </c>
      <c r="AF28">
        <f t="shared" si="15"/>
        <v>0.05</v>
      </c>
      <c r="AG28" s="165">
        <f t="shared" si="16"/>
        <v>405.45398187093002</v>
      </c>
      <c r="AH28" s="165">
        <f t="shared" si="17"/>
        <v>0.21463414634146341</v>
      </c>
    </row>
    <row r="29" spans="1:34">
      <c r="A29" t="str">
        <f>'Price Deck'!A23</f>
        <v>09/2020</v>
      </c>
      <c r="B29" s="39">
        <f>'Liquids Type Curve'!A36</f>
        <v>1.1718907987866531</v>
      </c>
      <c r="C29" s="39">
        <f>'Liquids Type Curve'!B36</f>
        <v>14.062689585439838</v>
      </c>
      <c r="D29" s="39">
        <f>'Liquids Type Curve'!C36</f>
        <v>57.979063733217025</v>
      </c>
      <c r="E29" s="39">
        <f>'Liquids Type Curve'!D36</f>
        <v>1763.5298552186846</v>
      </c>
      <c r="F29" s="39">
        <f>'Liquids Type Curve'!E36</f>
        <v>44797.550908725359</v>
      </c>
      <c r="H29" s="39">
        <f t="shared" si="18"/>
        <v>1.1718907987866531</v>
      </c>
      <c r="I29" s="39">
        <f t="shared" si="19"/>
        <v>14.062689585439838</v>
      </c>
      <c r="J29" s="39">
        <f t="shared" si="1"/>
        <v>25.510788042615491</v>
      </c>
      <c r="K29" s="39">
        <f t="shared" si="20"/>
        <v>775.95313629622126</v>
      </c>
      <c r="L29" s="39">
        <f t="shared" si="21"/>
        <v>20651.458631723213</v>
      </c>
      <c r="N29">
        <f t="shared" si="2"/>
        <v>123.3669013794113</v>
      </c>
      <c r="O29">
        <f t="shared" si="3"/>
        <v>33013.234578316959</v>
      </c>
      <c r="P29">
        <f t="shared" si="9"/>
        <v>33.013234578316961</v>
      </c>
      <c r="Q29" s="161">
        <f t="shared" si="10"/>
        <v>3.0003114686342132</v>
      </c>
      <c r="S29" s="157">
        <f t="shared" si="11"/>
        <v>8.60186881180528E-2</v>
      </c>
      <c r="T29" s="157">
        <v>0.05</v>
      </c>
      <c r="U29" s="157">
        <f t="shared" si="4"/>
        <v>8.60186881180528E-2</v>
      </c>
      <c r="V29" s="157">
        <f t="shared" si="5"/>
        <v>8.6013237416954047E-2</v>
      </c>
      <c r="W29" s="157">
        <f t="shared" si="6"/>
        <v>0.16101200804426979</v>
      </c>
      <c r="Y29" s="157">
        <f t="shared" si="7"/>
        <v>-0.15427471608868493</v>
      </c>
      <c r="Z29" s="157">
        <f t="shared" si="12"/>
        <v>0.05</v>
      </c>
      <c r="AB29" s="2">
        <f>'Price Deck'!P23/'Price Deck'!M23</f>
        <v>9.7560975609756095</v>
      </c>
      <c r="AC29" s="161">
        <f t="shared" si="13"/>
        <v>3.0003114686342132</v>
      </c>
      <c r="AE29" s="161">
        <f t="shared" si="14"/>
        <v>7570.2745004509388</v>
      </c>
      <c r="AF29">
        <f t="shared" si="15"/>
        <v>0.05</v>
      </c>
      <c r="AG29" s="165">
        <f t="shared" si="16"/>
        <v>378.51372502254696</v>
      </c>
      <c r="AH29" s="165">
        <f t="shared" si="17"/>
        <v>0.21463414634146344</v>
      </c>
    </row>
    <row r="30" spans="1:34">
      <c r="A30" t="str">
        <f>'Price Deck'!A24</f>
        <v>10/2020</v>
      </c>
      <c r="B30" s="39">
        <f>'Liquids Type Curve'!A37</f>
        <v>1.2552241321199864</v>
      </c>
      <c r="C30" s="39">
        <f>'Liquids Type Curve'!B37</f>
        <v>15.062689585439838</v>
      </c>
      <c r="D30" s="39">
        <f>'Liquids Type Curve'!C37</f>
        <v>54.383026565659094</v>
      </c>
      <c r="E30" s="39">
        <f>'Liquids Type Curve'!D37</f>
        <v>1654.1503913721308</v>
      </c>
      <c r="F30" s="39">
        <f>'Liquids Type Curve'!E37</f>
        <v>46451.701300097491</v>
      </c>
      <c r="H30" s="39">
        <f t="shared" si="18"/>
        <v>1.2552241321199864</v>
      </c>
      <c r="I30" s="39">
        <f t="shared" si="19"/>
        <v>15.062689585439838</v>
      </c>
      <c r="J30" s="39">
        <f t="shared" si="1"/>
        <v>23.928531688890001</v>
      </c>
      <c r="K30" s="39">
        <f t="shared" si="20"/>
        <v>727.82617220373754</v>
      </c>
      <c r="L30" s="39">
        <f t="shared" si="21"/>
        <v>21379.284803926952</v>
      </c>
      <c r="N30">
        <f t="shared" si="2"/>
        <v>115.71531244296123</v>
      </c>
      <c r="O30">
        <f t="shared" si="3"/>
        <v>30965.653763435294</v>
      </c>
      <c r="P30">
        <f t="shared" si="9"/>
        <v>30.965653763435295</v>
      </c>
      <c r="Q30" s="161">
        <f t="shared" si="10"/>
        <v>3.0003114686342132</v>
      </c>
      <c r="S30" s="157">
        <f t="shared" si="11"/>
        <v>8.60186881180528E-2</v>
      </c>
      <c r="T30" s="157">
        <v>0.05</v>
      </c>
      <c r="U30" s="157">
        <f t="shared" si="4"/>
        <v>8.60186881180528E-2</v>
      </c>
      <c r="V30" s="157">
        <f t="shared" si="5"/>
        <v>8.6013237416954047E-2</v>
      </c>
      <c r="W30" s="157">
        <f t="shared" si="6"/>
        <v>0.16101200804426979</v>
      </c>
      <c r="Y30" s="157">
        <f t="shared" si="7"/>
        <v>-0.15528560673699202</v>
      </c>
      <c r="Z30" s="157">
        <f t="shared" si="12"/>
        <v>0.05</v>
      </c>
      <c r="AB30" s="2">
        <f>'Price Deck'!P24/'Price Deck'!M24</f>
        <v>9.7560975609756095</v>
      </c>
      <c r="AC30" s="161">
        <f t="shared" si="13"/>
        <v>3.0003114686342132</v>
      </c>
      <c r="AE30" s="161">
        <f t="shared" si="14"/>
        <v>7100.7431434510981</v>
      </c>
      <c r="AF30">
        <f t="shared" si="15"/>
        <v>0.05</v>
      </c>
      <c r="AG30" s="165">
        <f t="shared" si="16"/>
        <v>355.03715717255494</v>
      </c>
      <c r="AH30" s="165">
        <f t="shared" si="17"/>
        <v>0.21463414634146344</v>
      </c>
    </row>
    <row r="31" spans="1:34">
      <c r="A31" t="str">
        <f>'Price Deck'!A25</f>
        <v>11/2020</v>
      </c>
      <c r="B31" s="39">
        <f>'Liquids Type Curve'!A38</f>
        <v>1.3385574654533197</v>
      </c>
      <c r="C31" s="39">
        <f>'Liquids Type Curve'!B38</f>
        <v>16.062689585439834</v>
      </c>
      <c r="D31" s="39">
        <f>'Liquids Type Curve'!C38</f>
        <v>51.220480547096685</v>
      </c>
      <c r="E31" s="39">
        <f>'Liquids Type Curve'!D38</f>
        <v>1557.9562833075242</v>
      </c>
      <c r="F31" s="39">
        <f>'Liquids Type Curve'!E38</f>
        <v>48009.657583405016</v>
      </c>
      <c r="H31" s="39">
        <f t="shared" si="18"/>
        <v>1.3385574654533197</v>
      </c>
      <c r="I31" s="39">
        <f t="shared" si="19"/>
        <v>16.062689585439834</v>
      </c>
      <c r="J31" s="39">
        <f t="shared" si="1"/>
        <v>22.537011440722541</v>
      </c>
      <c r="K31" s="39">
        <f t="shared" si="20"/>
        <v>685.5007646553106</v>
      </c>
      <c r="L31" s="39">
        <f t="shared" si="21"/>
        <v>22064.785568582261</v>
      </c>
      <c r="N31">
        <f t="shared" si="2"/>
        <v>108.98609886726297</v>
      </c>
      <c r="O31">
        <f t="shared" si="3"/>
        <v>29164.902477489508</v>
      </c>
      <c r="P31">
        <f t="shared" si="9"/>
        <v>29.164902477489509</v>
      </c>
      <c r="Q31" s="161">
        <f t="shared" si="10"/>
        <v>3.0003114686342132</v>
      </c>
      <c r="S31" s="157">
        <f t="shared" si="11"/>
        <v>8.60186881180528E-2</v>
      </c>
      <c r="T31" s="157">
        <v>0.05</v>
      </c>
      <c r="U31" s="157">
        <f t="shared" si="4"/>
        <v>8.60186881180528E-2</v>
      </c>
      <c r="V31" s="157">
        <f t="shared" si="5"/>
        <v>8.6013237416954047E-2</v>
      </c>
      <c r="W31" s="157">
        <f t="shared" si="6"/>
        <v>0.16101200804426979</v>
      </c>
      <c r="Y31" s="157">
        <f t="shared" si="7"/>
        <v>-0.15617463764686343</v>
      </c>
      <c r="Z31" s="157">
        <f t="shared" si="12"/>
        <v>0.05</v>
      </c>
      <c r="AB31" s="2">
        <f>'Price Deck'!P25/'Price Deck'!M25</f>
        <v>9.7560975609756095</v>
      </c>
      <c r="AC31" s="161">
        <f t="shared" si="13"/>
        <v>3.0003114686342132</v>
      </c>
      <c r="AE31" s="161">
        <f t="shared" si="14"/>
        <v>6687.8123381005908</v>
      </c>
      <c r="AF31">
        <f t="shared" si="15"/>
        <v>0.05</v>
      </c>
      <c r="AG31" s="165">
        <f t="shared" si="16"/>
        <v>334.39061690502956</v>
      </c>
      <c r="AH31" s="165">
        <f t="shared" si="17"/>
        <v>0.21463414634146338</v>
      </c>
    </row>
    <row r="32" spans="1:34">
      <c r="A32" t="str">
        <f>'Price Deck'!A26</f>
        <v>12/2020</v>
      </c>
      <c r="B32" s="39">
        <f>'Liquids Type Curve'!A39</f>
        <v>1.4218907987866529</v>
      </c>
      <c r="C32" s="39">
        <f>'Liquids Type Curve'!B39</f>
        <v>17.062689585439834</v>
      </c>
      <c r="D32" s="39">
        <f>'Liquids Type Curve'!C39</f>
        <v>48.41677899843517</v>
      </c>
      <c r="E32" s="39">
        <f>'Liquids Type Curve'!D39</f>
        <v>1472.6770278690699</v>
      </c>
      <c r="F32" s="39">
        <f>'Liquids Type Curve'!E39</f>
        <v>49482.334611274084</v>
      </c>
      <c r="H32" s="39">
        <f t="shared" si="18"/>
        <v>1.4218907987866529</v>
      </c>
      <c r="I32" s="39">
        <f t="shared" si="19"/>
        <v>17.062689585439834</v>
      </c>
      <c r="J32" s="39">
        <f t="shared" si="1"/>
        <v>21.303382759311475</v>
      </c>
      <c r="K32" s="39">
        <f t="shared" si="20"/>
        <v>647.9778922623907</v>
      </c>
      <c r="L32" s="39">
        <f t="shared" si="21"/>
        <v>22712.763460844653</v>
      </c>
      <c r="N32">
        <f t="shared" si="2"/>
        <v>103.02042867219795</v>
      </c>
      <c r="O32">
        <f t="shared" si="3"/>
        <v>27568.476958452975</v>
      </c>
      <c r="P32">
        <f t="shared" si="9"/>
        <v>27.568476958452976</v>
      </c>
      <c r="Q32" s="161">
        <f t="shared" si="10"/>
        <v>3.0003114686342132</v>
      </c>
      <c r="S32" s="157">
        <f t="shared" si="11"/>
        <v>8.60186881180528E-2</v>
      </c>
      <c r="T32" s="157">
        <v>0.05</v>
      </c>
      <c r="U32" s="157">
        <f t="shared" si="4"/>
        <v>8.60186881180528E-2</v>
      </c>
      <c r="V32" s="157">
        <f t="shared" si="5"/>
        <v>8.6013237416954047E-2</v>
      </c>
      <c r="W32" s="157">
        <f t="shared" si="6"/>
        <v>0.16101200804426979</v>
      </c>
      <c r="Y32" s="157">
        <f t="shared" si="7"/>
        <v>-0.1569627929256118</v>
      </c>
      <c r="Z32" s="157">
        <f t="shared" si="12"/>
        <v>0.05</v>
      </c>
      <c r="AB32" s="2">
        <f>'Price Deck'!P26/'Price Deck'!M26</f>
        <v>9.7560975609756095</v>
      </c>
      <c r="AC32" s="161">
        <f t="shared" si="13"/>
        <v>3.0003114686342132</v>
      </c>
      <c r="AE32" s="161">
        <f t="shared" si="14"/>
        <v>6321.7355342672263</v>
      </c>
      <c r="AF32">
        <f t="shared" si="15"/>
        <v>0.05</v>
      </c>
      <c r="AG32" s="165">
        <f t="shared" si="16"/>
        <v>316.08677671336136</v>
      </c>
      <c r="AH32" s="165">
        <f t="shared" si="17"/>
        <v>0.21463414634146344</v>
      </c>
    </row>
    <row r="33" spans="1:34">
      <c r="A33" t="str">
        <f>'Price Deck'!A27</f>
        <v>01/2021</v>
      </c>
      <c r="B33" s="39">
        <f>'Liquids Type Curve'!A40</f>
        <v>1.5052241321199862</v>
      </c>
      <c r="C33" s="39">
        <f>'Liquids Type Curve'!B40</f>
        <v>18.062689585439834</v>
      </c>
      <c r="D33" s="39">
        <f>'Liquids Type Curve'!C40</f>
        <v>45.913557319886465</v>
      </c>
      <c r="E33" s="39">
        <f>'Liquids Type Curve'!D40</f>
        <v>1396.5373684798801</v>
      </c>
      <c r="F33" s="39">
        <f>'Liquids Type Curve'!E40</f>
        <v>50878.871979753967</v>
      </c>
      <c r="H33" s="39">
        <f t="shared" si="18"/>
        <v>1.5052241321199862</v>
      </c>
      <c r="I33" s="39">
        <f t="shared" si="19"/>
        <v>18.062689585439834</v>
      </c>
      <c r="J33" s="39">
        <f t="shared" si="1"/>
        <v>20.201965220750044</v>
      </c>
      <c r="K33" s="39">
        <f t="shared" si="20"/>
        <v>614.47644213114722</v>
      </c>
      <c r="L33" s="39">
        <f t="shared" si="21"/>
        <v>23327.239902975802</v>
      </c>
      <c r="N33">
        <f t="shared" si="2"/>
        <v>97.694114619089191</v>
      </c>
      <c r="O33">
        <f t="shared" si="3"/>
        <v>26143.144447812392</v>
      </c>
      <c r="P33">
        <f t="shared" si="9"/>
        <v>26.143144447812393</v>
      </c>
      <c r="Q33" s="161">
        <f t="shared" si="10"/>
        <v>3.5253659756452009</v>
      </c>
      <c r="S33" s="157">
        <f t="shared" si="11"/>
        <v>0.11752195853871206</v>
      </c>
      <c r="T33" s="157">
        <v>0.05</v>
      </c>
      <c r="U33" s="157">
        <f t="shared" si="4"/>
        <v>0.11752195853871206</v>
      </c>
      <c r="V33" s="157">
        <f t="shared" si="5"/>
        <v>0.10832805396492104</v>
      </c>
      <c r="W33" s="157">
        <f t="shared" si="6"/>
        <v>0.17282573445201702</v>
      </c>
      <c r="Y33" s="157">
        <f t="shared" si="7"/>
        <v>-0.15766647958611502</v>
      </c>
      <c r="Z33" s="157">
        <f t="shared" si="12"/>
        <v>0.05</v>
      </c>
      <c r="AB33" s="2">
        <f>'Price Deck'!P27/'Price Deck'!M27</f>
        <v>11.463414634146343</v>
      </c>
      <c r="AC33" s="161">
        <f t="shared" si="13"/>
        <v>3.5253659756452009</v>
      </c>
      <c r="AE33" s="161">
        <f t="shared" si="14"/>
        <v>7043.9982390643718</v>
      </c>
      <c r="AF33">
        <f t="shared" si="15"/>
        <v>0.05</v>
      </c>
      <c r="AG33" s="165">
        <f t="shared" si="16"/>
        <v>352.19991195321859</v>
      </c>
      <c r="AH33" s="165">
        <f t="shared" si="17"/>
        <v>0.25219512195121957</v>
      </c>
    </row>
    <row r="34" spans="1:34">
      <c r="A34" t="str">
        <f>'Price Deck'!A28</f>
        <v>02/2021</v>
      </c>
      <c r="B34" s="39">
        <f>'Liquids Type Curve'!A41</f>
        <v>1.5885574654533194</v>
      </c>
      <c r="C34" s="39">
        <f>'Liquids Type Curve'!B41</f>
        <v>19.062689585439834</v>
      </c>
      <c r="D34" s="39">
        <f>'Liquids Type Curve'!C41</f>
        <v>43.664512365176193</v>
      </c>
      <c r="E34" s="39">
        <f>'Liquids Type Curve'!D41</f>
        <v>1328.1289177741094</v>
      </c>
      <c r="F34" s="39">
        <f>'Liquids Type Curve'!E41</f>
        <v>52207.00089752808</v>
      </c>
      <c r="H34" s="39">
        <f t="shared" si="18"/>
        <v>1.5885574654533194</v>
      </c>
      <c r="I34" s="39">
        <f t="shared" si="19"/>
        <v>19.062689585439834</v>
      </c>
      <c r="J34" s="39">
        <f t="shared" si="1"/>
        <v>19.212385440677526</v>
      </c>
      <c r="K34" s="39">
        <f t="shared" si="20"/>
        <v>584.37672382060805</v>
      </c>
      <c r="L34" s="39">
        <f t="shared" si="21"/>
        <v>23911.616626796411</v>
      </c>
      <c r="N34">
        <f t="shared" si="2"/>
        <v>92.908633632326627</v>
      </c>
      <c r="O34">
        <f t="shared" si="3"/>
        <v>24862.539969467001</v>
      </c>
      <c r="P34">
        <f t="shared" si="9"/>
        <v>24.862539969467001</v>
      </c>
      <c r="Q34" s="161">
        <f t="shared" si="10"/>
        <v>3.5253659756452009</v>
      </c>
      <c r="S34" s="157">
        <f t="shared" si="11"/>
        <v>0.11752195853871206</v>
      </c>
      <c r="T34" s="157">
        <v>0.05</v>
      </c>
      <c r="U34" s="157">
        <f t="shared" si="4"/>
        <v>0.11752195853871206</v>
      </c>
      <c r="V34" s="157">
        <f t="shared" si="5"/>
        <v>0.10832805396492104</v>
      </c>
      <c r="W34" s="157">
        <f t="shared" si="6"/>
        <v>0.17282573445201702</v>
      </c>
      <c r="Y34" s="157">
        <f t="shared" si="7"/>
        <v>-0.15829871401707415</v>
      </c>
      <c r="Z34" s="157">
        <f t="shared" si="12"/>
        <v>0.05</v>
      </c>
      <c r="AB34" s="2">
        <f>'Price Deck'!P28/'Price Deck'!M28</f>
        <v>11.463414634146343</v>
      </c>
      <c r="AC34" s="161">
        <f t="shared" si="13"/>
        <v>3.5253659756452009</v>
      </c>
      <c r="AE34" s="161">
        <f t="shared" si="14"/>
        <v>6698.9526876996542</v>
      </c>
      <c r="AF34">
        <f t="shared" si="15"/>
        <v>0.05</v>
      </c>
      <c r="AG34" s="165">
        <f t="shared" si="16"/>
        <v>334.94763438498273</v>
      </c>
      <c r="AH34" s="165">
        <f t="shared" si="17"/>
        <v>0.25219512195121951</v>
      </c>
    </row>
    <row r="35" spans="1:34">
      <c r="A35" t="str">
        <f>'Price Deck'!A29</f>
        <v>03/2021</v>
      </c>
      <c r="B35" s="39">
        <f>'Liquids Type Curve'!A42</f>
        <v>1.6718907987866527</v>
      </c>
      <c r="C35" s="39">
        <f>'Liquids Type Curve'!B42</f>
        <v>20.062689585439834</v>
      </c>
      <c r="D35" s="39">
        <f>'Liquids Type Curve'!C42</f>
        <v>41.632432019631906</v>
      </c>
      <c r="E35" s="39">
        <f>'Liquids Type Curve'!D42</f>
        <v>1266.3198072638038</v>
      </c>
      <c r="F35" s="39">
        <f>'Liquids Type Curve'!E42</f>
        <v>53473.320704791884</v>
      </c>
      <c r="H35" s="39">
        <f t="shared" si="18"/>
        <v>1.6718907987866527</v>
      </c>
      <c r="I35" s="39">
        <f t="shared" si="19"/>
        <v>20.062689585439834</v>
      </c>
      <c r="J35" s="39">
        <f t="shared" si="1"/>
        <v>18.318270088638037</v>
      </c>
      <c r="K35" s="39">
        <f t="shared" si="20"/>
        <v>557.18071519607361</v>
      </c>
      <c r="L35" s="39">
        <f t="shared" si="21"/>
        <v>24468.797341992486</v>
      </c>
      <c r="N35">
        <f t="shared" si="2"/>
        <v>88.584806384316451</v>
      </c>
      <c r="O35">
        <f t="shared" si="3"/>
        <v>23705.474973762237</v>
      </c>
      <c r="P35">
        <f t="shared" si="9"/>
        <v>23.705474973762236</v>
      </c>
      <c r="Q35" s="161">
        <f t="shared" si="10"/>
        <v>3.5253659756452009</v>
      </c>
      <c r="S35" s="157">
        <f t="shared" si="11"/>
        <v>0.11752195853871206</v>
      </c>
      <c r="T35" s="157">
        <v>0.05</v>
      </c>
      <c r="U35" s="157">
        <f t="shared" si="4"/>
        <v>0.11752195853871206</v>
      </c>
      <c r="V35" s="157">
        <f t="shared" si="5"/>
        <v>0.10832805396492104</v>
      </c>
      <c r="W35" s="157">
        <f t="shared" si="6"/>
        <v>0.17282573445201702</v>
      </c>
      <c r="Y35" s="157">
        <f t="shared" si="7"/>
        <v>-0.15886995700545359</v>
      </c>
      <c r="Z35" s="157">
        <f t="shared" si="12"/>
        <v>0.05</v>
      </c>
      <c r="AB35" s="2">
        <f>'Price Deck'!P29/'Price Deck'!M29</f>
        <v>11.463414634146343</v>
      </c>
      <c r="AC35" s="161">
        <f t="shared" si="13"/>
        <v>3.5253659756452009</v>
      </c>
      <c r="AE35" s="161">
        <f t="shared" si="14"/>
        <v>6387.1935644427958</v>
      </c>
      <c r="AF35">
        <f t="shared" si="15"/>
        <v>0.05</v>
      </c>
      <c r="AG35" s="165">
        <f t="shared" si="16"/>
        <v>319.35967822213979</v>
      </c>
      <c r="AH35" s="165">
        <f t="shared" si="17"/>
        <v>0.25219512195121951</v>
      </c>
    </row>
    <row r="36" spans="1:34">
      <c r="A36" t="str">
        <f>'Price Deck'!A30</f>
        <v>04/2021</v>
      </c>
      <c r="B36" s="39">
        <f>'Liquids Type Curve'!A43</f>
        <v>1.755224132119986</v>
      </c>
      <c r="C36" s="39">
        <f>'Liquids Type Curve'!B43</f>
        <v>21.062689585439831</v>
      </c>
      <c r="D36" s="39">
        <f>'Liquids Type Curve'!C43</f>
        <v>39.787062804098859</v>
      </c>
      <c r="E36" s="39">
        <f>'Liquids Type Curve'!D43</f>
        <v>1210.189826958007</v>
      </c>
      <c r="F36" s="39">
        <f>'Liquids Type Curve'!E43</f>
        <v>54683.510531749889</v>
      </c>
      <c r="H36" s="39">
        <f t="shared" si="18"/>
        <v>1.755224132119986</v>
      </c>
      <c r="I36" s="39">
        <f t="shared" si="19"/>
        <v>21.062689585439831</v>
      </c>
      <c r="J36" s="39">
        <f t="shared" si="1"/>
        <v>17.506307633803498</v>
      </c>
      <c r="K36" s="39">
        <f t="shared" si="20"/>
        <v>532.48352386152305</v>
      </c>
      <c r="L36" s="39">
        <f t="shared" si="21"/>
        <v>25001.280865854009</v>
      </c>
      <c r="N36">
        <f t="shared" si="2"/>
        <v>84.65826001804875</v>
      </c>
      <c r="O36">
        <f t="shared" si="3"/>
        <v>22654.723152789069</v>
      </c>
      <c r="P36">
        <f t="shared" si="9"/>
        <v>22.654723152789067</v>
      </c>
      <c r="Q36" s="161">
        <f t="shared" si="10"/>
        <v>3.5253659756452009</v>
      </c>
      <c r="S36" s="157">
        <f t="shared" si="11"/>
        <v>0.11752195853871206</v>
      </c>
      <c r="T36" s="157">
        <v>0.05</v>
      </c>
      <c r="U36" s="157">
        <f t="shared" si="4"/>
        <v>0.11752195853871206</v>
      </c>
      <c r="V36" s="157">
        <f t="shared" si="5"/>
        <v>0.10832805396492104</v>
      </c>
      <c r="W36" s="157">
        <f t="shared" si="6"/>
        <v>0.17282573445201702</v>
      </c>
      <c r="Y36" s="157">
        <f t="shared" si="7"/>
        <v>-0.15938871317946804</v>
      </c>
      <c r="Z36" s="157">
        <f t="shared" si="12"/>
        <v>0.05</v>
      </c>
      <c r="AB36" s="2">
        <f>'Price Deck'!P30/'Price Deck'!M30</f>
        <v>11.463414634146343</v>
      </c>
      <c r="AC36" s="161">
        <f t="shared" si="13"/>
        <v>3.5253659756452009</v>
      </c>
      <c r="AE36" s="161">
        <f t="shared" si="14"/>
        <v>6104.0794198759968</v>
      </c>
      <c r="AF36">
        <f t="shared" si="15"/>
        <v>0.05</v>
      </c>
      <c r="AG36" s="165">
        <f t="shared" si="16"/>
        <v>305.20397099379983</v>
      </c>
      <c r="AH36" s="165">
        <f t="shared" si="17"/>
        <v>0.25219512195121951</v>
      </c>
    </row>
    <row r="37" spans="1:34">
      <c r="A37" t="str">
        <f>'Price Deck'!A31</f>
        <v>05/2021</v>
      </c>
      <c r="B37" s="39">
        <f>'Liquids Type Curve'!A44</f>
        <v>1.8385574654533192</v>
      </c>
      <c r="C37" s="39">
        <f>'Liquids Type Curve'!B44</f>
        <v>22.062689585439831</v>
      </c>
      <c r="D37" s="39">
        <f>'Liquids Type Curve'!C44</f>
        <v>38.103551762394531</v>
      </c>
      <c r="E37" s="39">
        <f>'Liquids Type Curve'!D44</f>
        <v>1158.9830327728337</v>
      </c>
      <c r="F37" s="39">
        <f>'Liquids Type Curve'!E44</f>
        <v>55842.493564522723</v>
      </c>
      <c r="H37" s="39">
        <f t="shared" si="18"/>
        <v>1.8385574654533192</v>
      </c>
      <c r="I37" s="39">
        <f t="shared" si="19"/>
        <v>22.062689585439831</v>
      </c>
      <c r="J37" s="39">
        <f t="shared" si="1"/>
        <v>16.765562775453592</v>
      </c>
      <c r="K37" s="39">
        <f t="shared" si="20"/>
        <v>509.95253442004679</v>
      </c>
      <c r="L37" s="39">
        <f t="shared" si="21"/>
        <v>25511.233400274057</v>
      </c>
      <c r="N37">
        <f t="shared" si="2"/>
        <v>81.076112820764848</v>
      </c>
      <c r="O37">
        <f t="shared" si="3"/>
        <v>21696.133252291413</v>
      </c>
      <c r="P37">
        <f t="shared" si="9"/>
        <v>21.696133252291414</v>
      </c>
      <c r="Q37" s="161">
        <f t="shared" si="10"/>
        <v>3.5253659756452009</v>
      </c>
      <c r="S37" s="157">
        <f t="shared" si="11"/>
        <v>0.11752195853871206</v>
      </c>
      <c r="T37" s="157">
        <v>0.05</v>
      </c>
      <c r="U37" s="157">
        <f t="shared" si="4"/>
        <v>0.11752195853871206</v>
      </c>
      <c r="V37" s="157">
        <f t="shared" si="5"/>
        <v>0.10832805396492104</v>
      </c>
      <c r="W37" s="157">
        <f t="shared" si="6"/>
        <v>0.17282573445201702</v>
      </c>
      <c r="Y37" s="157">
        <f t="shared" si="7"/>
        <v>-0.15986196901334374</v>
      </c>
      <c r="Z37" s="157">
        <f t="shared" si="12"/>
        <v>0.05</v>
      </c>
      <c r="AB37" s="2">
        <f>'Price Deck'!P31/'Price Deck'!M31</f>
        <v>11.463414634146343</v>
      </c>
      <c r="AC37" s="161">
        <f t="shared" si="13"/>
        <v>3.5253659756452009</v>
      </c>
      <c r="AE37" s="161">
        <f t="shared" si="14"/>
        <v>5845.797345790781</v>
      </c>
      <c r="AF37">
        <f t="shared" si="15"/>
        <v>0.05</v>
      </c>
      <c r="AG37" s="165">
        <f t="shared" si="16"/>
        <v>292.28986728953907</v>
      </c>
      <c r="AH37" s="165">
        <f t="shared" si="17"/>
        <v>0.25219512195121957</v>
      </c>
    </row>
    <row r="38" spans="1:34">
      <c r="A38" t="str">
        <f>'Price Deck'!A32</f>
        <v>06/2021</v>
      </c>
      <c r="B38" s="39">
        <f>'Liquids Type Curve'!A45</f>
        <v>1.9218907987866525</v>
      </c>
      <c r="C38" s="39">
        <f>'Liquids Type Curve'!B45</f>
        <v>23.062689585439831</v>
      </c>
      <c r="D38" s="39">
        <f>'Liquids Type Curve'!C45</f>
        <v>36.561289744757445</v>
      </c>
      <c r="E38" s="39">
        <f>'Liquids Type Curve'!D45</f>
        <v>1112.0725630697057</v>
      </c>
      <c r="F38" s="39">
        <f>'Liquids Type Curve'!E45</f>
        <v>56954.566127592429</v>
      </c>
      <c r="H38" s="39">
        <f t="shared" si="18"/>
        <v>1.9218907987866525</v>
      </c>
      <c r="I38" s="39">
        <f t="shared" si="19"/>
        <v>23.062689585439831</v>
      </c>
      <c r="J38" s="39">
        <f t="shared" si="1"/>
        <v>16.086967487693276</v>
      </c>
      <c r="K38" s="39">
        <f t="shared" si="20"/>
        <v>489.31192775067046</v>
      </c>
      <c r="L38" s="39">
        <f t="shared" si="21"/>
        <v>26000.545328024727</v>
      </c>
      <c r="N38">
        <f t="shared" si="2"/>
        <v>77.794512981441457</v>
      </c>
      <c r="O38">
        <f t="shared" si="3"/>
        <v>20817.970438145945</v>
      </c>
      <c r="P38">
        <f t="shared" si="9"/>
        <v>20.817970438145945</v>
      </c>
      <c r="Q38" s="161">
        <f t="shared" si="10"/>
        <v>3.5253659756452009</v>
      </c>
      <c r="S38" s="157">
        <f t="shared" si="11"/>
        <v>0.11752195853871206</v>
      </c>
      <c r="T38" s="157">
        <v>0.05</v>
      </c>
      <c r="U38" s="157">
        <f t="shared" si="4"/>
        <v>0.11752195853871206</v>
      </c>
      <c r="V38" s="157">
        <f t="shared" si="5"/>
        <v>0.10832805396492104</v>
      </c>
      <c r="W38" s="157">
        <f t="shared" si="6"/>
        <v>0.17282573445201702</v>
      </c>
      <c r="Y38" s="157">
        <f t="shared" si="7"/>
        <v>-0.16029551799468736</v>
      </c>
      <c r="Z38" s="157">
        <f t="shared" si="12"/>
        <v>0.05</v>
      </c>
      <c r="AB38" s="2">
        <f>'Price Deck'!P32/'Price Deck'!M32</f>
        <v>11.463414634146343</v>
      </c>
      <c r="AC38" s="161">
        <f t="shared" si="13"/>
        <v>3.5253659756452009</v>
      </c>
      <c r="AE38" s="161">
        <f t="shared" si="14"/>
        <v>5609.1855132393939</v>
      </c>
      <c r="AF38">
        <f t="shared" si="15"/>
        <v>0.05</v>
      </c>
      <c r="AG38" s="165">
        <f t="shared" si="16"/>
        <v>280.45927566196968</v>
      </c>
      <c r="AH38" s="165">
        <f t="shared" si="17"/>
        <v>0.25219512195121951</v>
      </c>
    </row>
    <row r="39" spans="1:34">
      <c r="A39" t="str">
        <f>'Price Deck'!A33</f>
        <v>07/2021</v>
      </c>
      <c r="B39" s="39">
        <f>'Liquids Type Curve'!A46</f>
        <v>2.0052241321199857</v>
      </c>
      <c r="C39" s="39">
        <f>'Liquids Type Curve'!B46</f>
        <v>24.062689585439827</v>
      </c>
      <c r="D39" s="39">
        <f>'Liquids Type Curve'!C46</f>
        <v>35.143040277399855</v>
      </c>
      <c r="E39" s="39">
        <f>'Liquids Type Curve'!D46</f>
        <v>1068.9341417709122</v>
      </c>
      <c r="F39" s="39">
        <f>'Liquids Type Curve'!E46</f>
        <v>58023.500269363343</v>
      </c>
      <c r="H39" s="39">
        <f t="shared" si="18"/>
        <v>2.0052241321199857</v>
      </c>
      <c r="I39" s="39">
        <f t="shared" si="19"/>
        <v>24.062689585439827</v>
      </c>
      <c r="J39" s="39">
        <f t="shared" si="1"/>
        <v>15.462937722055937</v>
      </c>
      <c r="K39" s="39">
        <f t="shared" si="20"/>
        <v>470.33102237920144</v>
      </c>
      <c r="L39" s="39">
        <f t="shared" si="21"/>
        <v>26470.876350403931</v>
      </c>
      <c r="N39">
        <f t="shared" si="2"/>
        <v>74.776785013704952</v>
      </c>
      <c r="O39">
        <f t="shared" si="3"/>
        <v>20010.420275351149</v>
      </c>
      <c r="P39">
        <f t="shared" si="9"/>
        <v>20.010420275351148</v>
      </c>
      <c r="Q39" s="161">
        <f t="shared" si="10"/>
        <v>3.5253659756452009</v>
      </c>
      <c r="S39" s="157">
        <f t="shared" si="11"/>
        <v>0.11752195853871206</v>
      </c>
      <c r="T39" s="157">
        <v>0.05</v>
      </c>
      <c r="U39" s="157">
        <f t="shared" si="4"/>
        <v>0.11752195853871206</v>
      </c>
      <c r="V39" s="157">
        <f t="shared" si="5"/>
        <v>0.10832805396492104</v>
      </c>
      <c r="W39" s="157">
        <f t="shared" si="6"/>
        <v>0.17282573445201702</v>
      </c>
      <c r="Y39" s="157">
        <f t="shared" si="7"/>
        <v>-0.16069420551005917</v>
      </c>
      <c r="Z39" s="157">
        <f t="shared" si="12"/>
        <v>0.05</v>
      </c>
      <c r="AB39" s="2">
        <f>'Price Deck'!P33/'Price Deck'!M33</f>
        <v>11.463414634146343</v>
      </c>
      <c r="AC39" s="161">
        <f t="shared" si="13"/>
        <v>3.5253659756452009</v>
      </c>
      <c r="AE39" s="161">
        <f t="shared" si="14"/>
        <v>5391.599524834749</v>
      </c>
      <c r="AF39">
        <f t="shared" si="15"/>
        <v>0.05</v>
      </c>
      <c r="AG39" s="165">
        <f t="shared" si="16"/>
        <v>269.57997624173748</v>
      </c>
      <c r="AH39" s="165">
        <f t="shared" si="17"/>
        <v>0.25219512195121963</v>
      </c>
    </row>
    <row r="40" spans="1:34">
      <c r="A40" t="str">
        <f>'Price Deck'!A34</f>
        <v>08/2021</v>
      </c>
      <c r="B40" s="39">
        <f>'Liquids Type Curve'!A47</f>
        <v>2.0885574654533192</v>
      </c>
      <c r="C40" s="39">
        <f>'Liquids Type Curve'!B47</f>
        <v>25.062689585439831</v>
      </c>
      <c r="D40" s="39">
        <f>'Liquids Type Curve'!C47</f>
        <v>33.834274914191383</v>
      </c>
      <c r="E40" s="39">
        <f>'Liquids Type Curve'!D47</f>
        <v>1029.1258619733212</v>
      </c>
      <c r="F40" s="39">
        <f>'Liquids Type Curve'!E47</f>
        <v>59052.626131336663</v>
      </c>
      <c r="H40" s="39">
        <f t="shared" si="18"/>
        <v>2.0885574654533192</v>
      </c>
      <c r="I40" s="39">
        <f t="shared" si="19"/>
        <v>25.062689585439831</v>
      </c>
      <c r="J40" s="39">
        <f t="shared" si="1"/>
        <v>14.887080962244209</v>
      </c>
      <c r="K40" s="39">
        <f t="shared" si="20"/>
        <v>452.81537926826138</v>
      </c>
      <c r="L40" s="39">
        <f t="shared" si="21"/>
        <v>26923.691729672191</v>
      </c>
      <c r="N40">
        <f t="shared" si="2"/>
        <v>71.992015528039261</v>
      </c>
      <c r="O40">
        <f t="shared" si="3"/>
        <v>19265.210277783979</v>
      </c>
      <c r="P40">
        <f t="shared" si="9"/>
        <v>19.265210277783979</v>
      </c>
      <c r="Q40" s="161">
        <f t="shared" si="10"/>
        <v>3.5253659756452009</v>
      </c>
      <c r="S40" s="157">
        <f t="shared" si="11"/>
        <v>0.11752195853871206</v>
      </c>
      <c r="T40" s="157">
        <v>0.05</v>
      </c>
      <c r="U40" s="157">
        <f t="shared" si="4"/>
        <v>0.11752195853871206</v>
      </c>
      <c r="V40" s="157">
        <f t="shared" si="5"/>
        <v>0.10832805396492104</v>
      </c>
      <c r="W40" s="157">
        <f t="shared" si="6"/>
        <v>0.17282573445201702</v>
      </c>
      <c r="Y40" s="157">
        <f t="shared" si="7"/>
        <v>-0.16106211568585804</v>
      </c>
      <c r="Z40" s="157">
        <f t="shared" si="12"/>
        <v>0.05</v>
      </c>
      <c r="AB40" s="2">
        <f>'Price Deck'!P34/'Price Deck'!M34</f>
        <v>11.463414634146343</v>
      </c>
      <c r="AC40" s="161">
        <f t="shared" si="13"/>
        <v>3.5253659756452009</v>
      </c>
      <c r="AE40" s="161">
        <f t="shared" si="14"/>
        <v>5190.8104452703137</v>
      </c>
      <c r="AF40">
        <f t="shared" si="15"/>
        <v>0.05</v>
      </c>
      <c r="AG40" s="165">
        <f t="shared" si="16"/>
        <v>259.5405222635157</v>
      </c>
      <c r="AH40" s="165">
        <f t="shared" si="17"/>
        <v>0.25219512195121957</v>
      </c>
    </row>
    <row r="41" spans="1:34">
      <c r="A41" t="str">
        <f>'Price Deck'!A35</f>
        <v>09/2021</v>
      </c>
      <c r="B41" s="39">
        <f>'Liquids Type Curve'!A48</f>
        <v>2.1718907987866527</v>
      </c>
      <c r="C41" s="39">
        <f>'Liquids Type Curve'!B48</f>
        <v>26.062689585439834</v>
      </c>
      <c r="D41" s="39">
        <f>'Liquids Type Curve'!C48</f>
        <v>32.622660075049097</v>
      </c>
      <c r="E41" s="39">
        <f>'Liquids Type Curve'!D48</f>
        <v>992.27257728274344</v>
      </c>
      <c r="F41" s="39">
        <f>'Liquids Type Curve'!E48</f>
        <v>60044.89870861941</v>
      </c>
      <c r="H41" s="39">
        <f t="shared" si="18"/>
        <v>2.1718907987866527</v>
      </c>
      <c r="I41" s="39">
        <f t="shared" si="19"/>
        <v>26.062689585439834</v>
      </c>
      <c r="J41" s="39">
        <f t="shared" si="1"/>
        <v>14.353970433021603</v>
      </c>
      <c r="K41" s="39">
        <f t="shared" si="20"/>
        <v>436.59993400440709</v>
      </c>
      <c r="L41" s="39">
        <f t="shared" si="21"/>
        <v>27360.291663676599</v>
      </c>
      <c r="N41">
        <f t="shared" si="2"/>
        <v>69.413961334924338</v>
      </c>
      <c r="O41">
        <f t="shared" si="3"/>
        <v>18575.317714371336</v>
      </c>
      <c r="P41">
        <f t="shared" si="9"/>
        <v>18.575317714371337</v>
      </c>
      <c r="Q41" s="161">
        <f t="shared" si="10"/>
        <v>3.5253659756452009</v>
      </c>
      <c r="S41" s="157">
        <f t="shared" si="11"/>
        <v>0.11752195853871206</v>
      </c>
      <c r="T41" s="157">
        <v>0.05</v>
      </c>
      <c r="U41" s="157">
        <f t="shared" si="4"/>
        <v>0.11752195853871206</v>
      </c>
      <c r="V41" s="157">
        <f t="shared" si="5"/>
        <v>0.10832805396492104</v>
      </c>
      <c r="W41" s="157">
        <f t="shared" si="6"/>
        <v>0.17282573445201702</v>
      </c>
      <c r="Y41" s="157">
        <f t="shared" si="7"/>
        <v>-0.16140271564441486</v>
      </c>
      <c r="Z41" s="157">
        <f t="shared" si="12"/>
        <v>0.05</v>
      </c>
      <c r="AB41" s="2">
        <f>'Price Deck'!P35/'Price Deck'!M35</f>
        <v>11.463414634146343</v>
      </c>
      <c r="AC41" s="161">
        <f t="shared" si="13"/>
        <v>3.5253659756452009</v>
      </c>
      <c r="AE41" s="161">
        <f t="shared" si="14"/>
        <v>5004.9260727334477</v>
      </c>
      <c r="AF41">
        <f t="shared" si="15"/>
        <v>0.05</v>
      </c>
      <c r="AG41" s="165">
        <f t="shared" si="16"/>
        <v>250.24630363667239</v>
      </c>
      <c r="AH41" s="165">
        <f t="shared" si="17"/>
        <v>0.25219512195121951</v>
      </c>
    </row>
    <row r="42" spans="1:34">
      <c r="A42" t="str">
        <f>'Price Deck'!A36</f>
        <v>10/2021</v>
      </c>
      <c r="B42" s="39">
        <f>'Liquids Type Curve'!A49</f>
        <v>2.2552241321199862</v>
      </c>
      <c r="C42" s="39">
        <f>'Liquids Type Curve'!B49</f>
        <v>27.062689585439834</v>
      </c>
      <c r="D42" s="39">
        <f>'Liquids Type Curve'!C49</f>
        <v>31.497656516355335</v>
      </c>
      <c r="E42" s="39">
        <f>'Liquids Type Curve'!D49</f>
        <v>958.05371903914147</v>
      </c>
      <c r="F42" s="39">
        <f>'Liquids Type Curve'!E49</f>
        <v>61002.952427658551</v>
      </c>
      <c r="H42" s="39">
        <f t="shared" si="18"/>
        <v>2.2552241321199862</v>
      </c>
      <c r="I42" s="39">
        <f t="shared" si="19"/>
        <v>27.062689585439834</v>
      </c>
      <c r="J42" s="39">
        <f t="shared" si="1"/>
        <v>13.858968867196348</v>
      </c>
      <c r="K42" s="39">
        <f t="shared" si="20"/>
        <v>421.54363637722224</v>
      </c>
      <c r="L42" s="39">
        <f t="shared" si="21"/>
        <v>27781.835300053819</v>
      </c>
      <c r="N42">
        <f t="shared" si="2"/>
        <v>67.020197204556936</v>
      </c>
      <c r="O42">
        <f t="shared" si="3"/>
        <v>17934.7415478521</v>
      </c>
      <c r="P42">
        <f t="shared" si="9"/>
        <v>17.934741547852099</v>
      </c>
      <c r="Q42" s="161">
        <f t="shared" si="10"/>
        <v>3.5253659756452009</v>
      </c>
      <c r="S42" s="157">
        <f t="shared" si="11"/>
        <v>0.11752195853871206</v>
      </c>
      <c r="T42" s="157">
        <v>0.05</v>
      </c>
      <c r="U42" s="157">
        <f t="shared" si="4"/>
        <v>0.11752195853871206</v>
      </c>
      <c r="V42" s="157">
        <f t="shared" si="5"/>
        <v>0.10832805396492104</v>
      </c>
      <c r="W42" s="157">
        <f t="shared" si="6"/>
        <v>0.17282573445201702</v>
      </c>
      <c r="Y42" s="157">
        <f t="shared" si="7"/>
        <v>-0.16171896809782541</v>
      </c>
      <c r="Z42" s="157">
        <f t="shared" si="12"/>
        <v>0.05</v>
      </c>
      <c r="AB42" s="2">
        <f>'Price Deck'!P36/'Price Deck'!M36</f>
        <v>11.463414634146343</v>
      </c>
      <c r="AC42" s="161">
        <f t="shared" si="13"/>
        <v>3.5253659756452009</v>
      </c>
      <c r="AE42" s="161">
        <f t="shared" si="14"/>
        <v>4832.3294901779136</v>
      </c>
      <c r="AF42">
        <f t="shared" si="15"/>
        <v>0.05</v>
      </c>
      <c r="AG42" s="165">
        <f t="shared" si="16"/>
        <v>241.61647450889569</v>
      </c>
      <c r="AH42" s="165">
        <f t="shared" si="17"/>
        <v>0.25219512195121951</v>
      </c>
    </row>
    <row r="43" spans="1:34">
      <c r="A43" t="str">
        <f>'Price Deck'!A37</f>
        <v>11/2021</v>
      </c>
      <c r="B43" s="39">
        <f>'Liquids Type Curve'!A50</f>
        <v>2.3385574654533197</v>
      </c>
      <c r="C43" s="39">
        <f>'Liquids Type Curve'!B50</f>
        <v>28.062689585439834</v>
      </c>
      <c r="D43" s="39">
        <f>'Liquids Type Curve'!C50</f>
        <v>30.450203575360582</v>
      </c>
      <c r="E43" s="39">
        <f>'Liquids Type Curve'!D50</f>
        <v>926.19369208388446</v>
      </c>
      <c r="F43" s="39">
        <f>'Liquids Type Curve'!E50</f>
        <v>61929.146119742436</v>
      </c>
      <c r="H43" s="39">
        <f t="shared" si="18"/>
        <v>2.3385574654533197</v>
      </c>
      <c r="I43" s="39">
        <f t="shared" si="19"/>
        <v>28.062689585439834</v>
      </c>
      <c r="J43" s="39">
        <f t="shared" si="1"/>
        <v>13.398089573158657</v>
      </c>
      <c r="K43" s="39">
        <f t="shared" si="20"/>
        <v>407.52522451690919</v>
      </c>
      <c r="L43" s="39">
        <f t="shared" si="21"/>
        <v>28189.360524570729</v>
      </c>
      <c r="N43">
        <f t="shared" si="2"/>
        <v>64.791444007267188</v>
      </c>
      <c r="O43">
        <f t="shared" si="3"/>
        <v>17338.322643781452</v>
      </c>
      <c r="P43">
        <f t="shared" si="9"/>
        <v>17.338322643781453</v>
      </c>
      <c r="Q43" s="161">
        <f t="shared" si="10"/>
        <v>3.5253659756452009</v>
      </c>
      <c r="S43" s="157">
        <f t="shared" si="11"/>
        <v>0.11752195853871206</v>
      </c>
      <c r="T43" s="157">
        <v>0.05</v>
      </c>
      <c r="U43" s="157">
        <f t="shared" si="4"/>
        <v>0.11752195853871206</v>
      </c>
      <c r="V43" s="157">
        <f t="shared" si="5"/>
        <v>0.10832805396492104</v>
      </c>
      <c r="W43" s="157">
        <f t="shared" si="6"/>
        <v>0.17282573445201702</v>
      </c>
      <c r="Y43" s="157">
        <f t="shared" si="7"/>
        <v>-0.16201342011076511</v>
      </c>
      <c r="Z43" s="157">
        <f t="shared" si="12"/>
        <v>0.05</v>
      </c>
      <c r="AB43" s="2">
        <f>'Price Deck'!P37/'Price Deck'!M37</f>
        <v>11.463414634146343</v>
      </c>
      <c r="AC43" s="161">
        <f t="shared" si="13"/>
        <v>3.5253659756452009</v>
      </c>
      <c r="AE43" s="161">
        <f t="shared" si="14"/>
        <v>4671.6306225109111</v>
      </c>
      <c r="AF43">
        <f t="shared" si="15"/>
        <v>0.05</v>
      </c>
      <c r="AG43" s="165">
        <f t="shared" si="16"/>
        <v>233.58153112554555</v>
      </c>
      <c r="AH43" s="165">
        <f t="shared" si="17"/>
        <v>0.25219512195121957</v>
      </c>
    </row>
    <row r="44" spans="1:34">
      <c r="A44" t="str">
        <f>'Price Deck'!A38</f>
        <v>12/2021</v>
      </c>
      <c r="B44" s="39">
        <f>'Liquids Type Curve'!A51</f>
        <v>2.4218907987866531</v>
      </c>
      <c r="C44" s="39">
        <f>'Liquids Type Curve'!B51</f>
        <v>29.062689585439838</v>
      </c>
      <c r="D44" s="39">
        <f>'Liquids Type Curve'!C51</f>
        <v>29.47246794325341</v>
      </c>
      <c r="E44" s="39">
        <f>'Liquids Type Curve'!D51</f>
        <v>896.45423327395793</v>
      </c>
      <c r="F44" s="39">
        <f>'Liquids Type Curve'!E51</f>
        <v>62825.600353016394</v>
      </c>
      <c r="H44" s="39">
        <f t="shared" si="18"/>
        <v>2.4218907987866531</v>
      </c>
      <c r="I44" s="39">
        <f t="shared" si="19"/>
        <v>29.062689585439838</v>
      </c>
      <c r="J44" s="39">
        <f t="shared" si="1"/>
        <v>12.9678858950315</v>
      </c>
      <c r="K44" s="39">
        <f t="shared" si="20"/>
        <v>394.43986264054149</v>
      </c>
      <c r="L44" s="39">
        <f t="shared" si="21"/>
        <v>28583.800387211271</v>
      </c>
      <c r="N44">
        <f t="shared" si="2"/>
        <v>62.711034156975025</v>
      </c>
      <c r="O44">
        <f t="shared" si="3"/>
        <v>16781.60072210888</v>
      </c>
      <c r="P44">
        <f t="shared" si="9"/>
        <v>16.78160072210888</v>
      </c>
      <c r="Q44" s="161">
        <f t="shared" si="10"/>
        <v>3.5253659756452009</v>
      </c>
      <c r="S44" s="157">
        <f t="shared" si="11"/>
        <v>0.11752195853871206</v>
      </c>
      <c r="T44" s="157">
        <v>0.05</v>
      </c>
      <c r="U44" s="157">
        <f t="shared" si="4"/>
        <v>0.11752195853871206</v>
      </c>
      <c r="V44" s="157">
        <f t="shared" si="5"/>
        <v>0.10832805396492104</v>
      </c>
      <c r="W44" s="157">
        <f t="shared" si="6"/>
        <v>0.17282573445201702</v>
      </c>
      <c r="Y44" s="157">
        <f t="shared" si="7"/>
        <v>-0.16228827372349486</v>
      </c>
      <c r="Z44" s="157">
        <f t="shared" si="12"/>
        <v>0.05</v>
      </c>
      <c r="AB44" s="2">
        <f>'Price Deck'!P38/'Price Deck'!M38</f>
        <v>11.463414634146343</v>
      </c>
      <c r="AC44" s="161">
        <f t="shared" si="13"/>
        <v>3.5253659756452009</v>
      </c>
      <c r="AE44" s="161">
        <f t="shared" si="14"/>
        <v>4521.6276936842569</v>
      </c>
      <c r="AF44">
        <f t="shared" si="15"/>
        <v>0.05</v>
      </c>
      <c r="AG44" s="165">
        <f t="shared" si="16"/>
        <v>226.08138468421285</v>
      </c>
      <c r="AH44" s="165">
        <f t="shared" si="17"/>
        <v>0.25219512195121957</v>
      </c>
    </row>
    <row r="45" spans="1:34">
      <c r="A45" t="str">
        <f>'Price Deck'!A39</f>
        <v>01/2022</v>
      </c>
      <c r="B45" s="39">
        <f>'Liquids Type Curve'!A52</f>
        <v>2.5052241321199866</v>
      </c>
      <c r="C45" s="39">
        <f>'Liquids Type Curve'!B52</f>
        <v>30.062689585439841</v>
      </c>
      <c r="D45" s="39">
        <f>'Liquids Type Curve'!C52</f>
        <v>28.557642069722547</v>
      </c>
      <c r="E45" s="39">
        <f>'Liquids Type Curve'!D52</f>
        <v>868.62827962072754</v>
      </c>
      <c r="F45" s="39">
        <f>'Liquids Type Curve'!E52</f>
        <v>63694.228632637125</v>
      </c>
      <c r="H45" s="39">
        <f t="shared" si="18"/>
        <v>2.5052241321199866</v>
      </c>
      <c r="I45" s="39">
        <f t="shared" si="19"/>
        <v>30.062689585439841</v>
      </c>
      <c r="J45" s="39">
        <f t="shared" si="1"/>
        <v>12.565362510677922</v>
      </c>
      <c r="K45" s="39">
        <f t="shared" si="20"/>
        <v>382.19644303312015</v>
      </c>
      <c r="L45" s="39">
        <f t="shared" si="21"/>
        <v>28965.996830244392</v>
      </c>
      <c r="N45">
        <f t="shared" si="2"/>
        <v>60.764482659722113</v>
      </c>
      <c r="O45">
        <f t="shared" si="3"/>
        <v>16260.699568889924</v>
      </c>
      <c r="P45">
        <f t="shared" si="9"/>
        <v>16.260699568889923</v>
      </c>
      <c r="Q45" s="161">
        <f t="shared" si="10"/>
        <v>4.275443842803754</v>
      </c>
      <c r="S45" s="157">
        <f t="shared" si="11"/>
        <v>0.16252663056822525</v>
      </c>
      <c r="T45" s="157">
        <v>0.05</v>
      </c>
      <c r="U45" s="157">
        <f t="shared" si="4"/>
        <v>0.16252663056822525</v>
      </c>
      <c r="V45" s="157">
        <f t="shared" si="5"/>
        <v>0.14020636331915953</v>
      </c>
      <c r="W45" s="157">
        <f t="shared" si="6"/>
        <v>0.18970248646308446</v>
      </c>
      <c r="Y45" s="157">
        <f t="shared" si="7"/>
        <v>-0.16254544262283904</v>
      </c>
      <c r="Z45" s="157">
        <f t="shared" si="12"/>
        <v>0.05</v>
      </c>
      <c r="AB45" s="2">
        <f>'Price Deck'!P39/'Price Deck'!M39</f>
        <v>13.902439024390246</v>
      </c>
      <c r="AC45" s="161">
        <f t="shared" si="13"/>
        <v>4.275443842803754</v>
      </c>
      <c r="AE45" s="161">
        <f t="shared" si="14"/>
        <v>5313.4627446067925</v>
      </c>
      <c r="AF45">
        <f t="shared" si="15"/>
        <v>0.05</v>
      </c>
      <c r="AG45" s="165">
        <f t="shared" si="16"/>
        <v>265.67313723033965</v>
      </c>
      <c r="AH45" s="165">
        <f t="shared" si="17"/>
        <v>0.30585365853658542</v>
      </c>
    </row>
    <row r="46" spans="1:34">
      <c r="A46" t="str">
        <f>'Price Deck'!A40</f>
        <v>02/2022</v>
      </c>
      <c r="B46" s="39">
        <f>'Liquids Type Curve'!A53</f>
        <v>2.5885574654533201</v>
      </c>
      <c r="C46" s="39">
        <f>'Liquids Type Curve'!B53</f>
        <v>31.062689585439841</v>
      </c>
      <c r="D46" s="39">
        <f>'Liquids Type Curve'!C53</f>
        <v>27.699781110330612</v>
      </c>
      <c r="E46" s="39">
        <f>'Liquids Type Curve'!D53</f>
        <v>842.53500877255613</v>
      </c>
      <c r="F46" s="39">
        <f>'Liquids Type Curve'!E53</f>
        <v>64536.763641409678</v>
      </c>
      <c r="H46" s="39">
        <f t="shared" si="18"/>
        <v>2.5885574654533201</v>
      </c>
      <c r="I46" s="39">
        <f t="shared" si="19"/>
        <v>31.062689585439841</v>
      </c>
      <c r="J46" s="39">
        <f t="shared" si="1"/>
        <v>12.18790368854547</v>
      </c>
      <c r="K46" s="39">
        <f t="shared" si="20"/>
        <v>370.71540385992472</v>
      </c>
      <c r="L46" s="39">
        <f t="shared" si="21"/>
        <v>29336.712234104318</v>
      </c>
      <c r="N46">
        <f t="shared" si="2"/>
        <v>58.939140172966503</v>
      </c>
      <c r="O46">
        <f t="shared" si="3"/>
        <v>15772.234194245375</v>
      </c>
      <c r="P46">
        <f t="shared" si="9"/>
        <v>15.772234194245375</v>
      </c>
      <c r="Q46" s="161">
        <f t="shared" si="10"/>
        <v>4.275443842803754</v>
      </c>
      <c r="S46" s="157">
        <f t="shared" si="11"/>
        <v>0.16252663056822525</v>
      </c>
      <c r="T46" s="157">
        <v>0.05</v>
      </c>
      <c r="U46" s="157">
        <f t="shared" si="4"/>
        <v>0.16252663056822525</v>
      </c>
      <c r="V46" s="157">
        <f t="shared" si="5"/>
        <v>0.14020636331915953</v>
      </c>
      <c r="W46" s="157">
        <f t="shared" si="6"/>
        <v>0.18970248646308446</v>
      </c>
      <c r="Y46" s="157">
        <f t="shared" si="7"/>
        <v>-0.16278659797830108</v>
      </c>
      <c r="Z46" s="157">
        <f t="shared" si="12"/>
        <v>0.05</v>
      </c>
      <c r="AB46" s="2">
        <f>'Price Deck'!P40/'Price Deck'!M40</f>
        <v>13.902439024390246</v>
      </c>
      <c r="AC46" s="161">
        <f t="shared" si="13"/>
        <v>4.275443842803754</v>
      </c>
      <c r="AE46" s="161">
        <f t="shared" si="14"/>
        <v>5153.8482975648076</v>
      </c>
      <c r="AF46">
        <f t="shared" si="15"/>
        <v>0.05</v>
      </c>
      <c r="AG46" s="165">
        <f t="shared" si="16"/>
        <v>257.69241487824041</v>
      </c>
      <c r="AH46" s="165">
        <f t="shared" si="17"/>
        <v>0.30585365853658547</v>
      </c>
    </row>
    <row r="47" spans="1:34">
      <c r="A47" t="str">
        <f>'Price Deck'!A41</f>
        <v>03/2022</v>
      </c>
      <c r="B47" s="39">
        <f>'Liquids Type Curve'!A54</f>
        <v>2.6718907987866536</v>
      </c>
      <c r="C47" s="39">
        <f>'Liquids Type Curve'!B54</f>
        <v>32.062689585439841</v>
      </c>
      <c r="D47" s="39">
        <f>'Liquids Type Curve'!C54</f>
        <v>26.893670074344161</v>
      </c>
      <c r="E47" s="39">
        <f>'Liquids Type Curve'!D54</f>
        <v>818.01579809463499</v>
      </c>
      <c r="F47" s="39">
        <f>'Liquids Type Curve'!E54</f>
        <v>65354.779439504309</v>
      </c>
      <c r="H47" s="39">
        <f t="shared" si="18"/>
        <v>2.6718907987866536</v>
      </c>
      <c r="I47" s="39">
        <f t="shared" si="19"/>
        <v>32.062689585439841</v>
      </c>
      <c r="J47" s="39">
        <f t="shared" si="1"/>
        <v>11.83321483271143</v>
      </c>
      <c r="K47" s="39">
        <f t="shared" si="20"/>
        <v>359.92695116163935</v>
      </c>
      <c r="L47" s="39">
        <f t="shared" si="21"/>
        <v>29696.639185265958</v>
      </c>
      <c r="N47">
        <f t="shared" si="2"/>
        <v>57.223910324913248</v>
      </c>
      <c r="O47">
        <f t="shared" si="3"/>
        <v>15313.235186437247</v>
      </c>
      <c r="P47">
        <f t="shared" si="9"/>
        <v>15.313235186437247</v>
      </c>
      <c r="Q47" s="161">
        <f t="shared" si="10"/>
        <v>4.275443842803754</v>
      </c>
      <c r="S47" s="157">
        <f t="shared" si="11"/>
        <v>0.16252663056822525</v>
      </c>
      <c r="T47" s="157">
        <v>0.05</v>
      </c>
      <c r="U47" s="157">
        <f t="shared" si="4"/>
        <v>0.16252663056822525</v>
      </c>
      <c r="V47" s="157">
        <f t="shared" si="5"/>
        <v>0.14020636331915953</v>
      </c>
      <c r="W47" s="157">
        <f t="shared" si="6"/>
        <v>0.18970248646308446</v>
      </c>
      <c r="Y47" s="157">
        <f t="shared" si="7"/>
        <v>-0.16301320578845596</v>
      </c>
      <c r="Z47" s="157">
        <f t="shared" si="12"/>
        <v>0.05</v>
      </c>
      <c r="AB47" s="2">
        <f>'Price Deck'!P41/'Price Deck'!M41</f>
        <v>13.902439024390246</v>
      </c>
      <c r="AC47" s="161">
        <f t="shared" si="13"/>
        <v>4.275443842803754</v>
      </c>
      <c r="AE47" s="161">
        <f t="shared" si="14"/>
        <v>5003.862491759377</v>
      </c>
      <c r="AF47">
        <f t="shared" si="15"/>
        <v>0.05</v>
      </c>
      <c r="AG47" s="165">
        <f t="shared" si="16"/>
        <v>250.19312458796887</v>
      </c>
      <c r="AH47" s="165">
        <f t="shared" si="17"/>
        <v>0.30585365853658542</v>
      </c>
    </row>
    <row r="48" spans="1:34">
      <c r="A48" t="str">
        <f>'Price Deck'!A42</f>
        <v>04/2022</v>
      </c>
      <c r="B48" s="39">
        <f>'Liquids Type Curve'!A55</f>
        <v>2.7552241321199871</v>
      </c>
      <c r="C48" s="39">
        <f>'Liquids Type Curve'!B55</f>
        <v>33.062689585439841</v>
      </c>
      <c r="D48" s="39">
        <f>'Liquids Type Curve'!C55</f>
        <v>26.134714834245361</v>
      </c>
      <c r="E48" s="39">
        <f>'Liquids Type Curve'!D55</f>
        <v>794.93090954162983</v>
      </c>
      <c r="F48" s="39">
        <f>'Liquids Type Curve'!E55</f>
        <v>66149.710349045941</v>
      </c>
      <c r="H48" s="39">
        <f t="shared" si="18"/>
        <v>2.7552241321199871</v>
      </c>
      <c r="I48" s="39">
        <f t="shared" si="19"/>
        <v>33.062689585439841</v>
      </c>
      <c r="J48" s="39">
        <f t="shared" si="1"/>
        <v>11.499274527067959</v>
      </c>
      <c r="K48" s="39">
        <f t="shared" si="20"/>
        <v>349.76960019831711</v>
      </c>
      <c r="L48" s="39">
        <f t="shared" si="21"/>
        <v>30046.408785464275</v>
      </c>
      <c r="N48">
        <f t="shared" si="2"/>
        <v>55.609017806339963</v>
      </c>
      <c r="O48">
        <f t="shared" si="3"/>
        <v>14881.086652768017</v>
      </c>
      <c r="P48">
        <f t="shared" si="9"/>
        <v>14.881086652768017</v>
      </c>
      <c r="Q48" s="161">
        <f t="shared" si="10"/>
        <v>4.275443842803754</v>
      </c>
      <c r="S48" s="157">
        <f t="shared" si="11"/>
        <v>0.16252663056822525</v>
      </c>
      <c r="T48" s="157">
        <v>0.05</v>
      </c>
      <c r="U48" s="157">
        <f t="shared" si="4"/>
        <v>0.16252663056822525</v>
      </c>
      <c r="V48" s="157">
        <f t="shared" si="5"/>
        <v>0.14020636331915953</v>
      </c>
      <c r="W48" s="157">
        <f t="shared" si="6"/>
        <v>0.18970248646308446</v>
      </c>
      <c r="Y48" s="157">
        <f t="shared" si="7"/>
        <v>-0.16322655751952844</v>
      </c>
      <c r="Z48" s="157">
        <f t="shared" si="12"/>
        <v>0.05</v>
      </c>
      <c r="AB48" s="2">
        <f>'Price Deck'!P42/'Price Deck'!M42</f>
        <v>13.902439024390246</v>
      </c>
      <c r="AC48" s="161">
        <f t="shared" si="13"/>
        <v>4.275443842803754</v>
      </c>
      <c r="AE48" s="161">
        <f t="shared" si="14"/>
        <v>4862.6505393424577</v>
      </c>
      <c r="AF48">
        <f t="shared" si="15"/>
        <v>0.05</v>
      </c>
      <c r="AG48" s="165">
        <f t="shared" si="16"/>
        <v>243.13252696712289</v>
      </c>
      <c r="AH48" s="165">
        <f t="shared" si="17"/>
        <v>0.30585365853658536</v>
      </c>
    </row>
    <row r="49" spans="1:34">
      <c r="A49" t="str">
        <f>'Price Deck'!A43</f>
        <v>05/2022</v>
      </c>
      <c r="B49" s="39">
        <f>'Liquids Type Curve'!A56</f>
        <v>2.8385574654533205</v>
      </c>
      <c r="C49" s="39">
        <f>'Liquids Type Curve'!B56</f>
        <v>34.062689585439848</v>
      </c>
      <c r="D49" s="39">
        <f>'Liquids Type Curve'!C56</f>
        <v>25.41885213578972</v>
      </c>
      <c r="E49" s="39">
        <f>'Liquids Type Curve'!D56</f>
        <v>773.15675246360399</v>
      </c>
      <c r="F49" s="39">
        <f>'Liquids Type Curve'!E56</f>
        <v>66922.867101509546</v>
      </c>
      <c r="H49" s="39">
        <f t="shared" si="18"/>
        <v>2.8385574654533205</v>
      </c>
      <c r="I49" s="39">
        <f t="shared" si="19"/>
        <v>34.062689585439848</v>
      </c>
      <c r="J49" s="39">
        <f t="shared" si="1"/>
        <v>11.184294939747478</v>
      </c>
      <c r="K49" s="39">
        <f t="shared" si="20"/>
        <v>340.18897108398579</v>
      </c>
      <c r="L49" s="39">
        <f t="shared" si="21"/>
        <v>30386.597756548261</v>
      </c>
      <c r="N49">
        <f t="shared" si="2"/>
        <v>54.085816891472824</v>
      </c>
      <c r="O49">
        <f t="shared" si="3"/>
        <v>14473.474979376275</v>
      </c>
      <c r="P49">
        <f t="shared" si="9"/>
        <v>14.473474979376276</v>
      </c>
      <c r="Q49" s="161">
        <f t="shared" si="10"/>
        <v>4.275443842803754</v>
      </c>
      <c r="S49" s="157">
        <f t="shared" si="11"/>
        <v>0.16252663056822525</v>
      </c>
      <c r="T49" s="157">
        <v>0.05</v>
      </c>
      <c r="U49" s="157">
        <f t="shared" si="4"/>
        <v>0.16252663056822525</v>
      </c>
      <c r="V49" s="157">
        <f t="shared" si="5"/>
        <v>0.14020636331915953</v>
      </c>
      <c r="W49" s="157">
        <f t="shared" si="6"/>
        <v>0.18970248646308446</v>
      </c>
      <c r="Y49" s="157">
        <f t="shared" si="7"/>
        <v>-0.16342779540268196</v>
      </c>
      <c r="Z49" s="157">
        <f t="shared" si="12"/>
        <v>0.05</v>
      </c>
      <c r="AB49" s="2">
        <f>'Price Deck'!P43/'Price Deck'!M43</f>
        <v>13.902439024390246</v>
      </c>
      <c r="AC49" s="161">
        <f t="shared" si="13"/>
        <v>4.275443842803754</v>
      </c>
      <c r="AE49" s="161">
        <f t="shared" si="14"/>
        <v>4729.4564272651687</v>
      </c>
      <c r="AF49">
        <f t="shared" si="15"/>
        <v>0.05</v>
      </c>
      <c r="AG49" s="165">
        <f t="shared" si="16"/>
        <v>236.47282136325845</v>
      </c>
      <c r="AH49" s="165">
        <f t="shared" si="17"/>
        <v>0.30585365853658542</v>
      </c>
    </row>
    <row r="50" spans="1:34">
      <c r="A50" t="str">
        <f>'Price Deck'!A44</f>
        <v>06/2022</v>
      </c>
      <c r="B50" s="39">
        <f>'Liquids Type Curve'!A57</f>
        <v>2.921890798786654</v>
      </c>
      <c r="C50" s="39">
        <f>'Liquids Type Curve'!B57</f>
        <v>35.062689585439848</v>
      </c>
      <c r="D50" s="39">
        <f>'Liquids Type Curve'!C57</f>
        <v>24.742474848305317</v>
      </c>
      <c r="E50" s="39">
        <f>'Liquids Type Curve'!D57</f>
        <v>752.58360996928673</v>
      </c>
      <c r="F50" s="39">
        <f>'Liquids Type Curve'!E57</f>
        <v>67675.450711478828</v>
      </c>
      <c r="H50" s="39">
        <f t="shared" si="18"/>
        <v>2.921890798786654</v>
      </c>
      <c r="I50" s="39">
        <f t="shared" si="19"/>
        <v>35.062689585439848</v>
      </c>
      <c r="J50" s="39">
        <f t="shared" si="1"/>
        <v>10.886688933254339</v>
      </c>
      <c r="K50" s="39">
        <f t="shared" si="20"/>
        <v>331.13678838648616</v>
      </c>
      <c r="L50" s="39">
        <f t="shared" si="21"/>
        <v>30717.734544934749</v>
      </c>
      <c r="N50">
        <f t="shared" si="2"/>
        <v>52.64663238679865</v>
      </c>
      <c r="O50">
        <f t="shared" si="3"/>
        <v>14088.346268814232</v>
      </c>
      <c r="P50">
        <f t="shared" si="9"/>
        <v>14.088346268814231</v>
      </c>
      <c r="Q50" s="161">
        <f t="shared" si="10"/>
        <v>4.275443842803754</v>
      </c>
      <c r="S50" s="157">
        <f t="shared" si="11"/>
        <v>0.16252663056822525</v>
      </c>
      <c r="T50" s="157">
        <v>0.05</v>
      </c>
      <c r="U50" s="157">
        <f t="shared" si="4"/>
        <v>0.16252663056822525</v>
      </c>
      <c r="V50" s="157">
        <f t="shared" si="5"/>
        <v>0.14020636331915953</v>
      </c>
      <c r="W50" s="157">
        <f t="shared" si="6"/>
        <v>0.18970248646308446</v>
      </c>
      <c r="Y50" s="157">
        <f t="shared" si="7"/>
        <v>-0.16361793344708642</v>
      </c>
      <c r="Z50" s="157">
        <f t="shared" si="12"/>
        <v>0.05</v>
      </c>
      <c r="AB50" s="2">
        <f>'Price Deck'!P44/'Price Deck'!M44</f>
        <v>13.902439024390246</v>
      </c>
      <c r="AC50" s="161">
        <f t="shared" si="13"/>
        <v>4.275443842803754</v>
      </c>
      <c r="AE50" s="161">
        <f t="shared" si="14"/>
        <v>4603.6090092755403</v>
      </c>
      <c r="AF50">
        <f t="shared" si="15"/>
        <v>0.05</v>
      </c>
      <c r="AG50" s="165">
        <f t="shared" si="16"/>
        <v>230.18045046377702</v>
      </c>
      <c r="AH50" s="165">
        <f t="shared" si="17"/>
        <v>0.30585365853658542</v>
      </c>
    </row>
    <row r="51" spans="1:34">
      <c r="A51" t="str">
        <f>'Price Deck'!A45</f>
        <v>07/2022</v>
      </c>
      <c r="B51" s="39">
        <f>'Liquids Type Curve'!A58</f>
        <v>3.0052241321199875</v>
      </c>
      <c r="C51" s="39">
        <f>'Liquids Type Curve'!B58</f>
        <v>36.062689585439848</v>
      </c>
      <c r="D51" s="39">
        <f>'Liquids Type Curve'!C58</f>
        <v>24.102369522833822</v>
      </c>
      <c r="E51" s="39">
        <f>'Liquids Type Curve'!D58</f>
        <v>733.11373965286214</v>
      </c>
      <c r="F51" s="39">
        <f>'Liquids Type Curve'!E58</f>
        <v>68408.564451131693</v>
      </c>
      <c r="H51" s="39">
        <f t="shared" si="18"/>
        <v>3.0052241321199875</v>
      </c>
      <c r="I51" s="39">
        <f t="shared" si="19"/>
        <v>36.062689585439848</v>
      </c>
      <c r="J51" s="39">
        <f t="shared" si="1"/>
        <v>10.605042590046882</v>
      </c>
      <c r="K51" s="39">
        <f t="shared" si="20"/>
        <v>322.5700454472593</v>
      </c>
      <c r="L51" s="39">
        <f t="shared" si="21"/>
        <v>31040.304590382009</v>
      </c>
      <c r="N51">
        <f t="shared" si="2"/>
        <v>51.284626768300946</v>
      </c>
      <c r="O51">
        <f t="shared" si="3"/>
        <v>13723.870785700943</v>
      </c>
      <c r="P51">
        <f t="shared" si="9"/>
        <v>13.723870785700942</v>
      </c>
      <c r="Q51" s="161">
        <f t="shared" si="10"/>
        <v>4.275443842803754</v>
      </c>
      <c r="S51" s="157">
        <f t="shared" si="11"/>
        <v>0.16252663056822525</v>
      </c>
      <c r="T51" s="157">
        <v>0.05</v>
      </c>
      <c r="U51" s="157">
        <f t="shared" si="4"/>
        <v>0.16252663056822525</v>
      </c>
      <c r="V51" s="157">
        <f t="shared" si="5"/>
        <v>0.14020636331915953</v>
      </c>
      <c r="W51" s="157">
        <f t="shared" si="6"/>
        <v>0.18970248646308446</v>
      </c>
      <c r="Y51" s="157">
        <f t="shared" si="7"/>
        <v>-0.16379787499309945</v>
      </c>
      <c r="Z51" s="157">
        <f t="shared" si="12"/>
        <v>0.05</v>
      </c>
      <c r="AB51" s="2">
        <f>'Price Deck'!P45/'Price Deck'!M45</f>
        <v>13.902439024390246</v>
      </c>
      <c r="AC51" s="161">
        <f t="shared" si="13"/>
        <v>4.275443842803754</v>
      </c>
      <c r="AE51" s="161">
        <f t="shared" si="14"/>
        <v>4484.5103879253129</v>
      </c>
      <c r="AF51">
        <f t="shared" si="15"/>
        <v>0.05</v>
      </c>
      <c r="AG51" s="165">
        <f t="shared" si="16"/>
        <v>224.22551939626567</v>
      </c>
      <c r="AH51" s="165">
        <f t="shared" si="17"/>
        <v>0.30585365853658542</v>
      </c>
    </row>
    <row r="52" spans="1:34">
      <c r="A52" t="str">
        <f>'Price Deck'!A46</f>
        <v>08/2022</v>
      </c>
      <c r="B52" s="39">
        <f>'Liquids Type Curve'!A59</f>
        <v>3.088557465453321</v>
      </c>
      <c r="C52" s="39">
        <f>'Liquids Type Curve'!B59</f>
        <v>37.062689585439855</v>
      </c>
      <c r="D52" s="39">
        <f>'Liquids Type Curve'!C59</f>
        <v>23.49566395390115</v>
      </c>
      <c r="E52" s="39">
        <f>'Liquids Type Curve'!D59</f>
        <v>714.65977859782674</v>
      </c>
      <c r="F52" s="39">
        <f>'Liquids Type Curve'!E59</f>
        <v>69123.224229729516</v>
      </c>
      <c r="H52" s="39">
        <f t="shared" si="18"/>
        <v>3.088557465453321</v>
      </c>
      <c r="I52" s="39">
        <f t="shared" si="19"/>
        <v>37.062689585439855</v>
      </c>
      <c r="J52" s="39">
        <f t="shared" si="1"/>
        <v>10.338092139716506</v>
      </c>
      <c r="K52" s="39">
        <f t="shared" si="20"/>
        <v>314.45030258304377</v>
      </c>
      <c r="L52" s="39">
        <f t="shared" si="21"/>
        <v>31354.754892965055</v>
      </c>
      <c r="N52">
        <f t="shared" si="2"/>
        <v>49.993688604255105</v>
      </c>
      <c r="O52">
        <f t="shared" si="3"/>
        <v>13378.413098434596</v>
      </c>
      <c r="P52">
        <f t="shared" si="9"/>
        <v>13.378413098434596</v>
      </c>
      <c r="Q52" s="161">
        <f t="shared" si="10"/>
        <v>4.275443842803754</v>
      </c>
      <c r="S52" s="157">
        <f t="shared" si="11"/>
        <v>0.16252663056822525</v>
      </c>
      <c r="T52" s="157">
        <v>0.05</v>
      </c>
      <c r="U52" s="157">
        <f t="shared" si="4"/>
        <v>0.16252663056822525</v>
      </c>
      <c r="V52" s="157">
        <f t="shared" si="5"/>
        <v>0.14020636331915953</v>
      </c>
      <c r="W52" s="157">
        <f t="shared" si="6"/>
        <v>0.18970248646308446</v>
      </c>
      <c r="Y52" s="157">
        <f t="shared" si="7"/>
        <v>-0.16396842745330287</v>
      </c>
      <c r="Z52" s="157">
        <f t="shared" si="12"/>
        <v>0.05</v>
      </c>
      <c r="AB52" s="2">
        <f>'Price Deck'!P46/'Price Deck'!M46</f>
        <v>13.902439024390246</v>
      </c>
      <c r="AC52" s="161">
        <f t="shared" si="13"/>
        <v>4.275443842803754</v>
      </c>
      <c r="AE52" s="161">
        <f t="shared" si="14"/>
        <v>4371.6261578618287</v>
      </c>
      <c r="AF52">
        <f t="shared" si="15"/>
        <v>0.05</v>
      </c>
      <c r="AG52" s="165">
        <f t="shared" si="16"/>
        <v>218.58130789309143</v>
      </c>
      <c r="AH52" s="165">
        <f t="shared" si="17"/>
        <v>0.30585365853658542</v>
      </c>
    </row>
    <row r="53" spans="1:34">
      <c r="A53" t="str">
        <f>'Price Deck'!A47</f>
        <v>09/2022</v>
      </c>
      <c r="B53" s="39">
        <f>'Liquids Type Curve'!A60</f>
        <v>3.1718907987866545</v>
      </c>
      <c r="C53" s="39">
        <f>'Liquids Type Curve'!B60</f>
        <v>38.062689585439855</v>
      </c>
      <c r="D53" s="39">
        <f>'Liquids Type Curve'!C60</f>
        <v>22.919782921340047</v>
      </c>
      <c r="E53" s="39">
        <f>'Liquids Type Curve'!D60</f>
        <v>697.14339719075986</v>
      </c>
      <c r="F53" s="39">
        <f>'Liquids Type Curve'!E60</f>
        <v>69820.36762692027</v>
      </c>
      <c r="H53" s="39">
        <f t="shared" si="18"/>
        <v>3.1718907987866545</v>
      </c>
      <c r="I53" s="39">
        <f t="shared" si="19"/>
        <v>38.062689585439855</v>
      </c>
      <c r="J53" s="39">
        <f t="shared" si="1"/>
        <v>10.08470448538962</v>
      </c>
      <c r="K53" s="39">
        <f t="shared" si="20"/>
        <v>306.74309476393432</v>
      </c>
      <c r="L53" s="39">
        <f t="shared" si="21"/>
        <v>31661.497987728988</v>
      </c>
      <c r="N53">
        <f t="shared" si="2"/>
        <v>48.768338383403972</v>
      </c>
      <c r="O53">
        <f t="shared" si="3"/>
        <v>13050.506878620095</v>
      </c>
      <c r="P53">
        <f t="shared" si="9"/>
        <v>13.050506878620096</v>
      </c>
      <c r="Q53" s="161">
        <f t="shared" si="10"/>
        <v>4.275443842803754</v>
      </c>
      <c r="S53" s="157">
        <f t="shared" si="11"/>
        <v>0.16252663056822525</v>
      </c>
      <c r="T53" s="157">
        <v>0.05</v>
      </c>
      <c r="U53" s="157">
        <f t="shared" si="4"/>
        <v>0.16252663056822525</v>
      </c>
      <c r="V53" s="157">
        <f t="shared" si="5"/>
        <v>0.14020636331915953</v>
      </c>
      <c r="W53" s="157">
        <f t="shared" si="6"/>
        <v>0.18970248646308446</v>
      </c>
      <c r="Y53" s="157">
        <f t="shared" si="7"/>
        <v>-0.16413031475402529</v>
      </c>
      <c r="Z53" s="157">
        <f t="shared" si="12"/>
        <v>0.05</v>
      </c>
      <c r="AB53" s="2">
        <f>'Price Deck'!P47/'Price Deck'!M47</f>
        <v>13.902439024390246</v>
      </c>
      <c r="AC53" s="161">
        <f t="shared" si="13"/>
        <v>4.275443842803754</v>
      </c>
      <c r="AE53" s="161">
        <f t="shared" si="14"/>
        <v>4264.4771711083558</v>
      </c>
      <c r="AF53">
        <f t="shared" si="15"/>
        <v>0.05</v>
      </c>
      <c r="AG53" s="165">
        <f t="shared" si="16"/>
        <v>213.22385855541779</v>
      </c>
      <c r="AH53" s="165">
        <f t="shared" si="17"/>
        <v>0.30585365853658542</v>
      </c>
    </row>
    <row r="54" spans="1:34">
      <c r="A54" t="str">
        <f>'Price Deck'!A48</f>
        <v>10/2022</v>
      </c>
      <c r="B54" s="39">
        <f>'Liquids Type Curve'!A61</f>
        <v>3.255224132119988</v>
      </c>
      <c r="C54" s="39">
        <f>'Liquids Type Curve'!B61</f>
        <v>39.062689585439855</v>
      </c>
      <c r="D54" s="39">
        <f>'Liquids Type Curve'!C61</f>
        <v>22.372410659219039</v>
      </c>
      <c r="E54" s="39">
        <f>'Liquids Type Curve'!D61</f>
        <v>680.49415755124573</v>
      </c>
      <c r="F54" s="39">
        <f>'Liquids Type Curve'!E61</f>
        <v>70500.861784471519</v>
      </c>
      <c r="H54" s="39">
        <f t="shared" si="18"/>
        <v>3.255224132119988</v>
      </c>
      <c r="I54" s="39">
        <f t="shared" si="19"/>
        <v>39.062689585439855</v>
      </c>
      <c r="J54" s="39">
        <f t="shared" si="1"/>
        <v>9.8438606900563776</v>
      </c>
      <c r="K54" s="39">
        <f t="shared" si="20"/>
        <v>299.41742932254817</v>
      </c>
      <c r="L54" s="39">
        <f t="shared" si="21"/>
        <v>31960.915417051536</v>
      </c>
      <c r="N54">
        <f t="shared" si="2"/>
        <v>47.603648656960182</v>
      </c>
      <c r="O54">
        <f t="shared" si="3"/>
        <v>12738.833530905928</v>
      </c>
      <c r="P54">
        <f t="shared" si="9"/>
        <v>12.738833530905927</v>
      </c>
      <c r="Q54" s="161">
        <f t="shared" si="10"/>
        <v>4.275443842803754</v>
      </c>
      <c r="S54" s="157">
        <f t="shared" si="11"/>
        <v>0.16252663056822525</v>
      </c>
      <c r="T54" s="157">
        <v>0.05</v>
      </c>
      <c r="U54" s="157">
        <f t="shared" si="4"/>
        <v>0.16252663056822525</v>
      </c>
      <c r="V54" s="157">
        <f t="shared" si="5"/>
        <v>0.14020636331915953</v>
      </c>
      <c r="W54" s="157">
        <f t="shared" si="6"/>
        <v>0.18970248646308446</v>
      </c>
      <c r="Y54" s="157">
        <f t="shared" si="7"/>
        <v>-0.16428418788579174</v>
      </c>
      <c r="Z54" s="157">
        <f t="shared" si="12"/>
        <v>0.05</v>
      </c>
      <c r="AB54" s="2">
        <f>'Price Deck'!P48/'Price Deck'!M48</f>
        <v>13.902439024390246</v>
      </c>
      <c r="AC54" s="161">
        <f t="shared" si="13"/>
        <v>4.275443842803754</v>
      </c>
      <c r="AE54" s="161">
        <f t="shared" si="14"/>
        <v>4162.6325539964018</v>
      </c>
      <c r="AF54">
        <f t="shared" si="15"/>
        <v>0.05</v>
      </c>
      <c r="AG54" s="165">
        <f t="shared" si="16"/>
        <v>208.13162769982011</v>
      </c>
      <c r="AH54" s="165">
        <f t="shared" si="17"/>
        <v>0.30585365853658547</v>
      </c>
    </row>
    <row r="55" spans="1:34">
      <c r="A55" t="str">
        <f>'Price Deck'!A49</f>
        <v>11/2022</v>
      </c>
      <c r="B55" s="39">
        <f>'Liquids Type Curve'!A62</f>
        <v>3.3385574654533214</v>
      </c>
      <c r="C55" s="39">
        <f>'Liquids Type Curve'!B62</f>
        <v>40.062689585439855</v>
      </c>
      <c r="D55" s="39">
        <f>'Liquids Type Curve'!C62</f>
        <v>21.851458886857582</v>
      </c>
      <c r="E55" s="39">
        <f>'Liquids Type Curve'!D62</f>
        <v>664.64854114191814</v>
      </c>
      <c r="F55" s="39">
        <f>'Liquids Type Curve'!E62</f>
        <v>71165.510325613432</v>
      </c>
      <c r="H55" s="39">
        <f t="shared" si="18"/>
        <v>3.3385574654533214</v>
      </c>
      <c r="I55" s="39">
        <f t="shared" si="19"/>
        <v>40.062689585439855</v>
      </c>
      <c r="J55" s="39">
        <f t="shared" si="1"/>
        <v>9.6146419102173368</v>
      </c>
      <c r="K55" s="39">
        <f t="shared" si="20"/>
        <v>292.445358102444</v>
      </c>
      <c r="L55" s="39">
        <f t="shared" si="21"/>
        <v>32253.360775153978</v>
      </c>
      <c r="N55">
        <f t="shared" si="2"/>
        <v>46.49517601552418</v>
      </c>
      <c r="O55">
        <f t="shared" si="3"/>
        <v>12442.203989868589</v>
      </c>
      <c r="P55">
        <f t="shared" si="9"/>
        <v>12.442203989868588</v>
      </c>
      <c r="Q55" s="161">
        <f t="shared" si="10"/>
        <v>4.275443842803754</v>
      </c>
      <c r="S55" s="157">
        <f t="shared" si="11"/>
        <v>0.16252663056822525</v>
      </c>
      <c r="T55" s="157">
        <v>0.05</v>
      </c>
      <c r="U55" s="157">
        <f t="shared" si="4"/>
        <v>0.16252663056822525</v>
      </c>
      <c r="V55" s="157">
        <f t="shared" si="5"/>
        <v>0.14020636331915953</v>
      </c>
      <c r="W55" s="157">
        <f t="shared" si="6"/>
        <v>0.18970248646308446</v>
      </c>
      <c r="Y55" s="157">
        <f t="shared" si="7"/>
        <v>-0.1644306338902019</v>
      </c>
      <c r="Z55" s="157">
        <f t="shared" si="12"/>
        <v>0.05</v>
      </c>
      <c r="AB55" s="2">
        <f>'Price Deck'!P49/'Price Deck'!M49</f>
        <v>13.902439024390246</v>
      </c>
      <c r="AC55" s="161">
        <f t="shared" si="13"/>
        <v>4.275443842803754</v>
      </c>
      <c r="AE55" s="161">
        <f t="shared" si="14"/>
        <v>4065.7037589851975</v>
      </c>
      <c r="AF55">
        <f t="shared" si="15"/>
        <v>0.05</v>
      </c>
      <c r="AG55" s="165">
        <f t="shared" si="16"/>
        <v>203.28518794925989</v>
      </c>
      <c r="AH55" s="165">
        <f t="shared" si="17"/>
        <v>0.30585365853658542</v>
      </c>
    </row>
    <row r="56" spans="1:34">
      <c r="A56" t="str">
        <f>'Price Deck'!A50</f>
        <v>12/2022</v>
      </c>
      <c r="B56" s="39">
        <f>'Liquids Type Curve'!A63</f>
        <v>3.4218907987866549</v>
      </c>
      <c r="C56" s="39">
        <f>'Liquids Type Curve'!B63</f>
        <v>41.062689585439855</v>
      </c>
      <c r="D56" s="39">
        <f>'Liquids Type Curve'!C63</f>
        <v>21.355039462147872</v>
      </c>
      <c r="E56" s="39">
        <f>'Liquids Type Curve'!D63</f>
        <v>649.54911697366447</v>
      </c>
      <c r="F56" s="39">
        <f>'Liquids Type Curve'!E63</f>
        <v>71815.059442587095</v>
      </c>
      <c r="H56" s="39">
        <f t="shared" si="18"/>
        <v>3.4218907987866549</v>
      </c>
      <c r="I56" s="39">
        <f t="shared" si="19"/>
        <v>41.062689585439855</v>
      </c>
      <c r="J56" s="39">
        <f t="shared" si="1"/>
        <v>9.3962173633450643</v>
      </c>
      <c r="K56" s="39">
        <f t="shared" si="20"/>
        <v>285.80161146841237</v>
      </c>
      <c r="L56" s="39">
        <f t="shared" si="21"/>
        <v>32539.162386622389</v>
      </c>
      <c r="N56">
        <f t="shared" si="2"/>
        <v>45.438902901270687</v>
      </c>
      <c r="O56">
        <f t="shared" si="3"/>
        <v>12159.543148834939</v>
      </c>
      <c r="P56">
        <f t="shared" si="9"/>
        <v>12.159543148834938</v>
      </c>
      <c r="Q56" s="161">
        <f t="shared" si="10"/>
        <v>4.275443842803754</v>
      </c>
      <c r="S56" s="157">
        <f t="shared" si="11"/>
        <v>0.16252663056822525</v>
      </c>
      <c r="T56" s="157">
        <v>0.05</v>
      </c>
      <c r="U56" s="157">
        <f t="shared" si="4"/>
        <v>0.16252663056822525</v>
      </c>
      <c r="V56" s="157">
        <f t="shared" si="5"/>
        <v>0.14020636331915953</v>
      </c>
      <c r="W56" s="157">
        <f t="shared" si="6"/>
        <v>0.18970248646308446</v>
      </c>
      <c r="Y56" s="157">
        <f t="shared" si="7"/>
        <v>-0.1645701835474202</v>
      </c>
      <c r="Z56" s="157">
        <f t="shared" si="12"/>
        <v>0.05</v>
      </c>
      <c r="AB56" s="2">
        <f>'Price Deck'!P50/'Price Deck'!M50</f>
        <v>13.902439024390246</v>
      </c>
      <c r="AC56" s="161">
        <f t="shared" si="13"/>
        <v>4.275443842803754</v>
      </c>
      <c r="AE56" s="161">
        <f t="shared" si="14"/>
        <v>3973.3394765120752</v>
      </c>
      <c r="AF56">
        <f t="shared" si="15"/>
        <v>0.05</v>
      </c>
      <c r="AG56" s="165">
        <f t="shared" si="16"/>
        <v>198.66697382560378</v>
      </c>
      <c r="AH56" s="165">
        <f t="shared" si="17"/>
        <v>0.30585365853658547</v>
      </c>
    </row>
    <row r="57" spans="1:34">
      <c r="A57" t="str">
        <f>'Price Deck'!A51</f>
        <v>01/2023</v>
      </c>
      <c r="B57" s="39">
        <f>'Liquids Type Curve'!A64</f>
        <v>3.5052241321199884</v>
      </c>
      <c r="C57" s="39">
        <f>'Liquids Type Curve'!B64</f>
        <v>42.062689585439863</v>
      </c>
      <c r="D57" s="39">
        <f>'Liquids Type Curve'!C64</f>
        <v>20.881440894774173</v>
      </c>
      <c r="E57" s="39">
        <f>'Liquids Type Curve'!D64</f>
        <v>635.14382721604773</v>
      </c>
      <c r="F57" s="39">
        <f>'Liquids Type Curve'!E64</f>
        <v>72450.20326980314</v>
      </c>
      <c r="H57" s="39">
        <f t="shared" si="18"/>
        <v>3.5052241321199884</v>
      </c>
      <c r="I57" s="39">
        <f t="shared" si="19"/>
        <v>42.062689585439863</v>
      </c>
      <c r="J57" s="39">
        <f t="shared" si="1"/>
        <v>9.1878339937006359</v>
      </c>
      <c r="K57" s="39">
        <f t="shared" si="20"/>
        <v>279.46328397506102</v>
      </c>
      <c r="L57" s="39">
        <f t="shared" si="21"/>
        <v>32818.625670597452</v>
      </c>
      <c r="N57">
        <f t="shared" si="2"/>
        <v>44.431187633161791</v>
      </c>
      <c r="O57">
        <f t="shared" si="3"/>
        <v>11889.876486527226</v>
      </c>
      <c r="P57">
        <f t="shared" si="9"/>
        <v>11.889876486527227</v>
      </c>
      <c r="Q57" s="161">
        <f t="shared" si="10"/>
        <v>4.5004672029513202</v>
      </c>
      <c r="S57" s="157">
        <f t="shared" si="11"/>
        <v>0.17602803217707924</v>
      </c>
      <c r="T57" s="157">
        <v>0.05</v>
      </c>
      <c r="U57" s="157">
        <f t="shared" si="4"/>
        <v>0.17602803217707924</v>
      </c>
      <c r="V57" s="157">
        <f t="shared" si="5"/>
        <v>0.14976985612543109</v>
      </c>
      <c r="W57" s="157">
        <f t="shared" si="6"/>
        <v>0.19476551206640469</v>
      </c>
      <c r="Y57" s="157">
        <f t="shared" si="7"/>
        <v>-0.16470331797860152</v>
      </c>
      <c r="Z57" s="157">
        <f t="shared" si="12"/>
        <v>0.05</v>
      </c>
      <c r="AB57" s="2">
        <f>'Price Deck'!P51/'Price Deck'!M51</f>
        <v>14.634146341463415</v>
      </c>
      <c r="AC57" s="161">
        <f t="shared" si="13"/>
        <v>4.5004672029513202</v>
      </c>
      <c r="AE57" s="161">
        <f t="shared" si="14"/>
        <v>4089.7065947569909</v>
      </c>
      <c r="AF57">
        <f t="shared" si="15"/>
        <v>0.05</v>
      </c>
      <c r="AG57" s="165">
        <f t="shared" si="16"/>
        <v>204.48532973784955</v>
      </c>
      <c r="AH57" s="165">
        <f t="shared" si="17"/>
        <v>0.32195121951219519</v>
      </c>
    </row>
    <row r="58" spans="1:34">
      <c r="A58" t="str">
        <f>'Price Deck'!A52</f>
        <v>02/2023</v>
      </c>
      <c r="B58" s="39">
        <f>'Liquids Type Curve'!A65</f>
        <v>3.5885574654533219</v>
      </c>
      <c r="C58" s="39">
        <f>'Liquids Type Curve'!B65</f>
        <v>43.062689585439863</v>
      </c>
      <c r="D58" s="39">
        <f>'Liquids Type Curve'!C65</f>
        <v>20.42910809746995</v>
      </c>
      <c r="E58" s="39">
        <f>'Liquids Type Curve'!D65</f>
        <v>621.38537129804433</v>
      </c>
      <c r="F58" s="39">
        <f>'Liquids Type Curve'!E65</f>
        <v>73071.588641101189</v>
      </c>
      <c r="H58" s="39">
        <f t="shared" si="18"/>
        <v>3.5885574654533219</v>
      </c>
      <c r="I58" s="39">
        <f t="shared" si="19"/>
        <v>43.062689585439863</v>
      </c>
      <c r="J58" s="39">
        <f t="shared" si="1"/>
        <v>8.9888075628867785</v>
      </c>
      <c r="K58" s="39">
        <f t="shared" si="20"/>
        <v>273.40956337113954</v>
      </c>
      <c r="L58" s="39">
        <f t="shared" si="21"/>
        <v>33092.035233968592</v>
      </c>
      <c r="N58">
        <f t="shared" si="2"/>
        <v>43.468721322003809</v>
      </c>
      <c r="O58">
        <f t="shared" si="3"/>
        <v>11632.318537444387</v>
      </c>
      <c r="P58">
        <f t="shared" si="9"/>
        <v>11.632318537444387</v>
      </c>
      <c r="Q58" s="161">
        <f t="shared" si="10"/>
        <v>4.5004672029513202</v>
      </c>
      <c r="S58" s="157">
        <f t="shared" si="11"/>
        <v>0.17602803217707924</v>
      </c>
      <c r="T58" s="157">
        <v>0.05</v>
      </c>
      <c r="U58" s="157">
        <f t="shared" si="4"/>
        <v>0.17602803217707924</v>
      </c>
      <c r="V58" s="157">
        <f t="shared" si="5"/>
        <v>0.14976985612543109</v>
      </c>
      <c r="W58" s="157">
        <f t="shared" si="6"/>
        <v>0.19476551206640469</v>
      </c>
      <c r="Y58" s="157">
        <f t="shared" si="7"/>
        <v>-0.16483047433806369</v>
      </c>
      <c r="Z58" s="157">
        <f t="shared" si="12"/>
        <v>0.05</v>
      </c>
      <c r="AB58" s="2">
        <f>'Price Deck'!P52/'Price Deck'!M52</f>
        <v>14.634146341463415</v>
      </c>
      <c r="AC58" s="161">
        <f t="shared" si="13"/>
        <v>4.5004672029513202</v>
      </c>
      <c r="AE58" s="161">
        <f t="shared" si="14"/>
        <v>4001.1155615288717</v>
      </c>
      <c r="AF58">
        <f t="shared" si="15"/>
        <v>0.05</v>
      </c>
      <c r="AG58" s="165">
        <f t="shared" si="16"/>
        <v>200.0557780764436</v>
      </c>
      <c r="AH58" s="165">
        <f t="shared" si="17"/>
        <v>0.32195121951219524</v>
      </c>
    </row>
    <row r="59" spans="1:34">
      <c r="A59" t="str">
        <f>'Price Deck'!A53</f>
        <v>03/2023</v>
      </c>
      <c r="B59" s="39">
        <f>'Liquids Type Curve'!A66</f>
        <v>3.6718907987866554</v>
      </c>
      <c r="C59" s="39">
        <f>'Liquids Type Curve'!B66</f>
        <v>44.062689585439863</v>
      </c>
      <c r="D59" s="39">
        <f>'Liquids Type Curve'!C66</f>
        <v>19.996624865488887</v>
      </c>
      <c r="E59" s="39">
        <f>'Liquids Type Curve'!D66</f>
        <v>608.23067299195361</v>
      </c>
      <c r="F59" s="39">
        <f>'Liquids Type Curve'!E66</f>
        <v>73679.81931409314</v>
      </c>
      <c r="H59" s="39">
        <f t="shared" si="18"/>
        <v>3.6718907987866554</v>
      </c>
      <c r="I59" s="39">
        <f t="shared" si="19"/>
        <v>44.062689585439863</v>
      </c>
      <c r="J59" s="39">
        <f t="shared" si="1"/>
        <v>8.7985149408151102</v>
      </c>
      <c r="K59" s="39">
        <f t="shared" si="20"/>
        <v>267.62149611645964</v>
      </c>
      <c r="L59" s="39">
        <f t="shared" si="21"/>
        <v>33359.656730085051</v>
      </c>
      <c r="N59">
        <f t="shared" si="2"/>
        <v>42.548490590552902</v>
      </c>
      <c r="O59">
        <f t="shared" si="3"/>
        <v>11386.062915686225</v>
      </c>
      <c r="P59">
        <f t="shared" si="9"/>
        <v>11.386062915686225</v>
      </c>
      <c r="Q59" s="161">
        <f t="shared" si="10"/>
        <v>4.5004672029513202</v>
      </c>
      <c r="S59" s="157">
        <f t="shared" si="11"/>
        <v>0.17602803217707924</v>
      </c>
      <c r="T59" s="157">
        <v>0.05</v>
      </c>
      <c r="U59" s="157">
        <f t="shared" si="4"/>
        <v>0.17602803217707924</v>
      </c>
      <c r="V59" s="157">
        <f t="shared" si="5"/>
        <v>0.14976985612543109</v>
      </c>
      <c r="W59" s="157">
        <f t="shared" si="6"/>
        <v>0.19476551206640469</v>
      </c>
      <c r="Y59" s="157">
        <f t="shared" si="7"/>
        <v>-0.1649520507385257</v>
      </c>
      <c r="Z59" s="157">
        <f t="shared" si="12"/>
        <v>0.05</v>
      </c>
      <c r="AB59" s="2">
        <f>'Price Deck'!P53/'Price Deck'!M53</f>
        <v>14.634146341463415</v>
      </c>
      <c r="AC59" s="161">
        <f t="shared" si="13"/>
        <v>4.5004672029513202</v>
      </c>
      <c r="AE59" s="161">
        <f t="shared" si="14"/>
        <v>3916.4121382896533</v>
      </c>
      <c r="AF59">
        <f t="shared" si="15"/>
        <v>0.05</v>
      </c>
      <c r="AG59" s="165">
        <f t="shared" si="16"/>
        <v>195.82060691448268</v>
      </c>
      <c r="AH59" s="165">
        <f t="shared" si="17"/>
        <v>0.32195121951219519</v>
      </c>
    </row>
    <row r="60" spans="1:34">
      <c r="A60" t="str">
        <f>'Price Deck'!A54</f>
        <v>04/2023</v>
      </c>
      <c r="B60" s="39">
        <f>'Liquids Type Curve'!A67</f>
        <v>3.7552241321199888</v>
      </c>
      <c r="C60" s="39">
        <f>'Liquids Type Curve'!B67</f>
        <v>45.06268958543987</v>
      </c>
      <c r="D60" s="39">
        <f>'Liquids Type Curve'!C67</f>
        <v>19.582698664276563</v>
      </c>
      <c r="E60" s="39">
        <f>'Liquids Type Curve'!D67</f>
        <v>595.64041770507879</v>
      </c>
      <c r="F60" s="39">
        <f>'Liquids Type Curve'!E67</f>
        <v>74275.459731798212</v>
      </c>
      <c r="H60" s="39">
        <f t="shared" si="18"/>
        <v>3.7552241321199888</v>
      </c>
      <c r="I60" s="39">
        <f t="shared" si="19"/>
        <v>45.06268958543987</v>
      </c>
      <c r="J60" s="39">
        <f t="shared" si="1"/>
        <v>8.6163874122816875</v>
      </c>
      <c r="K60" s="39">
        <f t="shared" si="20"/>
        <v>262.08178379023468</v>
      </c>
      <c r="L60" s="39">
        <f t="shared" si="21"/>
        <v>33621.738513875287</v>
      </c>
      <c r="N60">
        <f t="shared" si="2"/>
        <v>41.667745204972285</v>
      </c>
      <c r="O60">
        <f t="shared" si="3"/>
        <v>11150.37365306529</v>
      </c>
      <c r="P60">
        <f t="shared" si="9"/>
        <v>11.150373653065289</v>
      </c>
      <c r="Q60" s="161">
        <f t="shared" si="10"/>
        <v>4.5004672029513202</v>
      </c>
      <c r="S60" s="157">
        <f t="shared" si="11"/>
        <v>0.17602803217707924</v>
      </c>
      <c r="T60" s="157">
        <v>0.05</v>
      </c>
      <c r="U60" s="157">
        <f t="shared" si="4"/>
        <v>0.17602803217707924</v>
      </c>
      <c r="V60" s="157">
        <f t="shared" si="5"/>
        <v>0.14976985612543109</v>
      </c>
      <c r="W60" s="157">
        <f t="shared" si="6"/>
        <v>0.19476551206640469</v>
      </c>
      <c r="Y60" s="157">
        <f t="shared" si="7"/>
        <v>-0.16506841052748167</v>
      </c>
      <c r="Z60" s="157">
        <f t="shared" si="12"/>
        <v>0.05</v>
      </c>
      <c r="AB60" s="2">
        <f>'Price Deck'!P54/'Price Deck'!M54</f>
        <v>14.634146341463415</v>
      </c>
      <c r="AC60" s="161">
        <f t="shared" si="13"/>
        <v>4.5004672029513202</v>
      </c>
      <c r="AE60" s="161">
        <f t="shared" si="14"/>
        <v>3835.3431774180685</v>
      </c>
      <c r="AF60">
        <f t="shared" si="15"/>
        <v>0.05</v>
      </c>
      <c r="AG60" s="165">
        <f t="shared" si="16"/>
        <v>191.76715887090344</v>
      </c>
      <c r="AH60" s="165">
        <f t="shared" si="17"/>
        <v>0.32195121951219519</v>
      </c>
    </row>
    <row r="61" spans="1:34">
      <c r="A61" t="str">
        <f>'Price Deck'!A55</f>
        <v>05/2023</v>
      </c>
      <c r="B61" s="39">
        <f>'Liquids Type Curve'!A68</f>
        <v>3.8385574654533223</v>
      </c>
      <c r="C61" s="39">
        <f>'Liquids Type Curve'!B68</f>
        <v>46.06268958543987</v>
      </c>
      <c r="D61" s="39">
        <f>'Liquids Type Curve'!C68</f>
        <v>19.186147377712356</v>
      </c>
      <c r="E61" s="39">
        <f>'Liquids Type Curve'!D68</f>
        <v>583.57864940541754</v>
      </c>
      <c r="F61" s="39">
        <f>'Liquids Type Curve'!E68</f>
        <v>74859.038381203631</v>
      </c>
      <c r="H61" s="39">
        <f t="shared" si="18"/>
        <v>3.8385574654533223</v>
      </c>
      <c r="I61" s="39">
        <f t="shared" si="19"/>
        <v>46.06268958543987</v>
      </c>
      <c r="J61" s="39">
        <f t="shared" si="1"/>
        <v>8.4419048461934363</v>
      </c>
      <c r="K61" s="39">
        <f t="shared" si="20"/>
        <v>256.77460573838368</v>
      </c>
      <c r="L61" s="39">
        <f t="shared" si="21"/>
        <v>33878.513119613672</v>
      </c>
      <c r="N61">
        <f t="shared" si="2"/>
        <v>40.823969877958547</v>
      </c>
      <c r="O61">
        <f t="shared" si="3"/>
        <v>10924.57765356595</v>
      </c>
      <c r="P61">
        <f t="shared" si="9"/>
        <v>10.924577653565949</v>
      </c>
      <c r="Q61" s="161">
        <f t="shared" si="10"/>
        <v>4.5004672029513202</v>
      </c>
      <c r="S61" s="157">
        <f t="shared" si="11"/>
        <v>0.17602803217707924</v>
      </c>
      <c r="T61" s="157">
        <v>0.05</v>
      </c>
      <c r="U61" s="157">
        <f t="shared" si="4"/>
        <v>0.17602803217707924</v>
      </c>
      <c r="V61" s="157">
        <f t="shared" si="5"/>
        <v>0.14976985612543109</v>
      </c>
      <c r="W61" s="157">
        <f t="shared" si="6"/>
        <v>0.19476551206640469</v>
      </c>
      <c r="Y61" s="157">
        <f t="shared" si="7"/>
        <v>-0.1651798860124345</v>
      </c>
      <c r="Z61" s="157">
        <f t="shared" si="12"/>
        <v>0.05</v>
      </c>
      <c r="AB61" s="2">
        <f>'Price Deck'!P55/'Price Deck'!M55</f>
        <v>14.634146341463415</v>
      </c>
      <c r="AC61" s="161">
        <f t="shared" si="13"/>
        <v>4.5004672029513202</v>
      </c>
      <c r="AE61" s="161">
        <f t="shared" si="14"/>
        <v>3757.6771571470786</v>
      </c>
      <c r="AF61">
        <f t="shared" si="15"/>
        <v>0.05</v>
      </c>
      <c r="AG61" s="165">
        <f t="shared" si="16"/>
        <v>187.88385785735395</v>
      </c>
      <c r="AH61" s="165">
        <f t="shared" si="17"/>
        <v>0.32195121951219513</v>
      </c>
    </row>
    <row r="62" spans="1:34">
      <c r="A62" t="str">
        <f>'Price Deck'!A56</f>
        <v>06/2023</v>
      </c>
      <c r="B62" s="39">
        <f>'Liquids Type Curve'!A69</f>
        <v>3.9218907987866558</v>
      </c>
      <c r="C62" s="39">
        <f>'Liquids Type Curve'!B69</f>
        <v>47.06268958543987</v>
      </c>
      <c r="D62" s="39">
        <f>'Liquids Type Curve'!C69</f>
        <v>18.805887727924883</v>
      </c>
      <c r="E62" s="39">
        <f>'Liquids Type Curve'!D69</f>
        <v>572.01241839104853</v>
      </c>
      <c r="F62" s="39">
        <f>'Liquids Type Curve'!E69</f>
        <v>75431.050799594683</v>
      </c>
      <c r="H62" s="39">
        <f t="shared" si="18"/>
        <v>3.9218907987866558</v>
      </c>
      <c r="I62" s="39">
        <f t="shared" si="19"/>
        <v>47.06268958543987</v>
      </c>
      <c r="J62" s="39">
        <f t="shared" si="1"/>
        <v>8.2745906002869489</v>
      </c>
      <c r="K62" s="39">
        <f t="shared" si="20"/>
        <v>251.68546409206138</v>
      </c>
      <c r="L62" s="39">
        <f t="shared" si="21"/>
        <v>34130.198583705736</v>
      </c>
      <c r="N62">
        <f t="shared" si="2"/>
        <v>40.014859628614801</v>
      </c>
      <c r="O62">
        <f t="shared" si="3"/>
        <v>10708.058099596155</v>
      </c>
      <c r="P62">
        <f t="shared" si="9"/>
        <v>10.708058099596155</v>
      </c>
      <c r="Q62" s="161">
        <f t="shared" si="10"/>
        <v>4.5004672029513202</v>
      </c>
      <c r="S62" s="157">
        <f t="shared" si="11"/>
        <v>0.17602803217707924</v>
      </c>
      <c r="T62" s="157">
        <v>0.05</v>
      </c>
      <c r="U62" s="157">
        <f t="shared" si="4"/>
        <v>0.17602803217707924</v>
      </c>
      <c r="V62" s="157">
        <f t="shared" si="5"/>
        <v>0.14976985612543109</v>
      </c>
      <c r="W62" s="157">
        <f t="shared" si="6"/>
        <v>0.19476551206640469</v>
      </c>
      <c r="Y62" s="157">
        <f t="shared" si="7"/>
        <v>-0.1652867817162294</v>
      </c>
      <c r="Z62" s="157">
        <f t="shared" si="12"/>
        <v>0.05</v>
      </c>
      <c r="AB62" s="2">
        <f>'Price Deck'!P56/'Price Deck'!M56</f>
        <v>14.634146341463415</v>
      </c>
      <c r="AC62" s="161">
        <f t="shared" si="13"/>
        <v>4.5004672029513202</v>
      </c>
      <c r="AE62" s="161">
        <f t="shared" si="14"/>
        <v>3683.2019135423616</v>
      </c>
      <c r="AF62">
        <f t="shared" si="15"/>
        <v>0.05</v>
      </c>
      <c r="AG62" s="165">
        <f t="shared" si="16"/>
        <v>184.16009567711808</v>
      </c>
      <c r="AH62" s="165">
        <f t="shared" si="17"/>
        <v>0.32195121951219513</v>
      </c>
    </row>
    <row r="63" spans="1:34">
      <c r="A63" t="str">
        <f>'Price Deck'!A57</f>
        <v>07/2023</v>
      </c>
      <c r="B63" s="39">
        <f>'Liquids Type Curve'!A70</f>
        <v>4.0052241321199888</v>
      </c>
      <c r="C63" s="39">
        <f>'Liquids Type Curve'!B70</f>
        <v>48.06268958543987</v>
      </c>
      <c r="D63" s="39">
        <f>'Liquids Type Curve'!C70</f>
        <v>18.440925125414772</v>
      </c>
      <c r="E63" s="39">
        <f>'Liquids Type Curve'!D70</f>
        <v>560.91147256469935</v>
      </c>
      <c r="F63" s="39">
        <f>'Liquids Type Curve'!E70</f>
        <v>75991.962272159377</v>
      </c>
      <c r="H63" s="39">
        <f t="shared" si="18"/>
        <v>4.0052241321199888</v>
      </c>
      <c r="I63" s="39">
        <f t="shared" si="19"/>
        <v>48.06268958543987</v>
      </c>
      <c r="J63" s="39">
        <f t="shared" si="1"/>
        <v>8.1140070551824994</v>
      </c>
      <c r="K63" s="39">
        <f t="shared" si="20"/>
        <v>246.80104792846771</v>
      </c>
      <c r="L63" s="39">
        <f t="shared" si="21"/>
        <v>34376.999631634208</v>
      </c>
      <c r="N63">
        <f t="shared" si="2"/>
        <v>39.238298185708246</v>
      </c>
      <c r="O63">
        <f t="shared" si="3"/>
        <v>10500.248672655091</v>
      </c>
      <c r="P63">
        <f t="shared" si="9"/>
        <v>10.50024867265509</v>
      </c>
      <c r="Q63" s="161">
        <f t="shared" si="10"/>
        <v>4.5004672029513202</v>
      </c>
      <c r="S63" s="157">
        <f t="shared" si="11"/>
        <v>0.17602803217707924</v>
      </c>
      <c r="T63" s="157">
        <v>0.05</v>
      </c>
      <c r="U63" s="157">
        <f t="shared" si="4"/>
        <v>0.17602803217707924</v>
      </c>
      <c r="V63" s="157">
        <f t="shared" si="5"/>
        <v>0.14976985612543109</v>
      </c>
      <c r="W63" s="157">
        <f t="shared" si="6"/>
        <v>0.19476551206640469</v>
      </c>
      <c r="Y63" s="157">
        <f t="shared" si="7"/>
        <v>-0.16538937723031019</v>
      </c>
      <c r="Z63" s="157">
        <f t="shared" si="12"/>
        <v>0.05</v>
      </c>
      <c r="AB63" s="2">
        <f>'Price Deck'!P57/'Price Deck'!M57</f>
        <v>14.634146341463415</v>
      </c>
      <c r="AC63" s="161">
        <f t="shared" si="13"/>
        <v>4.5004672029513202</v>
      </c>
      <c r="AE63" s="161">
        <f t="shared" si="14"/>
        <v>3611.7226526117229</v>
      </c>
      <c r="AF63">
        <f t="shared" si="15"/>
        <v>0.05</v>
      </c>
      <c r="AG63" s="165">
        <f t="shared" si="16"/>
        <v>180.58613263058615</v>
      </c>
      <c r="AH63" s="165">
        <f t="shared" si="17"/>
        <v>0.32195121951219513</v>
      </c>
    </row>
    <row r="64" spans="1:34">
      <c r="A64" t="str">
        <f>'Price Deck'!A58</f>
        <v>08/2023</v>
      </c>
      <c r="B64" s="39">
        <f>'Liquids Type Curve'!A71</f>
        <v>4.0885574654533219</v>
      </c>
      <c r="C64" s="39">
        <f>'Liquids Type Curve'!B71</f>
        <v>49.062689585439863</v>
      </c>
      <c r="D64" s="39">
        <f>'Liquids Type Curve'!C71</f>
        <v>18.090344747252011</v>
      </c>
      <c r="E64" s="39">
        <f>'Liquids Type Curve'!D71</f>
        <v>550.24798606224874</v>
      </c>
      <c r="F64" s="39">
        <f>'Liquids Type Curve'!E71</f>
        <v>76542.210258221632</v>
      </c>
      <c r="H64" s="39">
        <f t="shared" si="18"/>
        <v>4.0885574654533219</v>
      </c>
      <c r="I64" s="39">
        <f t="shared" si="19"/>
        <v>49.062689585439863</v>
      </c>
      <c r="J64" s="39">
        <f t="shared" si="1"/>
        <v>7.9597516887908855</v>
      </c>
      <c r="K64" s="39">
        <f t="shared" si="20"/>
        <v>242.10911386738945</v>
      </c>
      <c r="L64" s="39">
        <f t="shared" si="21"/>
        <v>34619.108745501595</v>
      </c>
      <c r="N64">
        <f t="shared" si="2"/>
        <v>38.492339004004812</v>
      </c>
      <c r="O64">
        <f t="shared" si="3"/>
        <v>10300.628473265575</v>
      </c>
      <c r="P64">
        <f t="shared" si="9"/>
        <v>10.300628473265576</v>
      </c>
      <c r="Q64" s="161">
        <f t="shared" si="10"/>
        <v>4.5004672029513202</v>
      </c>
      <c r="S64" s="157">
        <f t="shared" si="11"/>
        <v>0.17602803217707924</v>
      </c>
      <c r="T64" s="157">
        <v>0.05</v>
      </c>
      <c r="U64" s="157">
        <f t="shared" si="4"/>
        <v>0.17602803217707924</v>
      </c>
      <c r="V64" s="157">
        <f t="shared" si="5"/>
        <v>0.14976985612543109</v>
      </c>
      <c r="W64" s="157">
        <f t="shared" si="6"/>
        <v>0.19476551206640469</v>
      </c>
      <c r="Y64" s="157">
        <f t="shared" si="7"/>
        <v>-0.16548792972274878</v>
      </c>
      <c r="Z64" s="157">
        <f t="shared" si="12"/>
        <v>0.05</v>
      </c>
      <c r="AB64" s="2">
        <f>'Price Deck'!P58/'Price Deck'!M58</f>
        <v>14.634146341463415</v>
      </c>
      <c r="AC64" s="161">
        <f t="shared" si="13"/>
        <v>4.5004672029513202</v>
      </c>
      <c r="AE64" s="161">
        <f t="shared" si="14"/>
        <v>3543.0602029374068</v>
      </c>
      <c r="AF64">
        <f t="shared" si="15"/>
        <v>0.05</v>
      </c>
      <c r="AG64" s="165">
        <f t="shared" si="16"/>
        <v>177.15301014687034</v>
      </c>
      <c r="AH64" s="165">
        <f t="shared" si="17"/>
        <v>0.32195121951219513</v>
      </c>
    </row>
    <row r="65" spans="1:34">
      <c r="A65" t="str">
        <f>'Price Deck'!A59</f>
        <v>09/2023</v>
      </c>
      <c r="B65" s="39">
        <f>'Liquids Type Curve'!A72</f>
        <v>4.1718907987866549</v>
      </c>
      <c r="C65" s="39">
        <f>'Liquids Type Curve'!B72</f>
        <v>50.062689585439855</v>
      </c>
      <c r="D65" s="39">
        <f>'Liquids Type Curve'!C72</f>
        <v>17.753303673180092</v>
      </c>
      <c r="E65" s="39">
        <f>'Liquids Type Curve'!D72</f>
        <v>539.99632005922786</v>
      </c>
      <c r="F65" s="39">
        <f>'Liquids Type Curve'!E72</f>
        <v>77082.206578280864</v>
      </c>
      <c r="H65" s="39">
        <f t="shared" si="18"/>
        <v>4.1718907987866549</v>
      </c>
      <c r="I65" s="39">
        <f t="shared" si="19"/>
        <v>50.062689585439855</v>
      </c>
      <c r="J65" s="39">
        <f t="shared" si="1"/>
        <v>7.8114536161992403</v>
      </c>
      <c r="K65" s="39">
        <f t="shared" si="20"/>
        <v>237.59838082606024</v>
      </c>
      <c r="L65" s="39">
        <f t="shared" si="21"/>
        <v>34856.707126327652</v>
      </c>
      <c r="N65">
        <f t="shared" si="2"/>
        <v>37.775188531600406</v>
      </c>
      <c r="O65">
        <f t="shared" si="3"/>
        <v>10108.717543277764</v>
      </c>
      <c r="P65">
        <f t="shared" si="9"/>
        <v>10.108717543277765</v>
      </c>
      <c r="Q65" s="161">
        <f t="shared" si="10"/>
        <v>4.5004672029513202</v>
      </c>
      <c r="S65" s="157">
        <f t="shared" si="11"/>
        <v>0.17602803217707924</v>
      </c>
      <c r="T65" s="157">
        <v>0.05</v>
      </c>
      <c r="U65" s="157">
        <f t="shared" si="4"/>
        <v>0.17602803217707924</v>
      </c>
      <c r="V65" s="157">
        <f t="shared" si="5"/>
        <v>0.14976985612543109</v>
      </c>
      <c r="W65" s="157">
        <f t="shared" si="6"/>
        <v>0.19476551206640469</v>
      </c>
      <c r="Y65" s="157">
        <f t="shared" si="7"/>
        <v>-0.16558267614888378</v>
      </c>
      <c r="Z65" s="157">
        <f t="shared" si="12"/>
        <v>0.05</v>
      </c>
      <c r="AB65" s="2">
        <f>'Price Deck'!P59/'Price Deck'!M59</f>
        <v>14.634146341463415</v>
      </c>
      <c r="AC65" s="161">
        <f t="shared" si="13"/>
        <v>4.5004672029513202</v>
      </c>
      <c r="AE65" s="161">
        <f t="shared" si="14"/>
        <v>3477.0494755033205</v>
      </c>
      <c r="AF65">
        <f t="shared" si="15"/>
        <v>0.05</v>
      </c>
      <c r="AG65" s="165">
        <f t="shared" si="16"/>
        <v>173.85247377516603</v>
      </c>
      <c r="AH65" s="165">
        <f t="shared" si="17"/>
        <v>0.32195121951219513</v>
      </c>
    </row>
    <row r="66" spans="1:34">
      <c r="A66" t="str">
        <f>'Price Deck'!A60</f>
        <v>10/2023</v>
      </c>
      <c r="B66" s="39">
        <f>'Liquids Type Curve'!A73</f>
        <v>4.255224132119988</v>
      </c>
      <c r="C66" s="39">
        <f>'Liquids Type Curve'!B73</f>
        <v>51.062689585439855</v>
      </c>
      <c r="D66" s="39">
        <f>'Liquids Type Curve'!C73</f>
        <v>17.429023935911417</v>
      </c>
      <c r="E66" s="39">
        <f>'Liquids Type Curve'!D73</f>
        <v>530.13281138397224</v>
      </c>
      <c r="F66" s="39">
        <f>'Liquids Type Curve'!E73</f>
        <v>77612.339389664834</v>
      </c>
      <c r="H66" s="39">
        <f t="shared" si="18"/>
        <v>4.255224132119988</v>
      </c>
      <c r="I66" s="39">
        <f t="shared" si="19"/>
        <v>51.062689585439855</v>
      </c>
      <c r="J66" s="39">
        <f t="shared" si="1"/>
        <v>7.6687705318010231</v>
      </c>
      <c r="K66" s="39">
        <f t="shared" si="20"/>
        <v>233.25843700894779</v>
      </c>
      <c r="L66" s="39">
        <f t="shared" si="21"/>
        <v>35089.965563336598</v>
      </c>
      <c r="N66">
        <f t="shared" si="2"/>
        <v>37.085191422453462</v>
      </c>
      <c r="O66">
        <f t="shared" si="3"/>
        <v>9924.0729087126747</v>
      </c>
      <c r="P66">
        <f t="shared" si="9"/>
        <v>9.9240729087126756</v>
      </c>
      <c r="Q66" s="161">
        <f t="shared" si="10"/>
        <v>4.5004672029513202</v>
      </c>
      <c r="S66" s="157">
        <f t="shared" si="11"/>
        <v>0.17602803217707924</v>
      </c>
      <c r="T66" s="157">
        <v>0.05</v>
      </c>
      <c r="U66" s="157">
        <f t="shared" si="4"/>
        <v>0.17602803217707924</v>
      </c>
      <c r="V66" s="157">
        <f t="shared" si="5"/>
        <v>0.14976985612543109</v>
      </c>
      <c r="W66" s="157">
        <f t="shared" si="6"/>
        <v>0.19476551206640469</v>
      </c>
      <c r="Y66" s="157">
        <f t="shared" si="7"/>
        <v>-0.16567383520496856</v>
      </c>
      <c r="Z66" s="157">
        <f t="shared" si="12"/>
        <v>0.05</v>
      </c>
      <c r="AB66" s="2">
        <f>'Price Deck'!P60/'Price Deck'!M60</f>
        <v>14.634146341463415</v>
      </c>
      <c r="AC66" s="161">
        <f t="shared" si="13"/>
        <v>4.5004672029513202</v>
      </c>
      <c r="AE66" s="161">
        <f t="shared" si="14"/>
        <v>3413.538102569968</v>
      </c>
      <c r="AF66">
        <f t="shared" si="15"/>
        <v>0.05</v>
      </c>
      <c r="AG66" s="165">
        <f t="shared" si="16"/>
        <v>170.67690512849842</v>
      </c>
      <c r="AH66" s="165">
        <f t="shared" si="17"/>
        <v>0.32195121951219519</v>
      </c>
    </row>
    <row r="67" spans="1:34">
      <c r="A67" t="str">
        <f>'Price Deck'!A61</f>
        <v>11/2023</v>
      </c>
      <c r="B67" s="39">
        <f>'Liquids Type Curve'!A74</f>
        <v>4.338557465453321</v>
      </c>
      <c r="C67" s="39">
        <f>'Liquids Type Curve'!B74</f>
        <v>52.062689585439855</v>
      </c>
      <c r="D67" s="39">
        <f>'Liquids Type Curve'!C74</f>
        <v>17.116786363808739</v>
      </c>
      <c r="E67" s="39">
        <f>'Liquids Type Curve'!D74</f>
        <v>520.63558523251584</v>
      </c>
      <c r="F67" s="39">
        <f>'Liquids Type Curve'!E74</f>
        <v>78132.974974897355</v>
      </c>
      <c r="H67" s="39">
        <f t="shared" si="18"/>
        <v>4.338557465453321</v>
      </c>
      <c r="I67" s="39">
        <f t="shared" si="19"/>
        <v>52.062689585439855</v>
      </c>
      <c r="J67" s="39">
        <f t="shared" si="1"/>
        <v>7.5313860000758455</v>
      </c>
      <c r="K67" s="39">
        <f t="shared" si="20"/>
        <v>229.07965750230699</v>
      </c>
      <c r="L67" s="39">
        <f t="shared" si="21"/>
        <v>35319.045220838903</v>
      </c>
      <c r="N67">
        <f t="shared" si="2"/>
        <v>36.420817434943395</v>
      </c>
      <c r="O67">
        <f t="shared" si="3"/>
        <v>9746.2850737897006</v>
      </c>
      <c r="P67">
        <f t="shared" si="9"/>
        <v>9.7462850737897</v>
      </c>
      <c r="Q67" s="161">
        <f t="shared" si="10"/>
        <v>4.5004672029513202</v>
      </c>
      <c r="S67" s="157">
        <f t="shared" si="11"/>
        <v>0.17602803217707924</v>
      </c>
      <c r="T67" s="157">
        <v>0.05</v>
      </c>
      <c r="U67" s="157">
        <f t="shared" si="4"/>
        <v>0.17602803217707924</v>
      </c>
      <c r="V67" s="157">
        <f t="shared" si="5"/>
        <v>0.14976985612543109</v>
      </c>
      <c r="W67" s="157">
        <f t="shared" si="6"/>
        <v>0.19476551206640469</v>
      </c>
      <c r="Y67" s="157">
        <f t="shared" si="7"/>
        <v>-0.16576160905907003</v>
      </c>
      <c r="Z67" s="157">
        <f t="shared" si="12"/>
        <v>0.05</v>
      </c>
      <c r="AB67" s="2">
        <f>'Price Deck'!P61/'Price Deck'!M61</f>
        <v>14.634146341463415</v>
      </c>
      <c r="AC67" s="161">
        <f t="shared" si="13"/>
        <v>4.5004672029513202</v>
      </c>
      <c r="AE67" s="161">
        <f t="shared" si="14"/>
        <v>3352.3852317410779</v>
      </c>
      <c r="AF67">
        <f t="shared" si="15"/>
        <v>0.05</v>
      </c>
      <c r="AG67" s="165">
        <f t="shared" si="16"/>
        <v>167.6192615870539</v>
      </c>
      <c r="AH67" s="165">
        <f t="shared" si="17"/>
        <v>0.32195121951219519</v>
      </c>
    </row>
    <row r="68" spans="1:34">
      <c r="A68" t="str">
        <f>'Price Deck'!A62</f>
        <v>12/2023</v>
      </c>
      <c r="B68" s="39">
        <f>'Liquids Type Curve'!A75</f>
        <v>4.421890798786654</v>
      </c>
      <c r="C68" s="39">
        <f>'Liquids Type Curve'!B75</f>
        <v>53.062689585439848</v>
      </c>
      <c r="D68" s="39">
        <f>'Liquids Type Curve'!C75</f>
        <v>16.815925112367772</v>
      </c>
      <c r="E68" s="39">
        <f>'Liquids Type Curve'!D75</f>
        <v>511.48438883451973</v>
      </c>
      <c r="F68" s="39">
        <f>'Liquids Type Curve'!E75</f>
        <v>78644.459363731876</v>
      </c>
      <c r="H68" s="39">
        <f t="shared" si="18"/>
        <v>4.421890798786654</v>
      </c>
      <c r="I68" s="39">
        <f t="shared" si="19"/>
        <v>53.062689585439848</v>
      </c>
      <c r="J68" s="39">
        <f t="shared" si="1"/>
        <v>7.3990070494418196</v>
      </c>
      <c r="K68" s="39">
        <f t="shared" si="20"/>
        <v>225.05313108718869</v>
      </c>
      <c r="L68" s="39">
        <f t="shared" si="21"/>
        <v>35544.098351926092</v>
      </c>
      <c r="N68">
        <f t="shared" si="2"/>
        <v>35.780649796048948</v>
      </c>
      <c r="O68">
        <f t="shared" si="3"/>
        <v>9574.9749071569768</v>
      </c>
      <c r="P68">
        <f t="shared" si="9"/>
        <v>9.5749749071569763</v>
      </c>
      <c r="Q68" s="161">
        <f t="shared" si="10"/>
        <v>4.5004672029513202</v>
      </c>
      <c r="S68" s="157">
        <f t="shared" si="11"/>
        <v>0.17602803217707924</v>
      </c>
      <c r="T68" s="157">
        <v>0.05</v>
      </c>
      <c r="U68" s="157">
        <f t="shared" si="4"/>
        <v>0.17602803217707924</v>
      </c>
      <c r="V68" s="157">
        <f t="shared" si="5"/>
        <v>0.14976985612543109</v>
      </c>
      <c r="W68" s="157">
        <f t="shared" si="6"/>
        <v>0.19476551206640469</v>
      </c>
      <c r="Y68" s="157">
        <f t="shared" si="7"/>
        <v>-0.16584618488833661</v>
      </c>
      <c r="Z68" s="157">
        <f t="shared" si="12"/>
        <v>0.05</v>
      </c>
      <c r="AB68" s="2">
        <f>'Price Deck'!P62/'Price Deck'!M62</f>
        <v>14.634146341463415</v>
      </c>
      <c r="AC68" s="161">
        <f t="shared" si="13"/>
        <v>4.5004672029513202</v>
      </c>
      <c r="AE68" s="161">
        <f t="shared" si="14"/>
        <v>3293.4604549344685</v>
      </c>
      <c r="AF68">
        <f t="shared" si="15"/>
        <v>0.05</v>
      </c>
      <c r="AG68" s="165">
        <f t="shared" si="16"/>
        <v>164.67302274672343</v>
      </c>
      <c r="AH68" s="165">
        <f t="shared" si="17"/>
        <v>0.32195121951219513</v>
      </c>
    </row>
    <row r="69" spans="1:34">
      <c r="A69" t="str">
        <f>'Price Deck'!A63</f>
        <v>01/2024</v>
      </c>
      <c r="B69" s="39">
        <f>'Liquids Type Curve'!A76</f>
        <v>4.5052241321199871</v>
      </c>
      <c r="C69" s="39">
        <f>'Liquids Type Curve'!B76</f>
        <v>54.062689585439841</v>
      </c>
      <c r="D69" s="39">
        <f>'Liquids Type Curve'!C76</f>
        <v>16.525822796123915</v>
      </c>
      <c r="E69" s="39">
        <f>'Liquids Type Curve'!D76</f>
        <v>502.66044338210241</v>
      </c>
      <c r="F69" s="39">
        <f>'Liquids Type Curve'!E76</f>
        <v>79147.119807113981</v>
      </c>
      <c r="H69" s="39">
        <f t="shared" si="18"/>
        <v>4.5052241321199871</v>
      </c>
      <c r="I69" s="39">
        <f t="shared" si="19"/>
        <v>54.062689585439841</v>
      </c>
      <c r="J69" s="39">
        <f t="shared" si="1"/>
        <v>7.2713620302945223</v>
      </c>
      <c r="K69" s="39">
        <f t="shared" si="20"/>
        <v>221.17059508812505</v>
      </c>
      <c r="L69" s="39">
        <f t="shared" si="21"/>
        <v>35765.268947014214</v>
      </c>
      <c r="N69">
        <f t="shared" si="2"/>
        <v>35.163374843099156</v>
      </c>
      <c r="O69">
        <f t="shared" si="3"/>
        <v>9409.7908700028111</v>
      </c>
      <c r="P69">
        <f t="shared" si="9"/>
        <v>9.4097908700028103</v>
      </c>
      <c r="Q69" s="161">
        <f t="shared" si="10"/>
        <v>4.650482776383031</v>
      </c>
      <c r="S69" s="157">
        <f t="shared" si="11"/>
        <v>0.18502896658298185</v>
      </c>
      <c r="T69" s="157">
        <v>0.05</v>
      </c>
      <c r="U69" s="157">
        <f t="shared" si="4"/>
        <v>0.18502896658298185</v>
      </c>
      <c r="V69" s="157">
        <f t="shared" si="5"/>
        <v>0.15614551799627882</v>
      </c>
      <c r="W69" s="157">
        <f t="shared" si="6"/>
        <v>0.19814086246861817</v>
      </c>
      <c r="Y69" s="157">
        <f t="shared" si="7"/>
        <v>-0.16592773624747961</v>
      </c>
      <c r="Z69" s="157">
        <f t="shared" si="12"/>
        <v>0.05</v>
      </c>
      <c r="AB69" s="2">
        <f>'Price Deck'!P63/'Price Deck'!M63</f>
        <v>15.121951219512196</v>
      </c>
      <c r="AC69" s="161">
        <f t="shared" si="13"/>
        <v>4.650482776383031</v>
      </c>
      <c r="AE69" s="161">
        <f t="shared" si="14"/>
        <v>3344.530950113111</v>
      </c>
      <c r="AF69">
        <f t="shared" si="15"/>
        <v>0.05</v>
      </c>
      <c r="AG69" s="165">
        <f t="shared" si="16"/>
        <v>167.22654750565556</v>
      </c>
      <c r="AH69" s="165">
        <f t="shared" si="17"/>
        <v>0.33268292682926837</v>
      </c>
    </row>
    <row r="70" spans="1:34">
      <c r="A70" t="str">
        <f>'Price Deck'!A64</f>
        <v>02/2024</v>
      </c>
      <c r="B70" s="39">
        <f>'Liquids Type Curve'!A77</f>
        <v>4.5885574654533201</v>
      </c>
      <c r="C70" s="39">
        <f>'Liquids Type Curve'!B77</f>
        <v>55.062689585439841</v>
      </c>
      <c r="D70" s="39">
        <f>'Liquids Type Curve'!C77</f>
        <v>16.245906145345117</v>
      </c>
      <c r="E70" s="39">
        <f>'Liquids Type Curve'!D77</f>
        <v>494.146311920914</v>
      </c>
      <c r="F70" s="39">
        <f>'Liquids Type Curve'!E77</f>
        <v>79641.266119034888</v>
      </c>
      <c r="H70" s="39">
        <f t="shared" si="18"/>
        <v>4.5885574654533201</v>
      </c>
      <c r="I70" s="39">
        <f t="shared" si="19"/>
        <v>55.062689585439841</v>
      </c>
      <c r="J70" s="39">
        <f t="shared" si="1"/>
        <v>7.1481987039518513</v>
      </c>
      <c r="K70" s="39">
        <f t="shared" si="20"/>
        <v>217.42437724520215</v>
      </c>
      <c r="L70" s="39">
        <f t="shared" si="21"/>
        <v>35982.693324259417</v>
      </c>
      <c r="N70">
        <f t="shared" si="2"/>
        <v>34.567772782155579</v>
      </c>
      <c r="O70">
        <f t="shared" si="3"/>
        <v>9250.4065429798993</v>
      </c>
      <c r="P70">
        <f t="shared" si="9"/>
        <v>9.2504065429798992</v>
      </c>
      <c r="Q70" s="161">
        <f t="shared" si="10"/>
        <v>4.650482776383031</v>
      </c>
      <c r="S70" s="157">
        <f t="shared" si="11"/>
        <v>0.18502896658298185</v>
      </c>
      <c r="T70" s="157">
        <v>0.05</v>
      </c>
      <c r="U70" s="157">
        <f t="shared" si="4"/>
        <v>0.18502896658298185</v>
      </c>
      <c r="V70" s="157">
        <f t="shared" si="5"/>
        <v>0.15614551799627882</v>
      </c>
      <c r="W70" s="157">
        <f t="shared" si="6"/>
        <v>0.19814086246861817</v>
      </c>
      <c r="Y70" s="157">
        <f t="shared" si="7"/>
        <v>-0.16600642428973084</v>
      </c>
      <c r="Z70" s="157">
        <f t="shared" si="12"/>
        <v>0.05</v>
      </c>
      <c r="AB70" s="2">
        <f>'Price Deck'!P64/'Price Deck'!M64</f>
        <v>15.121951219512196</v>
      </c>
      <c r="AC70" s="161">
        <f t="shared" si="13"/>
        <v>4.650482776383031</v>
      </c>
      <c r="AE70" s="161">
        <f t="shared" si="14"/>
        <v>3287.8808266347646</v>
      </c>
      <c r="AF70">
        <f t="shared" si="15"/>
        <v>0.05</v>
      </c>
      <c r="AG70" s="165">
        <f t="shared" si="16"/>
        <v>164.39404133173824</v>
      </c>
      <c r="AH70" s="165">
        <f t="shared" si="17"/>
        <v>0.33268292682926831</v>
      </c>
    </row>
    <row r="71" spans="1:34">
      <c r="A71" t="str">
        <f>'Price Deck'!A65</f>
        <v>03/2024</v>
      </c>
      <c r="B71" s="39">
        <f>'Liquids Type Curve'!A78</f>
        <v>4.6718907987866531</v>
      </c>
      <c r="C71" s="39">
        <f>'Liquids Type Curve'!B78</f>
        <v>56.062689585439841</v>
      </c>
      <c r="D71" s="39">
        <f>'Liquids Type Curve'!C78</f>
        <v>15.975642122581485</v>
      </c>
      <c r="E71" s="39">
        <f>'Liquids Type Curve'!D78</f>
        <v>485.92578122852018</v>
      </c>
      <c r="F71" s="39">
        <f>'Liquids Type Curve'!E78</f>
        <v>80127.191900263409</v>
      </c>
      <c r="H71" s="39">
        <f t="shared" si="18"/>
        <v>4.6718907987866531</v>
      </c>
      <c r="I71" s="39">
        <f t="shared" si="19"/>
        <v>56.062689585439841</v>
      </c>
      <c r="J71" s="39">
        <f t="shared" si="1"/>
        <v>7.0292825339358531</v>
      </c>
      <c r="K71" s="39">
        <f t="shared" si="20"/>
        <v>213.80734374054887</v>
      </c>
      <c r="L71" s="39">
        <f t="shared" si="21"/>
        <v>36196.500667999964</v>
      </c>
      <c r="N71">
        <f t="shared" si="2"/>
        <v>33.992709424870249</v>
      </c>
      <c r="O71">
        <f t="shared" si="3"/>
        <v>9096.518414971657</v>
      </c>
      <c r="P71">
        <f t="shared" si="9"/>
        <v>9.0965184149716567</v>
      </c>
      <c r="Q71" s="161">
        <f t="shared" si="10"/>
        <v>4.650482776383031</v>
      </c>
      <c r="S71" s="157">
        <f t="shared" si="11"/>
        <v>0.18502896658298185</v>
      </c>
      <c r="T71" s="157">
        <v>0.05</v>
      </c>
      <c r="U71" s="157">
        <f t="shared" si="4"/>
        <v>0.18502896658298185</v>
      </c>
      <c r="V71" s="157">
        <f t="shared" si="5"/>
        <v>0.15614551799627882</v>
      </c>
      <c r="W71" s="157">
        <f t="shared" si="6"/>
        <v>0.19814086246861817</v>
      </c>
      <c r="Y71" s="157">
        <f t="shared" si="7"/>
        <v>-0.16608239885852849</v>
      </c>
      <c r="Z71" s="157">
        <f t="shared" si="12"/>
        <v>0.05</v>
      </c>
      <c r="AB71" s="2">
        <f>'Price Deck'!P65/'Price Deck'!M65</f>
        <v>15.121951219512196</v>
      </c>
      <c r="AC71" s="161">
        <f t="shared" si="13"/>
        <v>4.650482776383031</v>
      </c>
      <c r="AE71" s="161">
        <f t="shared" si="14"/>
        <v>3233.1842224180564</v>
      </c>
      <c r="AF71">
        <f t="shared" si="15"/>
        <v>0.05</v>
      </c>
      <c r="AG71" s="165">
        <f t="shared" si="16"/>
        <v>161.65921112090282</v>
      </c>
      <c r="AH71" s="165">
        <f t="shared" si="17"/>
        <v>0.33268292682926831</v>
      </c>
    </row>
    <row r="72" spans="1:34">
      <c r="A72" t="str">
        <f>'Price Deck'!A66</f>
        <v>04/2024</v>
      </c>
      <c r="B72" s="39">
        <f>'Liquids Type Curve'!A79</f>
        <v>4.7552241321199862</v>
      </c>
      <c r="C72" s="39">
        <f>'Liquids Type Curve'!B79</f>
        <v>57.062689585439834</v>
      </c>
      <c r="D72" s="39">
        <f>'Liquids Type Curve'!C79</f>
        <v>15.714534443173346</v>
      </c>
      <c r="E72" s="39">
        <f>'Liquids Type Curve'!D79</f>
        <v>477.98375597985597</v>
      </c>
      <c r="F72" s="39">
        <f>'Liquids Type Curve'!E79</f>
        <v>80605.175656243271</v>
      </c>
      <c r="H72" s="39">
        <f t="shared" si="18"/>
        <v>4.7552241321199862</v>
      </c>
      <c r="I72" s="39">
        <f t="shared" si="19"/>
        <v>57.062689585439834</v>
      </c>
      <c r="J72" s="39">
        <f t="shared" si="1"/>
        <v>6.9143951549962717</v>
      </c>
      <c r="K72" s="39">
        <f t="shared" si="20"/>
        <v>210.31285263113659</v>
      </c>
      <c r="L72" s="39">
        <f t="shared" si="21"/>
        <v>36406.813520631098</v>
      </c>
      <c r="N72">
        <f t="shared" si="2"/>
        <v>33.437128784879739</v>
      </c>
      <c r="O72">
        <f t="shared" si="3"/>
        <v>8947.8439018721565</v>
      </c>
      <c r="P72">
        <f t="shared" si="9"/>
        <v>8.9478439018721563</v>
      </c>
      <c r="Q72" s="161">
        <f t="shared" si="10"/>
        <v>4.650482776383031</v>
      </c>
      <c r="S72" s="157">
        <f t="shared" si="11"/>
        <v>0.18502896658298185</v>
      </c>
      <c r="T72" s="157">
        <v>0.05</v>
      </c>
      <c r="U72" s="157">
        <f t="shared" si="4"/>
        <v>0.18502896658298185</v>
      </c>
      <c r="V72" s="157">
        <f t="shared" si="5"/>
        <v>0.15614551799627882</v>
      </c>
      <c r="W72" s="157">
        <f t="shared" si="6"/>
        <v>0.19814086246861817</v>
      </c>
      <c r="Y72" s="157">
        <f t="shared" si="7"/>
        <v>-0.16615579946564574</v>
      </c>
      <c r="Z72" s="157">
        <f t="shared" si="12"/>
        <v>0.05</v>
      </c>
      <c r="AB72" s="2">
        <f>'Price Deck'!P66/'Price Deck'!M66</f>
        <v>15.121951219512196</v>
      </c>
      <c r="AC72" s="161">
        <f t="shared" si="13"/>
        <v>4.650482776383031</v>
      </c>
      <c r="AE72" s="161">
        <f t="shared" si="14"/>
        <v>3180.340698324505</v>
      </c>
      <c r="AF72">
        <f t="shared" si="15"/>
        <v>0.05</v>
      </c>
      <c r="AG72" s="165">
        <f t="shared" si="16"/>
        <v>159.01703491622527</v>
      </c>
      <c r="AH72" s="165">
        <f t="shared" si="17"/>
        <v>0.33268292682926831</v>
      </c>
    </row>
    <row r="73" spans="1:34">
      <c r="A73" t="str">
        <f>'Price Deck'!A67</f>
        <v>05/2024</v>
      </c>
      <c r="B73" s="39">
        <f>'Liquids Type Curve'!A80</f>
        <v>4.8385574654533192</v>
      </c>
      <c r="C73" s="39">
        <f>'Liquids Type Curve'!B80</f>
        <v>58.062689585439827</v>
      </c>
      <c r="D73" s="39">
        <f>'Liquids Type Curve'!C80</f>
        <v>15.462120451460358</v>
      </c>
      <c r="E73" s="39">
        <f>'Liquids Type Curve'!D80</f>
        <v>470.30616373191924</v>
      </c>
      <c r="F73" s="39">
        <f>'Liquids Type Curve'!E80</f>
        <v>81075.48181997519</v>
      </c>
      <c r="H73" s="39">
        <f t="shared" si="18"/>
        <v>4.8385574654533192</v>
      </c>
      <c r="I73" s="39">
        <f t="shared" si="19"/>
        <v>58.062689585439827</v>
      </c>
      <c r="J73" s="39">
        <f t="shared" si="1"/>
        <v>6.8033329986425572</v>
      </c>
      <c r="K73" s="39">
        <f t="shared" si="20"/>
        <v>206.93471204204445</v>
      </c>
      <c r="L73" s="39">
        <f t="shared" si="21"/>
        <v>36613.748232673141</v>
      </c>
      <c r="N73">
        <f t="shared" si="2"/>
        <v>32.900046431054157</v>
      </c>
      <c r="O73">
        <f t="shared" si="3"/>
        <v>8804.1195679019929</v>
      </c>
      <c r="P73">
        <f t="shared" si="9"/>
        <v>8.8041195679019921</v>
      </c>
      <c r="Q73" s="161">
        <f t="shared" si="10"/>
        <v>4.650482776383031</v>
      </c>
      <c r="S73" s="157">
        <f t="shared" si="11"/>
        <v>0.18502896658298185</v>
      </c>
      <c r="T73" s="157">
        <v>0.05</v>
      </c>
      <c r="U73" s="157">
        <f t="shared" si="4"/>
        <v>0.18502896658298185</v>
      </c>
      <c r="V73" s="157">
        <f t="shared" si="5"/>
        <v>0.15614551799627882</v>
      </c>
      <c r="W73" s="157">
        <f t="shared" si="6"/>
        <v>0.19814086246861817</v>
      </c>
      <c r="Y73" s="157">
        <f t="shared" si="7"/>
        <v>-0.16622675616932681</v>
      </c>
      <c r="Z73" s="157">
        <f t="shared" si="12"/>
        <v>0.05</v>
      </c>
      <c r="AB73" s="2">
        <f>'Price Deck'!P67/'Price Deck'!M67</f>
        <v>15.121951219512196</v>
      </c>
      <c r="AC73" s="161">
        <f t="shared" si="13"/>
        <v>4.650482776383031</v>
      </c>
      <c r="AE73" s="161">
        <f t="shared" si="14"/>
        <v>3129.2566211235994</v>
      </c>
      <c r="AF73">
        <f t="shared" si="15"/>
        <v>0.05</v>
      </c>
      <c r="AG73" s="165">
        <f t="shared" si="16"/>
        <v>156.46283105617999</v>
      </c>
      <c r="AH73" s="165">
        <f t="shared" si="17"/>
        <v>0.33268292682926837</v>
      </c>
    </row>
    <row r="74" spans="1:34">
      <c r="A74" t="str">
        <f>'Price Deck'!A68</f>
        <v>06/2024</v>
      </c>
      <c r="B74" s="39">
        <f>'Liquids Type Curve'!A81</f>
        <v>4.9218907987866523</v>
      </c>
      <c r="C74" s="39">
        <f>'Liquids Type Curve'!B81</f>
        <v>59.062689585439827</v>
      </c>
      <c r="D74" s="39">
        <f>'Liquids Type Curve'!C81</f>
        <v>15.217968310919023</v>
      </c>
      <c r="E74" s="39">
        <f>'Liquids Type Curve'!D81</f>
        <v>462.87986945712032</v>
      </c>
      <c r="F74" s="39">
        <f>'Liquids Type Curve'!E81</f>
        <v>81538.361689432306</v>
      </c>
      <c r="H74" s="39">
        <f t="shared" si="18"/>
        <v>4.9218907987866523</v>
      </c>
      <c r="I74" s="39">
        <f t="shared" si="19"/>
        <v>59.062689585439827</v>
      </c>
      <c r="J74" s="39">
        <f t="shared" si="1"/>
        <v>6.69590605680437</v>
      </c>
      <c r="K74" s="39">
        <f t="shared" si="20"/>
        <v>203.66714256113292</v>
      </c>
      <c r="L74" s="39">
        <f t="shared" si="21"/>
        <v>36817.415375234275</v>
      </c>
      <c r="N74">
        <f t="shared" si="2"/>
        <v>32.38054350871775</v>
      </c>
      <c r="O74">
        <f t="shared" si="3"/>
        <v>8665.0995256747246</v>
      </c>
      <c r="P74">
        <f t="shared" si="9"/>
        <v>8.6650995256747247</v>
      </c>
      <c r="Q74" s="161">
        <f t="shared" si="10"/>
        <v>4.650482776383031</v>
      </c>
      <c r="S74" s="157">
        <f t="shared" si="11"/>
        <v>0.18502896658298185</v>
      </c>
      <c r="T74" s="157">
        <v>0.05</v>
      </c>
      <c r="U74" s="157">
        <f t="shared" si="4"/>
        <v>0.18502896658298185</v>
      </c>
      <c r="V74" s="157">
        <f t="shared" si="5"/>
        <v>0.15614551799627882</v>
      </c>
      <c r="W74" s="157">
        <f t="shared" si="6"/>
        <v>0.19814086246861817</v>
      </c>
      <c r="Y74" s="157">
        <f t="shared" si="7"/>
        <v>-0.16629539036417437</v>
      </c>
      <c r="Z74" s="157">
        <f t="shared" si="12"/>
        <v>0.05</v>
      </c>
      <c r="AB74" s="2">
        <f>'Price Deck'!P68/'Price Deck'!M68</f>
        <v>15.121951219512196</v>
      </c>
      <c r="AC74" s="161">
        <f t="shared" si="13"/>
        <v>4.650482776383031</v>
      </c>
      <c r="AE74" s="161">
        <f t="shared" si="14"/>
        <v>3079.8445948268882</v>
      </c>
      <c r="AF74">
        <f t="shared" si="15"/>
        <v>0.05</v>
      </c>
      <c r="AG74" s="165">
        <f t="shared" si="16"/>
        <v>153.99222974134443</v>
      </c>
      <c r="AH74" s="165">
        <f t="shared" si="17"/>
        <v>0.33268292682926831</v>
      </c>
    </row>
    <row r="75" spans="1:34">
      <c r="A75" t="str">
        <f>'Price Deck'!A69</f>
        <v>07/2024</v>
      </c>
      <c r="B75" s="39">
        <f>'Liquids Type Curve'!A82</f>
        <v>5.0052241321199853</v>
      </c>
      <c r="C75" s="39">
        <f>'Liquids Type Curve'!B82</f>
        <v>60.062689585439827</v>
      </c>
      <c r="D75" s="39">
        <f>'Liquids Type Curve'!C82</f>
        <v>14.981674471976095</v>
      </c>
      <c r="E75" s="39">
        <f>'Liquids Type Curve'!D82</f>
        <v>455.69259852260626</v>
      </c>
      <c r="F75" s="39">
        <f>'Liquids Type Curve'!E82</f>
        <v>81994.054287954918</v>
      </c>
      <c r="H75" s="39">
        <f t="shared" si="18"/>
        <v>5.0052241321199853</v>
      </c>
      <c r="I75" s="39">
        <f t="shared" si="19"/>
        <v>60.062689585439827</v>
      </c>
      <c r="J75" s="39">
        <f t="shared" ref="J75:J138" si="22">D75*$C$2</f>
        <v>6.5919367676694822</v>
      </c>
      <c r="K75" s="39">
        <f t="shared" si="20"/>
        <v>200.50474334994675</v>
      </c>
      <c r="L75" s="39">
        <f t="shared" si="21"/>
        <v>37017.920118584225</v>
      </c>
      <c r="N75">
        <f t="shared" ref="N75:N138" si="23">K75*$B$2</f>
        <v>31.877761351703828</v>
      </c>
      <c r="O75">
        <f t="shared" ref="O75:O138" si="24">N75*$N$7</f>
        <v>8530.5539943717649</v>
      </c>
      <c r="P75">
        <f t="shared" si="9"/>
        <v>8.5305539943717648</v>
      </c>
      <c r="Q75" s="161">
        <f t="shared" si="10"/>
        <v>4.650482776383031</v>
      </c>
      <c r="S75" s="157">
        <f t="shared" si="11"/>
        <v>0.18502896658298185</v>
      </c>
      <c r="T75" s="157">
        <v>0.05</v>
      </c>
      <c r="U75" s="157">
        <f t="shared" ref="U75:U138" si="25">+(Q75-$U$4)*0.06+0.05</f>
        <v>0.18502896658298185</v>
      </c>
      <c r="V75" s="157">
        <f t="shared" ref="V75:V138" si="26">(Q75-$V$4)*0.0425+0.086</f>
        <v>0.15614551799627882</v>
      </c>
      <c r="W75" s="157">
        <f t="shared" ref="W75:W138" si="27">(Q75-$W$4)*0.0225+0.24538</f>
        <v>0.19814086246861817</v>
      </c>
      <c r="Y75" s="157">
        <f t="shared" ref="Y75:Y138" si="28">IF(P75&gt;$D$2,0,(P75-$D$2)*0.0004937)</f>
        <v>-0.16636181549297868</v>
      </c>
      <c r="Z75" s="157">
        <f t="shared" si="12"/>
        <v>0.05</v>
      </c>
      <c r="AB75" s="2">
        <f>'Price Deck'!P69/'Price Deck'!M69</f>
        <v>15.121951219512196</v>
      </c>
      <c r="AC75" s="161">
        <f t="shared" si="13"/>
        <v>4.650482776383031</v>
      </c>
      <c r="AE75" s="161">
        <f t="shared" si="14"/>
        <v>3032.0229482187074</v>
      </c>
      <c r="AF75">
        <f t="shared" si="15"/>
        <v>0.05</v>
      </c>
      <c r="AG75" s="165">
        <f t="shared" si="16"/>
        <v>151.60114741093537</v>
      </c>
      <c r="AH75" s="165">
        <f t="shared" si="17"/>
        <v>0.33268292682926831</v>
      </c>
    </row>
    <row r="76" spans="1:34">
      <c r="A76" t="str">
        <f>'Price Deck'!A70</f>
        <v>08/2024</v>
      </c>
      <c r="B76" s="39">
        <f>'Liquids Type Curve'!A83</f>
        <v>5.0885574654533183</v>
      </c>
      <c r="C76" s="39">
        <f>'Liquids Type Curve'!B83</f>
        <v>61.06268958543982</v>
      </c>
      <c r="D76" s="39">
        <f>'Liquids Type Curve'!C83</f>
        <v>14.752861385956795</v>
      </c>
      <c r="E76" s="39">
        <f>'Liquids Type Curve'!D83</f>
        <v>448.73286715618588</v>
      </c>
      <c r="F76" s="39">
        <f>'Liquids Type Curve'!E83</f>
        <v>82442.787155111102</v>
      </c>
      <c r="H76" s="39">
        <f t="shared" si="18"/>
        <v>5.0885574654533183</v>
      </c>
      <c r="I76" s="39">
        <f t="shared" si="19"/>
        <v>61.06268958543982</v>
      </c>
      <c r="J76" s="39">
        <f t="shared" si="22"/>
        <v>6.4912590098209897</v>
      </c>
      <c r="K76" s="39">
        <f t="shared" si="20"/>
        <v>197.44246154872178</v>
      </c>
      <c r="L76" s="39">
        <f t="shared" si="21"/>
        <v>37215.362580132947</v>
      </c>
      <c r="N76">
        <f t="shared" si="23"/>
        <v>31.390896618131226</v>
      </c>
      <c r="O76">
        <f t="shared" si="24"/>
        <v>8400.2679980662397</v>
      </c>
      <c r="P76">
        <f t="shared" ref="P76:P139" si="29">O76/1000</f>
        <v>8.4002679980662389</v>
      </c>
      <c r="Q76" s="161">
        <f t="shared" ref="Q76:Q139" si="30">AC76</f>
        <v>4.650482776383031</v>
      </c>
      <c r="S76" s="157">
        <f t="shared" ref="S76:S139" si="31">MIN(IF(Q76&gt;$U$4,U76,IF(Q76&gt;$V$4,V76,IF(Q76&gt;$W$4,W76,T76))),0.36)</f>
        <v>0.18502896658298185</v>
      </c>
      <c r="T76" s="157">
        <v>0.05</v>
      </c>
      <c r="U76" s="157">
        <f t="shared" si="25"/>
        <v>0.18502896658298185</v>
      </c>
      <c r="V76" s="157">
        <f t="shared" si="26"/>
        <v>0.15614551799627882</v>
      </c>
      <c r="W76" s="157">
        <f t="shared" si="27"/>
        <v>0.19814086246861817</v>
      </c>
      <c r="Y76" s="157">
        <f t="shared" si="28"/>
        <v>-0.16642613768935471</v>
      </c>
      <c r="Z76" s="157">
        <f t="shared" ref="Z76:Z139" si="32">MAX(Y76+S76,0.05)</f>
        <v>0.05</v>
      </c>
      <c r="AB76" s="2">
        <f>'Price Deck'!P70/'Price Deck'!M70</f>
        <v>15.121951219512196</v>
      </c>
      <c r="AC76" s="161">
        <f t="shared" ref="AC76:AC139" si="33">AB76/$AB$7</f>
        <v>4.650482776383031</v>
      </c>
      <c r="AE76" s="161">
        <f t="shared" ref="AE76:AE139" si="34">AB76*K76</f>
        <v>2985.7152722001833</v>
      </c>
      <c r="AF76">
        <f t="shared" ref="AF76:AF139" si="35">IF(I76&lt;$A$5, 0.05,Z76)</f>
        <v>0.05</v>
      </c>
      <c r="AG76" s="165">
        <f t="shared" ref="AG76:AG139" si="36">+AE76*AF76</f>
        <v>149.28576361000918</v>
      </c>
      <c r="AH76" s="165">
        <f t="shared" ref="AH76:AH139" si="37">AG76/E76</f>
        <v>0.33268292682926837</v>
      </c>
    </row>
    <row r="77" spans="1:34">
      <c r="A77" t="str">
        <f>'Price Deck'!A71</f>
        <v>09/2024</v>
      </c>
      <c r="B77" s="39">
        <f>'Liquids Type Curve'!A84</f>
        <v>5.1718907987866514</v>
      </c>
      <c r="C77" s="39">
        <f>'Liquids Type Curve'!B84</f>
        <v>62.062689585439813</v>
      </c>
      <c r="D77" s="39">
        <f>'Liquids Type Curve'!C84</f>
        <v>14.531175437660563</v>
      </c>
      <c r="E77" s="39">
        <f>'Liquids Type Curve'!D84</f>
        <v>441.98991956217549</v>
      </c>
      <c r="F77" s="39">
        <f>'Liquids Type Curve'!E84</f>
        <v>82884.777074673271</v>
      </c>
      <c r="H77" s="39">
        <f t="shared" ref="H77:H140" si="38">B77</f>
        <v>5.1718907987866514</v>
      </c>
      <c r="I77" s="39">
        <f t="shared" ref="I77:I140" si="39">C77</f>
        <v>62.062689585439813</v>
      </c>
      <c r="J77" s="39">
        <f t="shared" si="22"/>
        <v>6.393717192570648</v>
      </c>
      <c r="K77" s="39">
        <f t="shared" ref="K77:K140" si="40">J77*(365/12)</f>
        <v>194.47556460735723</v>
      </c>
      <c r="L77" s="39">
        <f t="shared" ref="L77:L140" si="41">+L76+K77</f>
        <v>37409.838144740308</v>
      </c>
      <c r="N77">
        <f t="shared" si="23"/>
        <v>30.919196891372895</v>
      </c>
      <c r="O77">
        <f t="shared" si="24"/>
        <v>8274.0401885332067</v>
      </c>
      <c r="P77">
        <f t="shared" si="29"/>
        <v>8.2740401885332062</v>
      </c>
      <c r="Q77" s="161">
        <f t="shared" si="30"/>
        <v>4.650482776383031</v>
      </c>
      <c r="S77" s="157">
        <f t="shared" si="31"/>
        <v>0.18502896658298185</v>
      </c>
      <c r="T77" s="157">
        <v>0.05</v>
      </c>
      <c r="U77" s="157">
        <f t="shared" si="25"/>
        <v>0.18502896658298185</v>
      </c>
      <c r="V77" s="157">
        <f t="shared" si="26"/>
        <v>0.15614551799627882</v>
      </c>
      <c r="W77" s="157">
        <f t="shared" si="27"/>
        <v>0.19814086246861817</v>
      </c>
      <c r="Y77" s="157">
        <f t="shared" si="28"/>
        <v>-0.16648845635892115</v>
      </c>
      <c r="Z77" s="157">
        <f t="shared" si="32"/>
        <v>0.05</v>
      </c>
      <c r="AB77" s="2">
        <f>'Price Deck'!P71/'Price Deck'!M71</f>
        <v>15.121951219512196</v>
      </c>
      <c r="AC77" s="161">
        <f t="shared" si="33"/>
        <v>4.650482776383031</v>
      </c>
      <c r="AE77" s="161">
        <f t="shared" si="34"/>
        <v>2940.8500013795483</v>
      </c>
      <c r="AF77">
        <f t="shared" si="35"/>
        <v>0.05</v>
      </c>
      <c r="AG77" s="165">
        <f t="shared" si="36"/>
        <v>147.04250006897743</v>
      </c>
      <c r="AH77" s="165">
        <f t="shared" si="37"/>
        <v>0.33268292682926837</v>
      </c>
    </row>
    <row r="78" spans="1:34">
      <c r="A78" t="str">
        <f>'Price Deck'!A72</f>
        <v>10/2024</v>
      </c>
      <c r="B78" s="39">
        <f>'Liquids Type Curve'!A85</f>
        <v>5.2552241321199844</v>
      </c>
      <c r="C78" s="39">
        <f>'Liquids Type Curve'!B85</f>
        <v>63.062689585439813</v>
      </c>
      <c r="D78" s="39">
        <f>'Liquids Type Curve'!C85</f>
        <v>14.316285072518946</v>
      </c>
      <c r="E78" s="39">
        <f>'Liquids Type Curve'!D85</f>
        <v>435.45367095578462</v>
      </c>
      <c r="F78" s="39">
        <f>'Liquids Type Curve'!E85</f>
        <v>83320.230745629058</v>
      </c>
      <c r="H78" s="39">
        <f t="shared" si="38"/>
        <v>5.2552241321199844</v>
      </c>
      <c r="I78" s="39">
        <f t="shared" si="39"/>
        <v>63.062689585439813</v>
      </c>
      <c r="J78" s="39">
        <f t="shared" si="22"/>
        <v>6.2991654319083361</v>
      </c>
      <c r="K78" s="39">
        <f t="shared" si="40"/>
        <v>191.59961522054522</v>
      </c>
      <c r="L78" s="39">
        <f t="shared" si="41"/>
        <v>37601.437759960856</v>
      </c>
      <c r="N78">
        <f t="shared" si="23"/>
        <v>30.461956695053136</v>
      </c>
      <c r="O78">
        <f t="shared" si="24"/>
        <v>8151.6817788547814</v>
      </c>
      <c r="P78">
        <f t="shared" si="29"/>
        <v>8.1516817788547815</v>
      </c>
      <c r="Q78" s="161">
        <f t="shared" si="30"/>
        <v>4.650482776383031</v>
      </c>
      <c r="S78" s="157">
        <f t="shared" si="31"/>
        <v>0.18502896658298185</v>
      </c>
      <c r="T78" s="157">
        <v>0.05</v>
      </c>
      <c r="U78" s="157">
        <f t="shared" si="25"/>
        <v>0.18502896658298185</v>
      </c>
      <c r="V78" s="157">
        <f t="shared" si="26"/>
        <v>0.15614551799627882</v>
      </c>
      <c r="W78" s="157">
        <f t="shared" si="27"/>
        <v>0.19814086246861817</v>
      </c>
      <c r="Y78" s="157">
        <f t="shared" si="28"/>
        <v>-0.1665488647057794</v>
      </c>
      <c r="Z78" s="157">
        <f t="shared" si="32"/>
        <v>0.05</v>
      </c>
      <c r="AB78" s="2">
        <f>'Price Deck'!P72/'Price Deck'!M72</f>
        <v>15.121951219512196</v>
      </c>
      <c r="AC78" s="161">
        <f t="shared" si="33"/>
        <v>4.650482776383031</v>
      </c>
      <c r="AE78" s="161">
        <f t="shared" si="34"/>
        <v>2897.3600350423912</v>
      </c>
      <c r="AF78">
        <f t="shared" si="35"/>
        <v>0.05</v>
      </c>
      <c r="AG78" s="165">
        <f t="shared" si="36"/>
        <v>144.86800175211957</v>
      </c>
      <c r="AH78" s="165">
        <f t="shared" si="37"/>
        <v>0.33268292682926831</v>
      </c>
    </row>
    <row r="79" spans="1:34">
      <c r="A79" t="str">
        <f>'Price Deck'!A73</f>
        <v>11/2024</v>
      </c>
      <c r="B79" s="39">
        <f>'Liquids Type Curve'!A86</f>
        <v>5.3385574654533174</v>
      </c>
      <c r="C79" s="39">
        <f>'Liquids Type Curve'!B86</f>
        <v>64.062689585439813</v>
      </c>
      <c r="D79" s="39">
        <f>'Liquids Type Curve'!C86</f>
        <v>14.107879097268537</v>
      </c>
      <c r="E79" s="39">
        <f>'Liquids Type Curve'!D86</f>
        <v>429.11465587525134</v>
      </c>
      <c r="F79" s="39">
        <f>'Liquids Type Curve'!E86</f>
        <v>83749.34540150431</v>
      </c>
      <c r="H79" s="39">
        <f t="shared" si="38"/>
        <v>5.3385574654533174</v>
      </c>
      <c r="I79" s="39">
        <f t="shared" si="39"/>
        <v>64.062689585439813</v>
      </c>
      <c r="J79" s="39">
        <f t="shared" si="22"/>
        <v>6.2074668027981561</v>
      </c>
      <c r="K79" s="39">
        <f t="shared" si="40"/>
        <v>188.81044858511058</v>
      </c>
      <c r="L79" s="39">
        <f t="shared" si="41"/>
        <v>37790.248208545963</v>
      </c>
      <c r="N79">
        <f t="shared" si="23"/>
        <v>30.018513877247383</v>
      </c>
      <c r="O79">
        <f t="shared" si="24"/>
        <v>8033.0155758246192</v>
      </c>
      <c r="P79">
        <f t="shared" si="29"/>
        <v>8.0330155758246189</v>
      </c>
      <c r="Q79" s="161">
        <f t="shared" si="30"/>
        <v>4.650482776383031</v>
      </c>
      <c r="S79" s="157">
        <f t="shared" si="31"/>
        <v>0.18502896658298185</v>
      </c>
      <c r="T79" s="157">
        <v>0.05</v>
      </c>
      <c r="U79" s="157">
        <f t="shared" si="25"/>
        <v>0.18502896658298185</v>
      </c>
      <c r="V79" s="157">
        <f t="shared" si="26"/>
        <v>0.15614551799627882</v>
      </c>
      <c r="W79" s="157">
        <f t="shared" si="27"/>
        <v>0.19814086246861817</v>
      </c>
      <c r="Y79" s="157">
        <f t="shared" si="28"/>
        <v>-0.16660745021021539</v>
      </c>
      <c r="Z79" s="157">
        <f t="shared" si="32"/>
        <v>0.05</v>
      </c>
      <c r="AB79" s="2">
        <f>'Price Deck'!P73/'Price Deck'!M73</f>
        <v>15.121951219512196</v>
      </c>
      <c r="AC79" s="161">
        <f t="shared" si="33"/>
        <v>4.650482776383031</v>
      </c>
      <c r="AE79" s="161">
        <f t="shared" si="34"/>
        <v>2855.1823932382576</v>
      </c>
      <c r="AF79">
        <f t="shared" si="35"/>
        <v>0.05</v>
      </c>
      <c r="AG79" s="165">
        <f t="shared" si="36"/>
        <v>142.75911966191288</v>
      </c>
      <c r="AH79" s="165">
        <f t="shared" si="37"/>
        <v>0.33268292682926826</v>
      </c>
    </row>
    <row r="80" spans="1:34">
      <c r="A80" t="str">
        <f>'Price Deck'!A74</f>
        <v>12/2024</v>
      </c>
      <c r="B80" s="39">
        <f>'Liquids Type Curve'!A87</f>
        <v>5.4218907987866505</v>
      </c>
      <c r="C80" s="39">
        <f>'Liquids Type Curve'!B87</f>
        <v>65.062689585439813</v>
      </c>
      <c r="D80" s="39">
        <f>'Liquids Type Curve'!C87</f>
        <v>13.905665135642371</v>
      </c>
      <c r="E80" s="39">
        <f>'Liquids Type Curve'!D87</f>
        <v>422.96398120912215</v>
      </c>
      <c r="F80" s="39">
        <f>'Liquids Type Curve'!E87</f>
        <v>84172.309382713429</v>
      </c>
      <c r="H80" s="39">
        <f t="shared" si="38"/>
        <v>5.4218907987866505</v>
      </c>
      <c r="I80" s="39">
        <f t="shared" si="39"/>
        <v>65.062689585439813</v>
      </c>
      <c r="J80" s="39">
        <f t="shared" si="22"/>
        <v>6.1184926596826434</v>
      </c>
      <c r="K80" s="39">
        <f t="shared" si="40"/>
        <v>186.10415173201375</v>
      </c>
      <c r="L80" s="39">
        <f t="shared" si="41"/>
        <v>37976.352360277975</v>
      </c>
      <c r="N80">
        <f t="shared" si="23"/>
        <v>29.588246324527606</v>
      </c>
      <c r="O80">
        <f t="shared" si="24"/>
        <v>7917.8751006197608</v>
      </c>
      <c r="P80">
        <f t="shared" si="29"/>
        <v>7.917875100619761</v>
      </c>
      <c r="Q80" s="161">
        <f t="shared" si="30"/>
        <v>4.650482776383031</v>
      </c>
      <c r="S80" s="157">
        <f t="shared" si="31"/>
        <v>0.18502896658298185</v>
      </c>
      <c r="T80" s="157">
        <v>0.05</v>
      </c>
      <c r="U80" s="157">
        <f t="shared" si="25"/>
        <v>0.18502896658298185</v>
      </c>
      <c r="V80" s="157">
        <f t="shared" si="26"/>
        <v>0.15614551799627882</v>
      </c>
      <c r="W80" s="157">
        <f t="shared" si="27"/>
        <v>0.19814086246861817</v>
      </c>
      <c r="Y80" s="157">
        <f t="shared" si="28"/>
        <v>-0.16666429506282401</v>
      </c>
      <c r="Z80" s="157">
        <f t="shared" si="32"/>
        <v>0.05</v>
      </c>
      <c r="AB80" s="2">
        <f>'Price Deck'!P74/'Price Deck'!M74</f>
        <v>15.121951219512196</v>
      </c>
      <c r="AC80" s="161">
        <f t="shared" si="33"/>
        <v>4.650482776383031</v>
      </c>
      <c r="AE80" s="161">
        <f t="shared" si="34"/>
        <v>2814.2579042402081</v>
      </c>
      <c r="AF80">
        <f t="shared" si="35"/>
        <v>0.05</v>
      </c>
      <c r="AG80" s="165">
        <f t="shared" si="36"/>
        <v>140.71289521201041</v>
      </c>
      <c r="AH80" s="165">
        <f t="shared" si="37"/>
        <v>0.33268292682926831</v>
      </c>
    </row>
    <row r="81" spans="1:34">
      <c r="A81" t="str">
        <f>'Price Deck'!A75</f>
        <v>01/2025</v>
      </c>
      <c r="B81" s="39">
        <f>'Liquids Type Curve'!A88</f>
        <v>5.5052241321199835</v>
      </c>
      <c r="C81" s="39">
        <f>'Liquids Type Curve'!B88</f>
        <v>66.062689585439799</v>
      </c>
      <c r="D81" s="39">
        <f>'Liquids Type Curve'!C88</f>
        <v>13.709368222804653</v>
      </c>
      <c r="E81" s="39">
        <f>'Liquids Type Curve'!D88</f>
        <v>416.99328344364153</v>
      </c>
      <c r="F81" s="39">
        <f>'Liquids Type Curve'!E88</f>
        <v>84589.302666157077</v>
      </c>
      <c r="H81" s="39">
        <f t="shared" si="38"/>
        <v>5.5052241321199835</v>
      </c>
      <c r="I81" s="39">
        <f t="shared" si="39"/>
        <v>66.062689585439799</v>
      </c>
      <c r="J81" s="39">
        <f t="shared" si="22"/>
        <v>6.0321220180340474</v>
      </c>
      <c r="K81" s="39">
        <f t="shared" si="40"/>
        <v>183.47704471520228</v>
      </c>
      <c r="L81" s="39">
        <f t="shared" si="41"/>
        <v>38159.829404993179</v>
      </c>
      <c r="N81">
        <f t="shared" si="23"/>
        <v>29.170568971223613</v>
      </c>
      <c r="O81">
        <f t="shared" si="24"/>
        <v>7806.1037884728503</v>
      </c>
      <c r="P81">
        <f t="shared" si="29"/>
        <v>7.8061037884728499</v>
      </c>
      <c r="Q81" s="161">
        <f t="shared" si="30"/>
        <v>4.7254905630988864</v>
      </c>
      <c r="S81" s="157">
        <f t="shared" si="31"/>
        <v>0.18952943378593318</v>
      </c>
      <c r="T81" s="157">
        <v>0.05</v>
      </c>
      <c r="U81" s="157">
        <f t="shared" si="25"/>
        <v>0.18952943378593318</v>
      </c>
      <c r="V81" s="157">
        <f t="shared" si="26"/>
        <v>0.15933334893170267</v>
      </c>
      <c r="W81" s="157">
        <f t="shared" si="27"/>
        <v>0.19982853766972491</v>
      </c>
      <c r="Y81" s="157">
        <f t="shared" si="28"/>
        <v>-0.16671947655963096</v>
      </c>
      <c r="Z81" s="157">
        <f t="shared" si="32"/>
        <v>0.05</v>
      </c>
      <c r="AB81" s="2">
        <f>'Price Deck'!P75/'Price Deck'!M75</f>
        <v>15.365853658536587</v>
      </c>
      <c r="AC81" s="161">
        <f t="shared" si="33"/>
        <v>4.7254905630988864</v>
      </c>
      <c r="AE81" s="161">
        <f t="shared" si="34"/>
        <v>2819.2814187945719</v>
      </c>
      <c r="AF81">
        <f t="shared" si="35"/>
        <v>0.05</v>
      </c>
      <c r="AG81" s="165">
        <f t="shared" si="36"/>
        <v>140.9640709397286</v>
      </c>
      <c r="AH81" s="165">
        <f t="shared" si="37"/>
        <v>0.33804878048780496</v>
      </c>
    </row>
    <row r="82" spans="1:34">
      <c r="A82" t="str">
        <f>'Price Deck'!A76</f>
        <v>02/2025</v>
      </c>
      <c r="B82" s="39">
        <f>'Liquids Type Curve'!A89</f>
        <v>5.5885574654533166</v>
      </c>
      <c r="C82" s="39">
        <f>'Liquids Type Curve'!B89</f>
        <v>67.062689585439799</v>
      </c>
      <c r="D82" s="39">
        <f>'Liquids Type Curve'!C89</f>
        <v>13.518729524179966</v>
      </c>
      <c r="E82" s="39">
        <f>'Liquids Type Curve'!D89</f>
        <v>411.19468969380728</v>
      </c>
      <c r="F82" s="39">
        <f>'Liquids Type Curve'!E89</f>
        <v>85000.497355850879</v>
      </c>
      <c r="H82" s="39">
        <f t="shared" si="38"/>
        <v>5.5885574654533166</v>
      </c>
      <c r="I82" s="39">
        <f t="shared" si="39"/>
        <v>67.062689585439799</v>
      </c>
      <c r="J82" s="39">
        <f t="shared" si="22"/>
        <v>5.9482409906391851</v>
      </c>
      <c r="K82" s="39">
        <f t="shared" si="40"/>
        <v>180.92566346527522</v>
      </c>
      <c r="L82" s="39">
        <f t="shared" si="41"/>
        <v>38340.755068458457</v>
      </c>
      <c r="N82">
        <f t="shared" si="23"/>
        <v>28.764931073368821</v>
      </c>
      <c r="O82">
        <f t="shared" si="24"/>
        <v>7697.5542591744634</v>
      </c>
      <c r="P82">
        <f t="shared" si="29"/>
        <v>7.6975542591744635</v>
      </c>
      <c r="Q82" s="161">
        <f t="shared" si="30"/>
        <v>4.7254905630988864</v>
      </c>
      <c r="S82" s="157">
        <f t="shared" si="31"/>
        <v>0.18952943378593318</v>
      </c>
      <c r="T82" s="157">
        <v>0.05</v>
      </c>
      <c r="U82" s="157">
        <f t="shared" si="25"/>
        <v>0.18952943378593318</v>
      </c>
      <c r="V82" s="157">
        <f t="shared" si="26"/>
        <v>0.15933334893170267</v>
      </c>
      <c r="W82" s="157">
        <f t="shared" si="27"/>
        <v>0.19982853766972491</v>
      </c>
      <c r="Y82" s="157">
        <f t="shared" si="28"/>
        <v>-0.16677306746224557</v>
      </c>
      <c r="Z82" s="157">
        <f t="shared" si="32"/>
        <v>0.05</v>
      </c>
      <c r="AB82" s="2">
        <f>'Price Deck'!P76/'Price Deck'!M76</f>
        <v>15.365853658536587</v>
      </c>
      <c r="AC82" s="161">
        <f t="shared" si="33"/>
        <v>4.7254905630988864</v>
      </c>
      <c r="AE82" s="161">
        <f t="shared" si="34"/>
        <v>2780.0772678810586</v>
      </c>
      <c r="AF82">
        <f t="shared" si="35"/>
        <v>0.05</v>
      </c>
      <c r="AG82" s="165">
        <f t="shared" si="36"/>
        <v>139.00386339405293</v>
      </c>
      <c r="AH82" s="165">
        <f t="shared" si="37"/>
        <v>0.33804878048780496</v>
      </c>
    </row>
    <row r="83" spans="1:34">
      <c r="A83" t="str">
        <f>'Price Deck'!A77</f>
        <v>03/2025</v>
      </c>
      <c r="B83" s="39">
        <f>'Liquids Type Curve'!A90</f>
        <v>5.6718907987866496</v>
      </c>
      <c r="C83" s="39">
        <f>'Liquids Type Curve'!B90</f>
        <v>68.062689585439799</v>
      </c>
      <c r="D83" s="39">
        <f>'Liquids Type Curve'!C90</f>
        <v>13.333505166001077</v>
      </c>
      <c r="E83" s="39">
        <f>'Liquids Type Curve'!D90</f>
        <v>405.56078213253278</v>
      </c>
      <c r="F83" s="39">
        <f>'Liquids Type Curve'!E90</f>
        <v>85406.058137983418</v>
      </c>
      <c r="H83" s="39">
        <f t="shared" si="38"/>
        <v>5.6718907987866496</v>
      </c>
      <c r="I83" s="39">
        <f t="shared" si="39"/>
        <v>68.062689585439799</v>
      </c>
      <c r="J83" s="39">
        <f t="shared" si="22"/>
        <v>5.8667422730404741</v>
      </c>
      <c r="K83" s="39">
        <f t="shared" si="40"/>
        <v>178.44674413831441</v>
      </c>
      <c r="L83" s="39">
        <f t="shared" si="41"/>
        <v>38519.201812596773</v>
      </c>
      <c r="N83">
        <f t="shared" si="23"/>
        <v>28.37081372035906</v>
      </c>
      <c r="O83">
        <f t="shared" si="24"/>
        <v>7592.0876511879223</v>
      </c>
      <c r="P83">
        <f t="shared" si="29"/>
        <v>7.5920876511879225</v>
      </c>
      <c r="Q83" s="161">
        <f t="shared" si="30"/>
        <v>4.7254905630988864</v>
      </c>
      <c r="S83" s="157">
        <f t="shared" si="31"/>
        <v>0.18952943378593318</v>
      </c>
      <c r="T83" s="157">
        <v>0.05</v>
      </c>
      <c r="U83" s="157">
        <f t="shared" si="25"/>
        <v>0.18952943378593318</v>
      </c>
      <c r="V83" s="157">
        <f t="shared" si="26"/>
        <v>0.15933334893170267</v>
      </c>
      <c r="W83" s="157">
        <f t="shared" si="27"/>
        <v>0.19982853766972491</v>
      </c>
      <c r="Y83" s="157">
        <f t="shared" si="28"/>
        <v>-0.16682513632660853</v>
      </c>
      <c r="Z83" s="157">
        <f t="shared" si="32"/>
        <v>0.05</v>
      </c>
      <c r="AB83" s="2">
        <f>'Price Deck'!P77/'Price Deck'!M77</f>
        <v>15.365853658536587</v>
      </c>
      <c r="AC83" s="161">
        <f t="shared" si="33"/>
        <v>4.7254905630988864</v>
      </c>
      <c r="AE83" s="161">
        <f t="shared" si="34"/>
        <v>2741.9865562716609</v>
      </c>
      <c r="AF83">
        <f t="shared" si="35"/>
        <v>0.05</v>
      </c>
      <c r="AG83" s="165">
        <f t="shared" si="36"/>
        <v>137.09932781358305</v>
      </c>
      <c r="AH83" s="165">
        <f t="shared" si="37"/>
        <v>0.3380487804878049</v>
      </c>
    </row>
    <row r="84" spans="1:34">
      <c r="A84" t="str">
        <f>'Price Deck'!A78</f>
        <v>04/2025</v>
      </c>
      <c r="B84" s="39">
        <f>'Liquids Type Curve'!A91</f>
        <v>5.7552241321199826</v>
      </c>
      <c r="C84" s="39">
        <f>'Liquids Type Curve'!B91</f>
        <v>69.062689585439784</v>
      </c>
      <c r="D84" s="39">
        <f>'Liquids Type Curve'!C91</f>
        <v>13.153465166356179</v>
      </c>
      <c r="E84" s="39">
        <f>'Liquids Type Curve'!D91</f>
        <v>400.08456547666714</v>
      </c>
      <c r="F84" s="39">
        <f>'Liquids Type Curve'!E91</f>
        <v>85806.142703460078</v>
      </c>
      <c r="H84" s="39">
        <f t="shared" si="38"/>
        <v>5.7552241321199826</v>
      </c>
      <c r="I84" s="39">
        <f t="shared" si="39"/>
        <v>69.062689585439784</v>
      </c>
      <c r="J84" s="39">
        <f t="shared" si="22"/>
        <v>5.7875246731967191</v>
      </c>
      <c r="K84" s="39">
        <f t="shared" si="40"/>
        <v>176.03720880973356</v>
      </c>
      <c r="L84" s="39">
        <f t="shared" si="41"/>
        <v>38695.239021406509</v>
      </c>
      <c r="N84">
        <f t="shared" si="23"/>
        <v>27.987727560452409</v>
      </c>
      <c r="O84">
        <f t="shared" si="24"/>
        <v>7489.5730129884132</v>
      </c>
      <c r="P84">
        <f t="shared" si="29"/>
        <v>7.489573012988413</v>
      </c>
      <c r="Q84" s="161">
        <f t="shared" si="30"/>
        <v>4.7254905630988864</v>
      </c>
      <c r="S84" s="157">
        <f t="shared" si="31"/>
        <v>0.18952943378593318</v>
      </c>
      <c r="T84" s="157">
        <v>0.05</v>
      </c>
      <c r="U84" s="157">
        <f t="shared" si="25"/>
        <v>0.18952943378593318</v>
      </c>
      <c r="V84" s="157">
        <f t="shared" si="26"/>
        <v>0.15933334893170267</v>
      </c>
      <c r="W84" s="157">
        <f t="shared" si="27"/>
        <v>0.19982853766972491</v>
      </c>
      <c r="Y84" s="157">
        <f t="shared" si="28"/>
        <v>-0.16687574780348763</v>
      </c>
      <c r="Z84" s="157">
        <f t="shared" si="32"/>
        <v>0.05</v>
      </c>
      <c r="AB84" s="2">
        <f>'Price Deck'!P78/'Price Deck'!M78</f>
        <v>15.365853658536587</v>
      </c>
      <c r="AC84" s="161">
        <f t="shared" si="33"/>
        <v>4.7254905630988864</v>
      </c>
      <c r="AE84" s="161">
        <f t="shared" si="34"/>
        <v>2704.9619890276135</v>
      </c>
      <c r="AF84">
        <f t="shared" si="35"/>
        <v>0.05</v>
      </c>
      <c r="AG84" s="165">
        <f t="shared" si="36"/>
        <v>135.24809945138068</v>
      </c>
      <c r="AH84" s="165">
        <f t="shared" si="37"/>
        <v>0.33804878048780496</v>
      </c>
    </row>
    <row r="85" spans="1:34">
      <c r="A85" t="str">
        <f>'Price Deck'!A79</f>
        <v>05/2025</v>
      </c>
      <c r="B85" s="39">
        <f>'Liquids Type Curve'!A92</f>
        <v>5.8385574654533157</v>
      </c>
      <c r="C85" s="39">
        <f>'Liquids Type Curve'!B92</f>
        <v>70.062689585439784</v>
      </c>
      <c r="D85" s="39">
        <f>'Liquids Type Curve'!C92</f>
        <v>12.978392456787006</v>
      </c>
      <c r="E85" s="39">
        <f>'Liquids Type Curve'!D92</f>
        <v>394.75943722727146</v>
      </c>
      <c r="F85" s="39">
        <f>'Liquids Type Curve'!E92</f>
        <v>86200.902140687351</v>
      </c>
      <c r="H85" s="39">
        <f t="shared" si="38"/>
        <v>5.8385574654533157</v>
      </c>
      <c r="I85" s="39">
        <f t="shared" si="39"/>
        <v>70.062689585439784</v>
      </c>
      <c r="J85" s="39">
        <f t="shared" si="22"/>
        <v>5.7104926809862828</v>
      </c>
      <c r="K85" s="39">
        <f t="shared" si="40"/>
        <v>173.69415237999945</v>
      </c>
      <c r="L85" s="39">
        <f t="shared" si="41"/>
        <v>38868.933173786507</v>
      </c>
      <c r="N85">
        <f t="shared" si="23"/>
        <v>27.615210718941693</v>
      </c>
      <c r="O85">
        <f t="shared" si="24"/>
        <v>7389.886745961694</v>
      </c>
      <c r="P85">
        <f t="shared" si="29"/>
        <v>7.3898867459616939</v>
      </c>
      <c r="Q85" s="161">
        <f t="shared" si="30"/>
        <v>4.7254905630988864</v>
      </c>
      <c r="S85" s="157">
        <f t="shared" si="31"/>
        <v>0.18952943378593318</v>
      </c>
      <c r="T85" s="157">
        <v>0.05</v>
      </c>
      <c r="U85" s="157">
        <f t="shared" si="25"/>
        <v>0.18952943378593318</v>
      </c>
      <c r="V85" s="157">
        <f t="shared" si="26"/>
        <v>0.15933334893170267</v>
      </c>
      <c r="W85" s="157">
        <f t="shared" si="27"/>
        <v>0.19982853766972491</v>
      </c>
      <c r="Y85" s="157">
        <f t="shared" si="28"/>
        <v>-0.16692496291351872</v>
      </c>
      <c r="Z85" s="157">
        <f t="shared" si="32"/>
        <v>0.05</v>
      </c>
      <c r="AB85" s="2">
        <f>'Price Deck'!P79/'Price Deck'!M79</f>
        <v>15.365853658536587</v>
      </c>
      <c r="AC85" s="161">
        <f t="shared" si="33"/>
        <v>4.7254905630988864</v>
      </c>
      <c r="AE85" s="161">
        <f t="shared" si="34"/>
        <v>2668.958926814626</v>
      </c>
      <c r="AF85">
        <f t="shared" si="35"/>
        <v>0.05</v>
      </c>
      <c r="AG85" s="165">
        <f t="shared" si="36"/>
        <v>133.44794634073131</v>
      </c>
      <c r="AH85" s="165">
        <f t="shared" si="37"/>
        <v>0.33804878048780496</v>
      </c>
    </row>
    <row r="86" spans="1:34">
      <c r="A86" t="str">
        <f>'Price Deck'!A80</f>
        <v>06/2025</v>
      </c>
      <c r="B86" s="39">
        <f>'Liquids Type Curve'!A93</f>
        <v>5.9218907987866487</v>
      </c>
      <c r="C86" s="39">
        <f>'Liquids Type Curve'!B93</f>
        <v>71.062689585439784</v>
      </c>
      <c r="D86" s="39">
        <f>'Liquids Type Curve'!C93</f>
        <v>12.808081985600456</v>
      </c>
      <c r="E86" s="39">
        <f>'Liquids Type Curve'!D93</f>
        <v>389.57916039534723</v>
      </c>
      <c r="F86" s="39">
        <f>'Liquids Type Curve'!E93</f>
        <v>86590.481301082691</v>
      </c>
      <c r="H86" s="39">
        <f t="shared" si="38"/>
        <v>5.9218907987866487</v>
      </c>
      <c r="I86" s="39">
        <f t="shared" si="39"/>
        <v>71.062689585439784</v>
      </c>
      <c r="J86" s="39">
        <f t="shared" si="22"/>
        <v>5.6355560736642003</v>
      </c>
      <c r="K86" s="39">
        <f t="shared" si="40"/>
        <v>171.41483057395277</v>
      </c>
      <c r="L86" s="39">
        <f t="shared" si="41"/>
        <v>39040.348004360458</v>
      </c>
      <c r="N86">
        <f t="shared" si="23"/>
        <v>27.252826890195678</v>
      </c>
      <c r="O86">
        <f t="shared" si="24"/>
        <v>7292.9120938304259</v>
      </c>
      <c r="P86">
        <f t="shared" si="29"/>
        <v>7.2929120938304255</v>
      </c>
      <c r="Q86" s="161">
        <f t="shared" si="30"/>
        <v>4.7254905630988864</v>
      </c>
      <c r="S86" s="157">
        <f t="shared" si="31"/>
        <v>0.18952943378593318</v>
      </c>
      <c r="T86" s="157">
        <v>0.05</v>
      </c>
      <c r="U86" s="157">
        <f t="shared" si="25"/>
        <v>0.18952943378593318</v>
      </c>
      <c r="V86" s="157">
        <f t="shared" si="26"/>
        <v>0.15933334893170267</v>
      </c>
      <c r="W86" s="157">
        <f t="shared" si="27"/>
        <v>0.19982853766972491</v>
      </c>
      <c r="Y86" s="157">
        <f t="shared" si="28"/>
        <v>-0.16697283929927592</v>
      </c>
      <c r="Z86" s="157">
        <f t="shared" si="32"/>
        <v>0.05</v>
      </c>
      <c r="AB86" s="2">
        <f>'Price Deck'!P80/'Price Deck'!M80</f>
        <v>15.365853658536587</v>
      </c>
      <c r="AC86" s="161">
        <f t="shared" si="33"/>
        <v>4.7254905630988864</v>
      </c>
      <c r="AE86" s="161">
        <f t="shared" si="34"/>
        <v>2633.9352015022014</v>
      </c>
      <c r="AF86">
        <f t="shared" si="35"/>
        <v>0.05</v>
      </c>
      <c r="AG86" s="165">
        <f t="shared" si="36"/>
        <v>131.69676007511006</v>
      </c>
      <c r="AH86" s="165">
        <f t="shared" si="37"/>
        <v>0.3380487804878049</v>
      </c>
    </row>
    <row r="87" spans="1:34">
      <c r="A87" t="str">
        <f>'Price Deck'!A81</f>
        <v>07/2025</v>
      </c>
      <c r="B87" s="39">
        <f>'Liquids Type Curve'!A94</f>
        <v>6.0052241321199817</v>
      </c>
      <c r="C87" s="39">
        <f>'Liquids Type Curve'!B94</f>
        <v>72.062689585439784</v>
      </c>
      <c r="D87" s="39">
        <f>'Liquids Type Curve'!C94</f>
        <v>12.642339895029579</v>
      </c>
      <c r="E87" s="39">
        <f>'Liquids Type Curve'!D94</f>
        <v>384.53783847381641</v>
      </c>
      <c r="F87" s="39">
        <f>'Liquids Type Curve'!E94</f>
        <v>86975.019139556505</v>
      </c>
      <c r="H87" s="39">
        <f t="shared" si="38"/>
        <v>6.0052241321199817</v>
      </c>
      <c r="I87" s="39">
        <f t="shared" si="39"/>
        <v>72.062689585439784</v>
      </c>
      <c r="J87" s="39">
        <f t="shared" si="22"/>
        <v>5.5626295538130153</v>
      </c>
      <c r="K87" s="39">
        <f t="shared" si="40"/>
        <v>169.19664892847922</v>
      </c>
      <c r="L87" s="39">
        <f t="shared" si="41"/>
        <v>39209.54465328894</v>
      </c>
      <c r="N87">
        <f t="shared" si="23"/>
        <v>26.900163586835706</v>
      </c>
      <c r="O87">
        <f t="shared" si="24"/>
        <v>7198.53867413027</v>
      </c>
      <c r="P87">
        <f t="shared" si="29"/>
        <v>7.1985386741302699</v>
      </c>
      <c r="Q87" s="161">
        <f t="shared" si="30"/>
        <v>4.7254905630988864</v>
      </c>
      <c r="S87" s="157">
        <f t="shared" si="31"/>
        <v>0.18952943378593318</v>
      </c>
      <c r="T87" s="157">
        <v>0.05</v>
      </c>
      <c r="U87" s="157">
        <f t="shared" si="25"/>
        <v>0.18952943378593318</v>
      </c>
      <c r="V87" s="157">
        <f t="shared" si="26"/>
        <v>0.15933334893170267</v>
      </c>
      <c r="W87" s="157">
        <f t="shared" si="27"/>
        <v>0.19982853766972491</v>
      </c>
      <c r="Y87" s="157">
        <f t="shared" si="28"/>
        <v>-0.16701943145658191</v>
      </c>
      <c r="Z87" s="157">
        <f t="shared" si="32"/>
        <v>0.05</v>
      </c>
      <c r="AB87" s="2">
        <f>'Price Deck'!P81/'Price Deck'!M81</f>
        <v>15.365853658536587</v>
      </c>
      <c r="AC87" s="161">
        <f t="shared" si="33"/>
        <v>4.7254905630988864</v>
      </c>
      <c r="AE87" s="161">
        <f t="shared" si="34"/>
        <v>2599.8509469498031</v>
      </c>
      <c r="AF87">
        <f t="shared" si="35"/>
        <v>0.05</v>
      </c>
      <c r="AG87" s="165">
        <f t="shared" si="36"/>
        <v>129.99254734749016</v>
      </c>
      <c r="AH87" s="165">
        <f t="shared" si="37"/>
        <v>0.33804878048780496</v>
      </c>
    </row>
    <row r="88" spans="1:34">
      <c r="A88" t="str">
        <f>'Price Deck'!A82</f>
        <v>08/2025</v>
      </c>
      <c r="B88" s="39">
        <f>'Liquids Type Curve'!A95</f>
        <v>6.0885574654533148</v>
      </c>
      <c r="C88" s="39">
        <f>'Liquids Type Curve'!B95</f>
        <v>73.062689585439784</v>
      </c>
      <c r="D88" s="39">
        <f>'Liquids Type Curve'!C95</f>
        <v>12.480982765233662</v>
      </c>
      <c r="E88" s="39">
        <f>'Liquids Type Curve'!D95</f>
        <v>379.6298924425239</v>
      </c>
      <c r="F88" s="39">
        <f>'Liquids Type Curve'!E95</f>
        <v>87354.649031999026</v>
      </c>
      <c r="H88" s="39">
        <f t="shared" si="38"/>
        <v>6.0885574654533148</v>
      </c>
      <c r="I88" s="39">
        <f t="shared" si="39"/>
        <v>73.062689585439784</v>
      </c>
      <c r="J88" s="39">
        <f t="shared" si="22"/>
        <v>5.491632416702811</v>
      </c>
      <c r="K88" s="39">
        <f t="shared" si="40"/>
        <v>167.03715267471051</v>
      </c>
      <c r="L88" s="39">
        <f t="shared" si="41"/>
        <v>39376.581805963651</v>
      </c>
      <c r="N88">
        <f t="shared" si="23"/>
        <v>26.556830531131435</v>
      </c>
      <c r="O88">
        <f t="shared" si="24"/>
        <v>7106.662047744102</v>
      </c>
      <c r="P88">
        <f t="shared" si="29"/>
        <v>7.106662047744102</v>
      </c>
      <c r="Q88" s="161">
        <f t="shared" si="30"/>
        <v>4.7254905630988864</v>
      </c>
      <c r="S88" s="157">
        <f t="shared" si="31"/>
        <v>0.18952943378593318</v>
      </c>
      <c r="T88" s="157">
        <v>0.05</v>
      </c>
      <c r="U88" s="157">
        <f t="shared" si="25"/>
        <v>0.18952943378593318</v>
      </c>
      <c r="V88" s="157">
        <f t="shared" si="26"/>
        <v>0.15933334893170267</v>
      </c>
      <c r="W88" s="157">
        <f t="shared" si="27"/>
        <v>0.19982853766972491</v>
      </c>
      <c r="Y88" s="157">
        <f t="shared" si="28"/>
        <v>-0.16706479094702872</v>
      </c>
      <c r="Z88" s="157">
        <f t="shared" si="32"/>
        <v>0.05</v>
      </c>
      <c r="AB88" s="2">
        <f>'Price Deck'!P82/'Price Deck'!M82</f>
        <v>15.365853658536587</v>
      </c>
      <c r="AC88" s="161">
        <f t="shared" si="33"/>
        <v>4.7254905630988864</v>
      </c>
      <c r="AE88" s="161">
        <f t="shared" si="34"/>
        <v>2566.6684435382349</v>
      </c>
      <c r="AF88">
        <f t="shared" si="35"/>
        <v>0.05</v>
      </c>
      <c r="AG88" s="165">
        <f t="shared" si="36"/>
        <v>128.33342217691174</v>
      </c>
      <c r="AH88" s="165">
        <f t="shared" si="37"/>
        <v>0.3380487804878049</v>
      </c>
    </row>
    <row r="89" spans="1:34">
      <c r="A89" t="str">
        <f>'Price Deck'!A83</f>
        <v>09/2025</v>
      </c>
      <c r="B89" s="39">
        <f>'Liquids Type Curve'!A96</f>
        <v>6.1718907987866478</v>
      </c>
      <c r="C89" s="39">
        <f>'Liquids Type Curve'!B96</f>
        <v>74.06268958543977</v>
      </c>
      <c r="D89" s="39">
        <f>'Liquids Type Curve'!C96</f>
        <v>12.32383691887879</v>
      </c>
      <c r="E89" s="39">
        <f>'Liquids Type Curve'!D96</f>
        <v>374.85003961589655</v>
      </c>
      <c r="F89" s="39">
        <f>'Liquids Type Curve'!E96</f>
        <v>87729.499071614919</v>
      </c>
      <c r="H89" s="39">
        <f t="shared" si="38"/>
        <v>6.1718907987866478</v>
      </c>
      <c r="I89" s="39">
        <f t="shared" si="39"/>
        <v>74.06268958543977</v>
      </c>
      <c r="J89" s="39">
        <f t="shared" si="22"/>
        <v>5.4224882443066678</v>
      </c>
      <c r="K89" s="39">
        <f t="shared" si="40"/>
        <v>164.93401743099449</v>
      </c>
      <c r="L89" s="39">
        <f t="shared" si="41"/>
        <v>39541.515823394642</v>
      </c>
      <c r="N89">
        <f t="shared" si="23"/>
        <v>26.222458175298815</v>
      </c>
      <c r="O89">
        <f t="shared" si="24"/>
        <v>7017.1833229307294</v>
      </c>
      <c r="P89">
        <f t="shared" si="29"/>
        <v>7.0171833229307294</v>
      </c>
      <c r="Q89" s="161">
        <f t="shared" si="30"/>
        <v>4.7254905630988864</v>
      </c>
      <c r="S89" s="157">
        <f t="shared" si="31"/>
        <v>0.18952943378593318</v>
      </c>
      <c r="T89" s="157">
        <v>0.05</v>
      </c>
      <c r="U89" s="157">
        <f t="shared" si="25"/>
        <v>0.18952943378593318</v>
      </c>
      <c r="V89" s="157">
        <f t="shared" si="26"/>
        <v>0.15933334893170267</v>
      </c>
      <c r="W89" s="157">
        <f t="shared" si="27"/>
        <v>0.19982853766972491</v>
      </c>
      <c r="Y89" s="157">
        <f t="shared" si="28"/>
        <v>-0.1671089665934691</v>
      </c>
      <c r="Z89" s="157">
        <f t="shared" si="32"/>
        <v>0.05</v>
      </c>
      <c r="AB89" s="2">
        <f>'Price Deck'!P83/'Price Deck'!M83</f>
        <v>15.365853658536587</v>
      </c>
      <c r="AC89" s="161">
        <f t="shared" si="33"/>
        <v>4.7254905630988864</v>
      </c>
      <c r="AE89" s="161">
        <f t="shared" si="34"/>
        <v>2534.3519751591839</v>
      </c>
      <c r="AF89">
        <f t="shared" si="35"/>
        <v>0.05</v>
      </c>
      <c r="AG89" s="165">
        <f t="shared" si="36"/>
        <v>126.71759875795919</v>
      </c>
      <c r="AH89" s="165">
        <f t="shared" si="37"/>
        <v>0.33804878048780496</v>
      </c>
    </row>
    <row r="90" spans="1:34">
      <c r="A90" t="str">
        <f>'Price Deck'!A84</f>
        <v>10/2025</v>
      </c>
      <c r="B90" s="39">
        <f>'Liquids Type Curve'!A97</f>
        <v>6.2552241321199809</v>
      </c>
      <c r="C90" s="39">
        <f>'Liquids Type Curve'!B97</f>
        <v>75.06268958543977</v>
      </c>
      <c r="D90" s="39">
        <f>'Liquids Type Curve'!C97</f>
        <v>12.170737780701495</v>
      </c>
      <c r="E90" s="39">
        <f>'Liquids Type Curve'!D97</f>
        <v>370.19327416300382</v>
      </c>
      <c r="F90" s="39">
        <f>'Liquids Type Curve'!E97</f>
        <v>88099.692345777919</v>
      </c>
      <c r="H90" s="39">
        <f t="shared" si="38"/>
        <v>6.2552241321199809</v>
      </c>
      <c r="I90" s="39">
        <f t="shared" si="39"/>
        <v>75.06268958543977</v>
      </c>
      <c r="J90" s="39">
        <f t="shared" si="22"/>
        <v>5.355124623508658</v>
      </c>
      <c r="K90" s="39">
        <f t="shared" si="40"/>
        <v>162.88504063172169</v>
      </c>
      <c r="L90" s="39">
        <f t="shared" si="41"/>
        <v>39704.400864026364</v>
      </c>
      <c r="N90">
        <f t="shared" si="23"/>
        <v>25.896696338790054</v>
      </c>
      <c r="O90">
        <f t="shared" si="24"/>
        <v>6930.0087906609106</v>
      </c>
      <c r="P90">
        <f t="shared" si="29"/>
        <v>6.9300087906609109</v>
      </c>
      <c r="Q90" s="161">
        <f t="shared" si="30"/>
        <v>4.7254905630988864</v>
      </c>
      <c r="S90" s="157">
        <f t="shared" si="31"/>
        <v>0.18952943378593318</v>
      </c>
      <c r="T90" s="157">
        <v>0.05</v>
      </c>
      <c r="U90" s="157">
        <f t="shared" si="25"/>
        <v>0.18952943378593318</v>
      </c>
      <c r="V90" s="157">
        <f t="shared" si="26"/>
        <v>0.15933334893170267</v>
      </c>
      <c r="W90" s="157">
        <f t="shared" si="27"/>
        <v>0.19982853766972491</v>
      </c>
      <c r="Y90" s="157">
        <f t="shared" si="28"/>
        <v>-0.16715200466005073</v>
      </c>
      <c r="Z90" s="157">
        <f t="shared" si="32"/>
        <v>0.05</v>
      </c>
      <c r="AB90" s="2">
        <f>'Price Deck'!P84/'Price Deck'!M84</f>
        <v>15.365853658536587</v>
      </c>
      <c r="AC90" s="161">
        <f t="shared" si="33"/>
        <v>4.7254905630988864</v>
      </c>
      <c r="AE90" s="161">
        <f t="shared" si="34"/>
        <v>2502.8676975118215</v>
      </c>
      <c r="AF90">
        <f t="shared" si="35"/>
        <v>0.05</v>
      </c>
      <c r="AG90" s="165">
        <f t="shared" si="36"/>
        <v>125.14338487559108</v>
      </c>
      <c r="AH90" s="165">
        <f t="shared" si="37"/>
        <v>0.33804878048780496</v>
      </c>
    </row>
    <row r="91" spans="1:34">
      <c r="A91" t="str">
        <f>'Price Deck'!A85</f>
        <v>11/2025</v>
      </c>
      <c r="B91" s="39">
        <f>'Liquids Type Curve'!A98</f>
        <v>6.3385574654533139</v>
      </c>
      <c r="C91" s="39">
        <f>'Liquids Type Curve'!B98</f>
        <v>76.06268958543977</v>
      </c>
      <c r="D91" s="39">
        <f>'Liquids Type Curve'!C98</f>
        <v>12.021529287042206</v>
      </c>
      <c r="E91" s="39">
        <f>'Liquids Type Curve'!D98</f>
        <v>365.65484914753381</v>
      </c>
      <c r="F91" s="39">
        <f>'Liquids Type Curve'!E98</f>
        <v>88465.34719492546</v>
      </c>
      <c r="H91" s="39">
        <f t="shared" si="38"/>
        <v>6.3385574654533139</v>
      </c>
      <c r="I91" s="39">
        <f t="shared" si="39"/>
        <v>76.06268958543977</v>
      </c>
      <c r="J91" s="39">
        <f t="shared" si="22"/>
        <v>5.2894728862985705</v>
      </c>
      <c r="K91" s="39">
        <f t="shared" si="40"/>
        <v>160.88813362491487</v>
      </c>
      <c r="L91" s="39">
        <f t="shared" si="41"/>
        <v>39865.288997651282</v>
      </c>
      <c r="N91">
        <f t="shared" si="23"/>
        <v>25.579212951908627</v>
      </c>
      <c r="O91">
        <f t="shared" si="24"/>
        <v>6845.0495884061611</v>
      </c>
      <c r="P91">
        <f t="shared" si="29"/>
        <v>6.8450495884061615</v>
      </c>
      <c r="Q91" s="161">
        <f t="shared" si="30"/>
        <v>4.7254905630988864</v>
      </c>
      <c r="S91" s="157">
        <f t="shared" si="31"/>
        <v>0.18952943378593318</v>
      </c>
      <c r="T91" s="157">
        <v>0.05</v>
      </c>
      <c r="U91" s="157">
        <f t="shared" si="25"/>
        <v>0.18952943378593318</v>
      </c>
      <c r="V91" s="157">
        <f t="shared" si="26"/>
        <v>0.15933334893170267</v>
      </c>
      <c r="W91" s="157">
        <f t="shared" si="27"/>
        <v>0.19982853766972491</v>
      </c>
      <c r="Y91" s="157">
        <f t="shared" si="28"/>
        <v>-0.16719394901820389</v>
      </c>
      <c r="Z91" s="157">
        <f t="shared" si="32"/>
        <v>0.05</v>
      </c>
      <c r="AB91" s="2">
        <f>'Price Deck'!P85/'Price Deck'!M85</f>
        <v>15.365853658536587</v>
      </c>
      <c r="AC91" s="161">
        <f t="shared" si="33"/>
        <v>4.7254905630988864</v>
      </c>
      <c r="AE91" s="161">
        <f t="shared" si="34"/>
        <v>2472.1835166755213</v>
      </c>
      <c r="AF91">
        <f t="shared" si="35"/>
        <v>0.05</v>
      </c>
      <c r="AG91" s="165">
        <f t="shared" si="36"/>
        <v>123.60917583377608</v>
      </c>
      <c r="AH91" s="165">
        <f t="shared" si="37"/>
        <v>0.3380487804878049</v>
      </c>
    </row>
    <row r="92" spans="1:34">
      <c r="A92" t="str">
        <f>'Price Deck'!A86</f>
        <v>12/2025</v>
      </c>
      <c r="B92" s="39">
        <f>'Liquids Type Curve'!A99</f>
        <v>6.4218907987866469</v>
      </c>
      <c r="C92" s="39">
        <f>'Liquids Type Curve'!B99</f>
        <v>77.062689585439756</v>
      </c>
      <c r="D92" s="39">
        <f>'Liquids Type Curve'!C99</f>
        <v>11.876063340851779</v>
      </c>
      <c r="E92" s="39">
        <f>'Liquids Type Curve'!D99</f>
        <v>361.23025995090831</v>
      </c>
      <c r="F92" s="39">
        <f>'Liquids Type Curve'!E99</f>
        <v>88826.577454876373</v>
      </c>
      <c r="H92" s="39">
        <f t="shared" si="38"/>
        <v>6.4218907987866469</v>
      </c>
      <c r="I92" s="39">
        <f t="shared" si="39"/>
        <v>77.062689585439756</v>
      </c>
      <c r="J92" s="39">
        <f t="shared" si="22"/>
        <v>5.225467869974783</v>
      </c>
      <c r="K92" s="39">
        <f t="shared" si="40"/>
        <v>158.94131437839965</v>
      </c>
      <c r="L92" s="39">
        <f t="shared" si="41"/>
        <v>40024.230312029678</v>
      </c>
      <c r="N92">
        <f t="shared" si="23"/>
        <v>25.269692896181063</v>
      </c>
      <c r="O92">
        <f t="shared" si="24"/>
        <v>6762.2213898198825</v>
      </c>
      <c r="P92">
        <f t="shared" si="29"/>
        <v>6.7622213898198824</v>
      </c>
      <c r="Q92" s="161">
        <f t="shared" si="30"/>
        <v>4.7254905630988864</v>
      </c>
      <c r="S92" s="157">
        <f t="shared" si="31"/>
        <v>0.18952943378593318</v>
      </c>
      <c r="T92" s="157">
        <v>0.05</v>
      </c>
      <c r="U92" s="157">
        <f t="shared" si="25"/>
        <v>0.18952943378593318</v>
      </c>
      <c r="V92" s="157">
        <f t="shared" si="26"/>
        <v>0.15933334893170267</v>
      </c>
      <c r="W92" s="157">
        <f t="shared" si="27"/>
        <v>0.19982853766972491</v>
      </c>
      <c r="Y92" s="157">
        <f t="shared" si="28"/>
        <v>-0.16723484129984592</v>
      </c>
      <c r="Z92" s="157">
        <f t="shared" si="32"/>
        <v>0.05</v>
      </c>
      <c r="AB92" s="2">
        <f>'Price Deck'!P86/'Price Deck'!M86</f>
        <v>15.365853658536587</v>
      </c>
      <c r="AC92" s="161">
        <f t="shared" si="33"/>
        <v>4.7254905630988864</v>
      </c>
      <c r="AE92" s="161">
        <f t="shared" si="34"/>
        <v>2442.2689770339462</v>
      </c>
      <c r="AF92">
        <f t="shared" si="35"/>
        <v>0.05</v>
      </c>
      <c r="AG92" s="165">
        <f t="shared" si="36"/>
        <v>122.11344885169731</v>
      </c>
      <c r="AH92" s="165">
        <f t="shared" si="37"/>
        <v>0.3380487804878049</v>
      </c>
    </row>
    <row r="93" spans="1:34">
      <c r="A93" t="str">
        <f>'Price Deck'!A87</f>
        <v>01/2026</v>
      </c>
      <c r="B93" s="39">
        <f>'Liquids Type Curve'!A100</f>
        <v>6.50522413211998</v>
      </c>
      <c r="C93" s="39">
        <f>'Liquids Type Curve'!B100</f>
        <v>78.062689585439756</v>
      </c>
      <c r="D93" s="39">
        <f>'Liquids Type Curve'!C100</f>
        <v>11.734199308130824</v>
      </c>
      <c r="E93" s="39">
        <f>'Liquids Type Curve'!D100</f>
        <v>356.91522895564594</v>
      </c>
      <c r="F93" s="39">
        <f>'Liquids Type Curve'!E100</f>
        <v>89183.492683832024</v>
      </c>
      <c r="H93" s="39">
        <f t="shared" si="38"/>
        <v>6.50522413211998</v>
      </c>
      <c r="I93" s="39">
        <f t="shared" si="39"/>
        <v>78.062689585439756</v>
      </c>
      <c r="J93" s="39">
        <f t="shared" si="22"/>
        <v>5.1630476955775624</v>
      </c>
      <c r="K93" s="39">
        <f t="shared" si="40"/>
        <v>157.04270074048421</v>
      </c>
      <c r="L93" s="39">
        <f t="shared" si="41"/>
        <v>40181.273012770165</v>
      </c>
      <c r="N93">
        <f t="shared" si="23"/>
        <v>24.967836932888837</v>
      </c>
      <c r="O93">
        <f t="shared" si="24"/>
        <v>6681.444118010304</v>
      </c>
      <c r="P93">
        <f t="shared" si="29"/>
        <v>6.6814441180103037</v>
      </c>
      <c r="Q93" s="161">
        <f t="shared" si="30"/>
        <v>4.7254905630988864</v>
      </c>
      <c r="S93" s="157">
        <f t="shared" si="31"/>
        <v>0.18952943378593318</v>
      </c>
      <c r="T93" s="157">
        <v>0.05</v>
      </c>
      <c r="U93" s="157">
        <f t="shared" si="25"/>
        <v>0.18952943378593318</v>
      </c>
      <c r="V93" s="157">
        <f t="shared" si="26"/>
        <v>0.15933334893170267</v>
      </c>
      <c r="W93" s="157">
        <f t="shared" si="27"/>
        <v>0.19982853766972491</v>
      </c>
      <c r="Y93" s="157">
        <f t="shared" si="28"/>
        <v>-0.16727472103893834</v>
      </c>
      <c r="Z93" s="157">
        <f t="shared" si="32"/>
        <v>0.05</v>
      </c>
      <c r="AB93" s="2">
        <f>'Price Deck'!P87/'Price Deck'!M87</f>
        <v>15.365853658536587</v>
      </c>
      <c r="AC93" s="161">
        <f t="shared" si="33"/>
        <v>4.7254905630988864</v>
      </c>
      <c r="AE93" s="161">
        <f t="shared" si="34"/>
        <v>2413.0951577196356</v>
      </c>
      <c r="AF93">
        <f t="shared" si="35"/>
        <v>0.05</v>
      </c>
      <c r="AG93" s="165">
        <f t="shared" si="36"/>
        <v>120.65475788598178</v>
      </c>
      <c r="AH93" s="165">
        <f t="shared" si="37"/>
        <v>0.3380487804878049</v>
      </c>
    </row>
    <row r="94" spans="1:34">
      <c r="A94" t="str">
        <f>'Price Deck'!A88</f>
        <v>02/2026</v>
      </c>
      <c r="B94" s="39">
        <f>'Liquids Type Curve'!A101</f>
        <v>6.588557465453313</v>
      </c>
      <c r="C94" s="39">
        <f>'Liquids Type Curve'!B101</f>
        <v>79.062689585439756</v>
      </c>
      <c r="D94" s="39">
        <f>'Liquids Type Curve'!C101</f>
        <v>11.595803552167947</v>
      </c>
      <c r="E94" s="39">
        <f>'Liquids Type Curve'!D101</f>
        <v>352.70569137844171</v>
      </c>
      <c r="F94" s="39">
        <f>'Liquids Type Curve'!E101</f>
        <v>89536.198375210472</v>
      </c>
      <c r="H94" s="39">
        <f t="shared" si="38"/>
        <v>6.588557465453313</v>
      </c>
      <c r="I94" s="39">
        <f t="shared" si="39"/>
        <v>79.062689585439756</v>
      </c>
      <c r="J94" s="39">
        <f t="shared" si="22"/>
        <v>5.1021535629538963</v>
      </c>
      <c r="K94" s="39">
        <f t="shared" si="40"/>
        <v>155.19050420651436</v>
      </c>
      <c r="L94" s="39">
        <f t="shared" si="41"/>
        <v>40336.463516976677</v>
      </c>
      <c r="N94">
        <f t="shared" si="23"/>
        <v>24.673360712028103</v>
      </c>
      <c r="O94">
        <f t="shared" si="24"/>
        <v>6602.6416803360926</v>
      </c>
      <c r="P94">
        <f t="shared" si="29"/>
        <v>6.6026416803360926</v>
      </c>
      <c r="Q94" s="161">
        <f t="shared" si="30"/>
        <v>4.7254905630988864</v>
      </c>
      <c r="S94" s="157">
        <f t="shared" si="31"/>
        <v>0.18952943378593318</v>
      </c>
      <c r="T94" s="157">
        <v>0.05</v>
      </c>
      <c r="U94" s="157">
        <f t="shared" si="25"/>
        <v>0.18952943378593318</v>
      </c>
      <c r="V94" s="157">
        <f t="shared" si="26"/>
        <v>0.15933334893170267</v>
      </c>
      <c r="W94" s="157">
        <f t="shared" si="27"/>
        <v>0.19982853766972491</v>
      </c>
      <c r="Y94" s="157">
        <f t="shared" si="28"/>
        <v>-0.16731362580241807</v>
      </c>
      <c r="Z94" s="157">
        <f t="shared" si="32"/>
        <v>0.05</v>
      </c>
      <c r="AB94" s="2">
        <f>'Price Deck'!P88/'Price Deck'!M88</f>
        <v>15.365853658536587</v>
      </c>
      <c r="AC94" s="161">
        <f t="shared" si="33"/>
        <v>4.7254905630988864</v>
      </c>
      <c r="AE94" s="161">
        <f t="shared" si="34"/>
        <v>2384.634576831806</v>
      </c>
      <c r="AF94">
        <f t="shared" si="35"/>
        <v>0.05</v>
      </c>
      <c r="AG94" s="165">
        <f t="shared" si="36"/>
        <v>119.23172884159031</v>
      </c>
      <c r="AH94" s="165">
        <f t="shared" si="37"/>
        <v>0.3380487804878049</v>
      </c>
    </row>
    <row r="95" spans="1:34">
      <c r="A95" t="str">
        <f>'Price Deck'!A89</f>
        <v>03/2026</v>
      </c>
      <c r="B95" s="39">
        <f>'Liquids Type Curve'!A102</f>
        <v>6.671890798786646</v>
      </c>
      <c r="C95" s="39">
        <f>'Liquids Type Curve'!B102</f>
        <v>80.062689585439756</v>
      </c>
      <c r="D95" s="39">
        <f>'Liquids Type Curve'!C102</f>
        <v>11.460749002302375</v>
      </c>
      <c r="E95" s="39">
        <f>'Liquids Type Curve'!D102</f>
        <v>348.59778215336394</v>
      </c>
      <c r="F95" s="39">
        <f>'Liquids Type Curve'!E102</f>
        <v>89884.796157363831</v>
      </c>
      <c r="H95" s="39">
        <f t="shared" si="38"/>
        <v>6.671890798786646</v>
      </c>
      <c r="I95" s="39">
        <f t="shared" si="39"/>
        <v>80.062689585439756</v>
      </c>
      <c r="J95" s="39">
        <f t="shared" si="22"/>
        <v>5.0427295610130454</v>
      </c>
      <c r="K95" s="39">
        <f t="shared" si="40"/>
        <v>153.38302414748014</v>
      </c>
      <c r="L95" s="39">
        <f t="shared" si="41"/>
        <v>40489.846541124156</v>
      </c>
      <c r="N95">
        <f t="shared" si="23"/>
        <v>24.385993854729904</v>
      </c>
      <c r="O95">
        <f t="shared" si="24"/>
        <v>6525.7417228601207</v>
      </c>
      <c r="P95">
        <f t="shared" si="29"/>
        <v>6.5257417228601211</v>
      </c>
      <c r="Q95" s="161">
        <f t="shared" si="30"/>
        <v>4.7254905630988864</v>
      </c>
      <c r="S95" s="157">
        <f t="shared" si="31"/>
        <v>0.18952943378593318</v>
      </c>
      <c r="T95" s="157">
        <v>0.05</v>
      </c>
      <c r="U95" s="157">
        <f t="shared" si="25"/>
        <v>0.18952943378593318</v>
      </c>
      <c r="V95" s="157">
        <f t="shared" si="26"/>
        <v>0.15933334893170267</v>
      </c>
      <c r="W95" s="157">
        <f t="shared" si="27"/>
        <v>0.19982853766972491</v>
      </c>
      <c r="Y95" s="157">
        <f t="shared" si="28"/>
        <v>-0.16735159131142396</v>
      </c>
      <c r="Z95" s="157">
        <f t="shared" si="32"/>
        <v>0.05</v>
      </c>
      <c r="AB95" s="2">
        <f>'Price Deck'!P89/'Price Deck'!M89</f>
        <v>15.365853658536587</v>
      </c>
      <c r="AC95" s="161">
        <f t="shared" si="33"/>
        <v>4.7254905630988864</v>
      </c>
      <c r="AE95" s="161">
        <f t="shared" si="34"/>
        <v>2356.8611027539632</v>
      </c>
      <c r="AF95">
        <f t="shared" si="35"/>
        <v>0.05</v>
      </c>
      <c r="AG95" s="165">
        <f t="shared" si="36"/>
        <v>117.84305513769817</v>
      </c>
      <c r="AH95" s="165">
        <f t="shared" si="37"/>
        <v>0.33804878048780496</v>
      </c>
    </row>
    <row r="96" spans="1:34">
      <c r="A96" t="str">
        <f>'Price Deck'!A90</f>
        <v>04/2026</v>
      </c>
      <c r="B96" s="39">
        <f>'Liquids Type Curve'!A103</f>
        <v>6.7552241321199791</v>
      </c>
      <c r="C96" s="39">
        <f>'Liquids Type Curve'!B103</f>
        <v>81.062689585439756</v>
      </c>
      <c r="D96" s="39">
        <f>'Liquids Type Curve'!C103</f>
        <v>11.328914754257504</v>
      </c>
      <c r="E96" s="39">
        <f>'Liquids Type Curve'!D103</f>
        <v>344.58782377533242</v>
      </c>
      <c r="F96" s="39">
        <f>'Liquids Type Curve'!E103</f>
        <v>90229.383981139166</v>
      </c>
      <c r="H96" s="39">
        <f t="shared" si="38"/>
        <v>6.7552241321199791</v>
      </c>
      <c r="I96" s="39">
        <f t="shared" si="39"/>
        <v>81.062689585439756</v>
      </c>
      <c r="J96" s="39">
        <f t="shared" si="22"/>
        <v>4.9847224918733017</v>
      </c>
      <c r="K96" s="39">
        <f t="shared" si="40"/>
        <v>151.61864246114627</v>
      </c>
      <c r="L96" s="39">
        <f t="shared" si="41"/>
        <v>40641.4651835853</v>
      </c>
      <c r="N96">
        <f t="shared" si="23"/>
        <v>24.105479102856414</v>
      </c>
      <c r="O96">
        <f t="shared" si="24"/>
        <v>6450.6754027796887</v>
      </c>
      <c r="P96">
        <f t="shared" si="29"/>
        <v>6.4506754027796891</v>
      </c>
      <c r="Q96" s="161">
        <f t="shared" si="30"/>
        <v>4.7254905630988864</v>
      </c>
      <c r="S96" s="157">
        <f t="shared" si="31"/>
        <v>0.18952943378593318</v>
      </c>
      <c r="T96" s="157">
        <v>0.05</v>
      </c>
      <c r="U96" s="157">
        <f t="shared" si="25"/>
        <v>0.18952943378593318</v>
      </c>
      <c r="V96" s="157">
        <f t="shared" si="26"/>
        <v>0.15933334893170267</v>
      </c>
      <c r="W96" s="157">
        <f t="shared" si="27"/>
        <v>0.19982853766972491</v>
      </c>
      <c r="Y96" s="157">
        <f t="shared" si="28"/>
        <v>-0.16738865155364768</v>
      </c>
      <c r="Z96" s="157">
        <f t="shared" si="32"/>
        <v>0.05</v>
      </c>
      <c r="AB96" s="2">
        <f>'Price Deck'!P90/'Price Deck'!M90</f>
        <v>15.365853658536587</v>
      </c>
      <c r="AC96" s="161">
        <f t="shared" si="33"/>
        <v>4.7254905630988864</v>
      </c>
      <c r="AE96" s="161">
        <f t="shared" si="34"/>
        <v>2329.7498719639548</v>
      </c>
      <c r="AF96">
        <f t="shared" si="35"/>
        <v>0.05</v>
      </c>
      <c r="AG96" s="165">
        <f t="shared" si="36"/>
        <v>116.48749359819774</v>
      </c>
      <c r="AH96" s="165">
        <f t="shared" si="37"/>
        <v>0.3380487804878049</v>
      </c>
    </row>
    <row r="97" spans="1:34">
      <c r="A97" t="str">
        <f>'Price Deck'!A91</f>
        <v>05/2026</v>
      </c>
      <c r="B97" s="39">
        <f>'Liquids Type Curve'!A104</f>
        <v>6.8385574654533121</v>
      </c>
      <c r="C97" s="39">
        <f>'Liquids Type Curve'!B104</f>
        <v>82.062689585439742</v>
      </c>
      <c r="D97" s="39">
        <f>'Liquids Type Curve'!C104</f>
        <v>11.200185699377407</v>
      </c>
      <c r="E97" s="39">
        <f>'Liquids Type Curve'!D104</f>
        <v>340.67231502272949</v>
      </c>
      <c r="F97" s="39">
        <f>'Liquids Type Curve'!E104</f>
        <v>90570.0562961619</v>
      </c>
      <c r="H97" s="39">
        <f t="shared" si="38"/>
        <v>6.8385574654533121</v>
      </c>
      <c r="I97" s="39">
        <f t="shared" si="39"/>
        <v>82.062689585439742</v>
      </c>
      <c r="J97" s="39">
        <f t="shared" si="22"/>
        <v>4.9280817077260588</v>
      </c>
      <c r="K97" s="39">
        <f t="shared" si="40"/>
        <v>149.89581861000096</v>
      </c>
      <c r="L97" s="39">
        <f t="shared" si="41"/>
        <v>40791.361002195299</v>
      </c>
      <c r="N97">
        <f t="shared" si="23"/>
        <v>23.8315715300965</v>
      </c>
      <c r="O97">
        <f t="shared" si="24"/>
        <v>6377.3771773140897</v>
      </c>
      <c r="P97">
        <f t="shared" si="29"/>
        <v>6.3773771773140897</v>
      </c>
      <c r="Q97" s="161">
        <f t="shared" si="30"/>
        <v>4.7254905630988864</v>
      </c>
      <c r="S97" s="157">
        <f t="shared" si="31"/>
        <v>0.18952943378593318</v>
      </c>
      <c r="T97" s="157">
        <v>0.05</v>
      </c>
      <c r="U97" s="157">
        <f t="shared" si="25"/>
        <v>0.18952943378593318</v>
      </c>
      <c r="V97" s="157">
        <f t="shared" si="26"/>
        <v>0.15933334893170267</v>
      </c>
      <c r="W97" s="157">
        <f t="shared" si="27"/>
        <v>0.19982853766972491</v>
      </c>
      <c r="Y97" s="157">
        <f t="shared" si="28"/>
        <v>-0.16742483888756005</v>
      </c>
      <c r="Z97" s="157">
        <f t="shared" si="32"/>
        <v>0.05</v>
      </c>
      <c r="AB97" s="2">
        <f>'Price Deck'!P91/'Price Deck'!M91</f>
        <v>15.365853658536587</v>
      </c>
      <c r="AC97" s="161">
        <f t="shared" si="33"/>
        <v>4.7254905630988864</v>
      </c>
      <c r="AE97" s="161">
        <f t="shared" si="34"/>
        <v>2303.2772127878197</v>
      </c>
      <c r="AF97">
        <f t="shared" si="35"/>
        <v>0.05</v>
      </c>
      <c r="AG97" s="165">
        <f t="shared" si="36"/>
        <v>115.16386063939099</v>
      </c>
      <c r="AH97" s="165">
        <f t="shared" si="37"/>
        <v>0.33804878048780485</v>
      </c>
    </row>
    <row r="98" spans="1:34">
      <c r="A98" t="str">
        <f>'Price Deck'!A92</f>
        <v>06/2026</v>
      </c>
      <c r="B98" s="39">
        <f>'Liquids Type Curve'!A105</f>
        <v>6.9218907987866451</v>
      </c>
      <c r="C98" s="39">
        <f>'Liquids Type Curve'!B105</f>
        <v>83.062689585439742</v>
      </c>
      <c r="D98" s="39">
        <f>'Liquids Type Curve'!C105</f>
        <v>11.074452180353081</v>
      </c>
      <c r="E98" s="39">
        <f>'Liquids Type Curve'!D105</f>
        <v>336.84792048573956</v>
      </c>
      <c r="F98" s="39">
        <f>'Liquids Type Curve'!E105</f>
        <v>90906.904216647643</v>
      </c>
      <c r="H98" s="39">
        <f t="shared" si="38"/>
        <v>6.9218907987866451</v>
      </c>
      <c r="I98" s="39">
        <f t="shared" si="39"/>
        <v>83.062689585439742</v>
      </c>
      <c r="J98" s="39">
        <f t="shared" si="22"/>
        <v>4.8727589593553553</v>
      </c>
      <c r="K98" s="39">
        <f t="shared" si="40"/>
        <v>148.21308501372539</v>
      </c>
      <c r="L98" s="39">
        <f t="shared" si="41"/>
        <v>40939.574087209025</v>
      </c>
      <c r="N98">
        <f t="shared" si="23"/>
        <v>23.564037809425638</v>
      </c>
      <c r="O98">
        <f t="shared" si="24"/>
        <v>6305.7846076753822</v>
      </c>
      <c r="P98">
        <f t="shared" si="29"/>
        <v>6.3057846076753821</v>
      </c>
      <c r="Q98" s="161">
        <f t="shared" si="30"/>
        <v>4.7254905630988864</v>
      </c>
      <c r="S98" s="157">
        <f t="shared" si="31"/>
        <v>0.18952943378593318</v>
      </c>
      <c r="T98" s="157">
        <v>0.05</v>
      </c>
      <c r="U98" s="157">
        <f t="shared" si="25"/>
        <v>0.18952943378593318</v>
      </c>
      <c r="V98" s="157">
        <f t="shared" si="26"/>
        <v>0.15933334893170267</v>
      </c>
      <c r="W98" s="157">
        <f t="shared" si="27"/>
        <v>0.19982853766972491</v>
      </c>
      <c r="Y98" s="157">
        <f t="shared" si="28"/>
        <v>-0.16746018413919067</v>
      </c>
      <c r="Z98" s="157">
        <f t="shared" si="32"/>
        <v>0.05</v>
      </c>
      <c r="AB98" s="2">
        <f>'Price Deck'!P92/'Price Deck'!M92</f>
        <v>15.365853658536587</v>
      </c>
      <c r="AC98" s="161">
        <f t="shared" si="33"/>
        <v>4.7254905630988864</v>
      </c>
      <c r="AE98" s="161">
        <f t="shared" si="34"/>
        <v>2277.4205746011462</v>
      </c>
      <c r="AF98">
        <f t="shared" si="35"/>
        <v>0.05</v>
      </c>
      <c r="AG98" s="165">
        <f t="shared" si="36"/>
        <v>113.87102873005732</v>
      </c>
      <c r="AH98" s="165">
        <f t="shared" si="37"/>
        <v>0.33804878048780485</v>
      </c>
    </row>
    <row r="99" spans="1:34">
      <c r="A99" t="str">
        <f>'Price Deck'!A93</f>
        <v>07/2026</v>
      </c>
      <c r="B99" s="39">
        <f>'Liquids Type Curve'!A106</f>
        <v>7.0052241321199782</v>
      </c>
      <c r="C99" s="39">
        <f>'Liquids Type Curve'!B106</f>
        <v>84.062689585439742</v>
      </c>
      <c r="D99" s="39">
        <f>'Liquids Type Curve'!C106</f>
        <v>10.951609671253077</v>
      </c>
      <c r="E99" s="39">
        <f>'Liquids Type Curve'!D106</f>
        <v>333.11146083394777</v>
      </c>
      <c r="F99" s="39">
        <f>'Liquids Type Curve'!E106</f>
        <v>91240.015677481584</v>
      </c>
      <c r="H99" s="39">
        <f t="shared" si="38"/>
        <v>7.0052241321199782</v>
      </c>
      <c r="I99" s="39">
        <f t="shared" si="39"/>
        <v>84.062689585439742</v>
      </c>
      <c r="J99" s="39">
        <f t="shared" si="22"/>
        <v>4.8187082553513543</v>
      </c>
      <c r="K99" s="39">
        <f t="shared" si="40"/>
        <v>146.56904276693703</v>
      </c>
      <c r="L99" s="39">
        <f t="shared" si="41"/>
        <v>41086.143129975964</v>
      </c>
      <c r="N99">
        <f t="shared" si="23"/>
        <v>23.302655532280365</v>
      </c>
      <c r="O99">
        <f t="shared" si="24"/>
        <v>6235.8381768780882</v>
      </c>
      <c r="P99">
        <f t="shared" si="29"/>
        <v>6.2358381768780884</v>
      </c>
      <c r="Q99" s="161">
        <f t="shared" si="30"/>
        <v>4.7254905630988864</v>
      </c>
      <c r="S99" s="157">
        <f t="shared" si="31"/>
        <v>0.18952943378593318</v>
      </c>
      <c r="T99" s="157">
        <v>0.05</v>
      </c>
      <c r="U99" s="157">
        <f t="shared" si="25"/>
        <v>0.18952943378593318</v>
      </c>
      <c r="V99" s="157">
        <f t="shared" si="26"/>
        <v>0.15933334893170267</v>
      </c>
      <c r="W99" s="157">
        <f t="shared" si="27"/>
        <v>0.19982853766972491</v>
      </c>
      <c r="Y99" s="157">
        <f t="shared" si="28"/>
        <v>-0.1674947166920753</v>
      </c>
      <c r="Z99" s="157">
        <f t="shared" si="32"/>
        <v>0.05</v>
      </c>
      <c r="AB99" s="2">
        <f>'Price Deck'!P93/'Price Deck'!M93</f>
        <v>15.365853658536587</v>
      </c>
      <c r="AC99" s="161">
        <f t="shared" si="33"/>
        <v>4.7254905630988864</v>
      </c>
      <c r="AE99" s="161">
        <f t="shared" si="34"/>
        <v>2252.1584620285448</v>
      </c>
      <c r="AF99">
        <f t="shared" si="35"/>
        <v>0.05</v>
      </c>
      <c r="AG99" s="165">
        <f t="shared" si="36"/>
        <v>112.60792310142725</v>
      </c>
      <c r="AH99" s="165">
        <f t="shared" si="37"/>
        <v>0.33804878048780496</v>
      </c>
    </row>
    <row r="100" spans="1:34">
      <c r="A100" t="str">
        <f>'Price Deck'!A94</f>
        <v>08/2026</v>
      </c>
      <c r="B100" s="39">
        <f>'Liquids Type Curve'!A107</f>
        <v>7.0885574654533112</v>
      </c>
      <c r="C100" s="39">
        <f>'Liquids Type Curve'!B107</f>
        <v>85.062689585439728</v>
      </c>
      <c r="D100" s="39">
        <f>'Liquids Type Curve'!C107</f>
        <v>10.831558479877252</v>
      </c>
      <c r="E100" s="39">
        <f>'Liquids Type Curve'!D107</f>
        <v>329.4599037629331</v>
      </c>
      <c r="F100" s="39">
        <f>'Liquids Type Curve'!E107</f>
        <v>91569.475581244522</v>
      </c>
      <c r="H100" s="39">
        <f t="shared" si="38"/>
        <v>7.0885574654533112</v>
      </c>
      <c r="I100" s="39">
        <f t="shared" si="39"/>
        <v>85.062689585439728</v>
      </c>
      <c r="J100" s="39">
        <f t="shared" si="22"/>
        <v>4.7658857311459908</v>
      </c>
      <c r="K100" s="39">
        <f t="shared" si="40"/>
        <v>144.96235765569057</v>
      </c>
      <c r="L100" s="39">
        <f t="shared" si="41"/>
        <v>41231.105487631656</v>
      </c>
      <c r="N100">
        <f t="shared" si="23"/>
        <v>23.047212575231416</v>
      </c>
      <c r="O100">
        <f t="shared" si="24"/>
        <v>6167.481120259632</v>
      </c>
      <c r="P100">
        <f t="shared" si="29"/>
        <v>6.167481120259632</v>
      </c>
      <c r="Q100" s="161">
        <f t="shared" si="30"/>
        <v>4.7254905630988864</v>
      </c>
      <c r="S100" s="157">
        <f t="shared" si="31"/>
        <v>0.18952943378593318</v>
      </c>
      <c r="T100" s="157">
        <v>0.05</v>
      </c>
      <c r="U100" s="157">
        <f t="shared" si="25"/>
        <v>0.18952943378593318</v>
      </c>
      <c r="V100" s="157">
        <f t="shared" si="26"/>
        <v>0.15933334893170267</v>
      </c>
      <c r="W100" s="157">
        <f t="shared" si="27"/>
        <v>0.19982853766972491</v>
      </c>
      <c r="Y100" s="157">
        <f t="shared" si="28"/>
        <v>-0.16752846457092782</v>
      </c>
      <c r="Z100" s="157">
        <f t="shared" si="32"/>
        <v>0.05</v>
      </c>
      <c r="AB100" s="2">
        <f>'Price Deck'!P94/'Price Deck'!M94</f>
        <v>15.365853658536587</v>
      </c>
      <c r="AC100" s="161">
        <f t="shared" si="33"/>
        <v>4.7254905630988864</v>
      </c>
      <c r="AE100" s="161">
        <f t="shared" si="34"/>
        <v>2227.4703737337823</v>
      </c>
      <c r="AF100">
        <f t="shared" si="35"/>
        <v>0.05</v>
      </c>
      <c r="AG100" s="165">
        <f t="shared" si="36"/>
        <v>111.37351868668912</v>
      </c>
      <c r="AH100" s="165">
        <f t="shared" si="37"/>
        <v>0.33804878048780496</v>
      </c>
    </row>
    <row r="101" spans="1:34">
      <c r="A101" t="str">
        <f>'Price Deck'!A95</f>
        <v>09/2026</v>
      </c>
      <c r="B101" s="39">
        <f>'Liquids Type Curve'!A108</f>
        <v>7.1718907987866443</v>
      </c>
      <c r="C101" s="39">
        <f>'Liquids Type Curve'!B108</f>
        <v>86.062689585439728</v>
      </c>
      <c r="D101" s="39">
        <f>'Liquids Type Curve'!C108</f>
        <v>10.714203470634567</v>
      </c>
      <c r="E101" s="39">
        <f>'Liquids Type Curve'!D108</f>
        <v>325.89035556513477</v>
      </c>
      <c r="F101" s="39">
        <f>'Liquids Type Curve'!E108</f>
        <v>91895.365936809656</v>
      </c>
      <c r="H101" s="39">
        <f t="shared" si="38"/>
        <v>7.1718907987866443</v>
      </c>
      <c r="I101" s="39">
        <f t="shared" si="39"/>
        <v>86.062689585439728</v>
      </c>
      <c r="J101" s="39">
        <f t="shared" si="22"/>
        <v>4.7142495270792093</v>
      </c>
      <c r="K101" s="39">
        <f t="shared" si="40"/>
        <v>143.39175644865929</v>
      </c>
      <c r="L101" s="39">
        <f t="shared" si="41"/>
        <v>41374.497244080318</v>
      </c>
      <c r="N101">
        <f t="shared" si="23"/>
        <v>22.797506510327722</v>
      </c>
      <c r="O101">
        <f t="shared" si="24"/>
        <v>6100.6592676871896</v>
      </c>
      <c r="P101">
        <f t="shared" si="29"/>
        <v>6.10065926768719</v>
      </c>
      <c r="Q101" s="161">
        <f t="shared" si="30"/>
        <v>4.7254905630988864</v>
      </c>
      <c r="S101" s="157">
        <f t="shared" si="31"/>
        <v>0.18952943378593318</v>
      </c>
      <c r="T101" s="157">
        <v>0.05</v>
      </c>
      <c r="U101" s="157">
        <f t="shared" si="25"/>
        <v>0.18952943378593318</v>
      </c>
      <c r="V101" s="157">
        <f t="shared" si="26"/>
        <v>0.15933334893170267</v>
      </c>
      <c r="W101" s="157">
        <f t="shared" si="27"/>
        <v>0.19982853766972491</v>
      </c>
      <c r="Y101" s="157">
        <f t="shared" si="28"/>
        <v>-0.16756145451954282</v>
      </c>
      <c r="Z101" s="157">
        <f t="shared" si="32"/>
        <v>0.05</v>
      </c>
      <c r="AB101" s="2">
        <f>'Price Deck'!P95/'Price Deck'!M95</f>
        <v>15.365853658536587</v>
      </c>
      <c r="AC101" s="161">
        <f t="shared" si="33"/>
        <v>4.7254905630988864</v>
      </c>
      <c r="AE101" s="161">
        <f t="shared" si="34"/>
        <v>2203.3367454306185</v>
      </c>
      <c r="AF101">
        <f t="shared" si="35"/>
        <v>0.05</v>
      </c>
      <c r="AG101" s="165">
        <f t="shared" si="36"/>
        <v>110.16683727153094</v>
      </c>
      <c r="AH101" s="165">
        <f t="shared" si="37"/>
        <v>0.3380487804878049</v>
      </c>
    </row>
    <row r="102" spans="1:34">
      <c r="A102" t="str">
        <f>'Price Deck'!A96</f>
        <v>10/2026</v>
      </c>
      <c r="B102" s="39">
        <f>'Liquids Type Curve'!A109</f>
        <v>7.2552241321199773</v>
      </c>
      <c r="C102" s="39">
        <f>'Liquids Type Curve'!B109</f>
        <v>87.062689585439728</v>
      </c>
      <c r="D102" s="39">
        <f>'Liquids Type Curve'!C109</f>
        <v>10.599453806310406</v>
      </c>
      <c r="E102" s="39">
        <f>'Liquids Type Curve'!D109</f>
        <v>322.40005327527484</v>
      </c>
      <c r="F102" s="39">
        <f>'Liquids Type Curve'!E109</f>
        <v>92217.765990084925</v>
      </c>
      <c r="H102" s="39">
        <f t="shared" si="38"/>
        <v>7.2552241321199773</v>
      </c>
      <c r="I102" s="39">
        <f t="shared" si="39"/>
        <v>87.062689585439728</v>
      </c>
      <c r="J102" s="39">
        <f t="shared" si="22"/>
        <v>4.6637596747765784</v>
      </c>
      <c r="K102" s="39">
        <f t="shared" si="40"/>
        <v>141.85602344112093</v>
      </c>
      <c r="L102" s="39">
        <f t="shared" si="41"/>
        <v>41516.353267521437</v>
      </c>
      <c r="N102">
        <f t="shared" si="23"/>
        <v>22.553344055633076</v>
      </c>
      <c r="O102">
        <f t="shared" si="24"/>
        <v>6035.3208965201784</v>
      </c>
      <c r="P102">
        <f t="shared" si="29"/>
        <v>6.0353208965201786</v>
      </c>
      <c r="Q102" s="161">
        <f t="shared" si="30"/>
        <v>4.7254905630988864</v>
      </c>
      <c r="S102" s="157">
        <f t="shared" si="31"/>
        <v>0.18952943378593318</v>
      </c>
      <c r="T102" s="157">
        <v>0.05</v>
      </c>
      <c r="U102" s="157">
        <f t="shared" si="25"/>
        <v>0.18952943378593318</v>
      </c>
      <c r="V102" s="157">
        <f t="shared" si="26"/>
        <v>0.15933334893170267</v>
      </c>
      <c r="W102" s="157">
        <f t="shared" si="27"/>
        <v>0.19982853766972491</v>
      </c>
      <c r="Y102" s="157">
        <f t="shared" si="28"/>
        <v>-0.16759371207338797</v>
      </c>
      <c r="Z102" s="157">
        <f t="shared" si="32"/>
        <v>0.05</v>
      </c>
      <c r="AB102" s="2">
        <f>'Price Deck'!P96/'Price Deck'!M96</f>
        <v>15.365853658536587</v>
      </c>
      <c r="AC102" s="161">
        <f t="shared" si="33"/>
        <v>4.7254905630988864</v>
      </c>
      <c r="AE102" s="161">
        <f t="shared" si="34"/>
        <v>2179.7388967781999</v>
      </c>
      <c r="AF102">
        <f t="shared" si="35"/>
        <v>0.05</v>
      </c>
      <c r="AG102" s="165">
        <f t="shared" si="36"/>
        <v>108.98694483891001</v>
      </c>
      <c r="AH102" s="165">
        <f t="shared" si="37"/>
        <v>0.33804878048780496</v>
      </c>
    </row>
    <row r="103" spans="1:34">
      <c r="A103" t="str">
        <f>'Price Deck'!A97</f>
        <v>11/2026</v>
      </c>
      <c r="B103" s="39">
        <f>'Liquids Type Curve'!A110</f>
        <v>7.3385574654533103</v>
      </c>
      <c r="C103" s="39">
        <f>'Liquids Type Curve'!B110</f>
        <v>88.062689585439728</v>
      </c>
      <c r="D103" s="39">
        <f>'Liquids Type Curve'!C110</f>
        <v>10.487222707235683</v>
      </c>
      <c r="E103" s="39">
        <f>'Liquids Type Curve'!D110</f>
        <v>318.98635734508537</v>
      </c>
      <c r="F103" s="39">
        <f>'Liquids Type Curve'!E110</f>
        <v>92536.752347430011</v>
      </c>
      <c r="H103" s="39">
        <f t="shared" si="38"/>
        <v>7.3385574654533103</v>
      </c>
      <c r="I103" s="39">
        <f t="shared" si="39"/>
        <v>88.062689585439728</v>
      </c>
      <c r="J103" s="39">
        <f t="shared" si="22"/>
        <v>4.6143779911837006</v>
      </c>
      <c r="K103" s="39">
        <f t="shared" si="40"/>
        <v>140.35399723183755</v>
      </c>
      <c r="L103" s="39">
        <f t="shared" si="41"/>
        <v>41656.707264753277</v>
      </c>
      <c r="N103">
        <f t="shared" si="23"/>
        <v>22.31454056279016</v>
      </c>
      <c r="O103">
        <f t="shared" si="24"/>
        <v>5971.4165944813476</v>
      </c>
      <c r="P103">
        <f t="shared" si="29"/>
        <v>5.9714165944813473</v>
      </c>
      <c r="Q103" s="161">
        <f t="shared" si="30"/>
        <v>4.7254905630988864</v>
      </c>
      <c r="S103" s="157">
        <f t="shared" si="31"/>
        <v>0.18952943378593318</v>
      </c>
      <c r="T103" s="157">
        <v>0.05</v>
      </c>
      <c r="U103" s="157">
        <f t="shared" si="25"/>
        <v>0.18952943378593318</v>
      </c>
      <c r="V103" s="157">
        <f t="shared" si="26"/>
        <v>0.15933334893170267</v>
      </c>
      <c r="W103" s="157">
        <f t="shared" si="27"/>
        <v>0.19982853766972491</v>
      </c>
      <c r="Y103" s="157">
        <f t="shared" si="28"/>
        <v>-0.16762526162730457</v>
      </c>
      <c r="Z103" s="157">
        <f t="shared" si="32"/>
        <v>0.05</v>
      </c>
      <c r="AB103" s="2">
        <f>'Price Deck'!P97/'Price Deck'!M97</f>
        <v>15.365853658536587</v>
      </c>
      <c r="AC103" s="161">
        <f t="shared" si="33"/>
        <v>4.7254905630988864</v>
      </c>
      <c r="AE103" s="161">
        <f t="shared" si="34"/>
        <v>2156.6589818550651</v>
      </c>
      <c r="AF103">
        <f t="shared" si="35"/>
        <v>0.05</v>
      </c>
      <c r="AG103" s="165">
        <f t="shared" si="36"/>
        <v>107.83294909275327</v>
      </c>
      <c r="AH103" s="165">
        <f t="shared" si="37"/>
        <v>0.33804878048780496</v>
      </c>
    </row>
    <row r="104" spans="1:34">
      <c r="A104" t="str">
        <f>'Price Deck'!A98</f>
        <v>12/2026</v>
      </c>
      <c r="B104" s="39">
        <f>'Liquids Type Curve'!A111</f>
        <v>7.4218907987866434</v>
      </c>
      <c r="C104" s="39">
        <f>'Liquids Type Curve'!B111</f>
        <v>89.062689585439728</v>
      </c>
      <c r="D104" s="39">
        <f>'Liquids Type Curve'!C111</f>
        <v>10.377427226502917</v>
      </c>
      <c r="E104" s="39">
        <f>'Liquids Type Curve'!D111</f>
        <v>315.64674480613041</v>
      </c>
      <c r="F104" s="39">
        <f>'Liquids Type Curve'!E111</f>
        <v>92852.399092236141</v>
      </c>
      <c r="H104" s="39">
        <f t="shared" si="38"/>
        <v>7.4218907987866434</v>
      </c>
      <c r="I104" s="39">
        <f t="shared" si="39"/>
        <v>89.062689585439728</v>
      </c>
      <c r="J104" s="39">
        <f t="shared" si="22"/>
        <v>4.5660679796612831</v>
      </c>
      <c r="K104" s="39">
        <f t="shared" si="40"/>
        <v>138.88456771469737</v>
      </c>
      <c r="L104" s="39">
        <f t="shared" si="41"/>
        <v>41795.591832467973</v>
      </c>
      <c r="N104">
        <f t="shared" si="23"/>
        <v>22.080919538728953</v>
      </c>
      <c r="O104">
        <f t="shared" si="24"/>
        <v>5908.8991316649681</v>
      </c>
      <c r="P104">
        <f t="shared" si="29"/>
        <v>5.9088991316649677</v>
      </c>
      <c r="Q104" s="161">
        <f t="shared" si="30"/>
        <v>4.7254905630988864</v>
      </c>
      <c r="S104" s="157">
        <f t="shared" si="31"/>
        <v>0.18952943378593318</v>
      </c>
      <c r="T104" s="157">
        <v>0.05</v>
      </c>
      <c r="U104" s="157">
        <f t="shared" si="25"/>
        <v>0.18952943378593318</v>
      </c>
      <c r="V104" s="157">
        <f t="shared" si="26"/>
        <v>0.15933334893170267</v>
      </c>
      <c r="W104" s="157">
        <f t="shared" si="27"/>
        <v>0.19982853766972491</v>
      </c>
      <c r="Y104" s="157">
        <f t="shared" si="28"/>
        <v>-0.16765612649869702</v>
      </c>
      <c r="Z104" s="157">
        <f t="shared" si="32"/>
        <v>0.05</v>
      </c>
      <c r="AB104" s="2">
        <f>'Price Deck'!P98/'Price Deck'!M98</f>
        <v>15.365853658536587</v>
      </c>
      <c r="AC104" s="161">
        <f t="shared" si="33"/>
        <v>4.7254905630988864</v>
      </c>
      <c r="AE104" s="161">
        <f t="shared" si="34"/>
        <v>2134.0799429331551</v>
      </c>
      <c r="AF104">
        <f t="shared" si="35"/>
        <v>0.05</v>
      </c>
      <c r="AG104" s="165">
        <f t="shared" si="36"/>
        <v>106.70399714665776</v>
      </c>
      <c r="AH104" s="165">
        <f t="shared" si="37"/>
        <v>0.3380487804878049</v>
      </c>
    </row>
    <row r="105" spans="1:34">
      <c r="A105" t="str">
        <f>'Price Deck'!A99</f>
        <v>01/2027</v>
      </c>
      <c r="B105" s="39">
        <f>'Liquids Type Curve'!A112</f>
        <v>7.5052241321199764</v>
      </c>
      <c r="C105" s="39">
        <f>'Liquids Type Curve'!B112</f>
        <v>90.062689585439713</v>
      </c>
      <c r="D105" s="39">
        <f>'Liquids Type Curve'!C112</f>
        <v>10.269988039993605</v>
      </c>
      <c r="E105" s="39">
        <f>'Liquids Type Curve'!D112</f>
        <v>312.3788028831388</v>
      </c>
      <c r="F105" s="39">
        <f>'Liquids Type Curve'!E112</f>
        <v>93164.777895119274</v>
      </c>
      <c r="H105" s="39">
        <f t="shared" si="38"/>
        <v>7.5052241321199764</v>
      </c>
      <c r="I105" s="39">
        <f t="shared" si="39"/>
        <v>90.062689585439713</v>
      </c>
      <c r="J105" s="39">
        <f t="shared" si="22"/>
        <v>4.5187947375971858</v>
      </c>
      <c r="K105" s="39">
        <f t="shared" si="40"/>
        <v>137.44667326858107</v>
      </c>
      <c r="L105" s="39">
        <f t="shared" si="41"/>
        <v>41933.038505736557</v>
      </c>
      <c r="N105">
        <f t="shared" si="23"/>
        <v>21.852312198890434</v>
      </c>
      <c r="O105">
        <f t="shared" si="24"/>
        <v>5847.7233409785886</v>
      </c>
      <c r="P105">
        <f t="shared" si="29"/>
        <v>5.8477233409785887</v>
      </c>
      <c r="Q105" s="161">
        <f t="shared" si="30"/>
        <v>5.0393103913942827</v>
      </c>
      <c r="S105" s="157">
        <f t="shared" si="31"/>
        <v>0.20835862348365697</v>
      </c>
      <c r="T105" s="157">
        <v>0.05</v>
      </c>
      <c r="U105" s="157">
        <f t="shared" si="25"/>
        <v>0.20835862348365697</v>
      </c>
      <c r="V105" s="157">
        <f t="shared" si="26"/>
        <v>0.17267069163425702</v>
      </c>
      <c r="W105" s="157">
        <f t="shared" si="27"/>
        <v>0.20688948380637134</v>
      </c>
      <c r="Y105" s="157">
        <f t="shared" si="28"/>
        <v>-0.16768632898655889</v>
      </c>
      <c r="Z105" s="157">
        <f t="shared" si="32"/>
        <v>0.05</v>
      </c>
      <c r="AB105" s="2">
        <f>'Price Deck'!P99/'Price Deck'!M99</f>
        <v>16.386299999999999</v>
      </c>
      <c r="AC105" s="161">
        <f t="shared" si="33"/>
        <v>5.0393103913942827</v>
      </c>
      <c r="AE105" s="161">
        <f t="shared" si="34"/>
        <v>2252.2424221809497</v>
      </c>
      <c r="AF105">
        <f t="shared" si="35"/>
        <v>0.05</v>
      </c>
      <c r="AG105" s="165">
        <f t="shared" si="36"/>
        <v>112.61212110904749</v>
      </c>
      <c r="AH105" s="165">
        <f t="shared" si="37"/>
        <v>0.36049859999999995</v>
      </c>
    </row>
    <row r="106" spans="1:34">
      <c r="A106" t="str">
        <f>'Price Deck'!A100</f>
        <v>02/2027</v>
      </c>
      <c r="B106" s="39">
        <f>'Liquids Type Curve'!A113</f>
        <v>7.5885574654533094</v>
      </c>
      <c r="C106" s="39">
        <f>'Liquids Type Curve'!B113</f>
        <v>91.062689585439713</v>
      </c>
      <c r="D106" s="39">
        <f>'Liquids Type Curve'!C113</f>
        <v>10.164829250088889</v>
      </c>
      <c r="E106" s="39">
        <f>'Liquids Type Curve'!D113</f>
        <v>309.18022302353705</v>
      </c>
      <c r="F106" s="39">
        <f>'Liquids Type Curve'!E113</f>
        <v>93473.958118142808</v>
      </c>
      <c r="H106" s="39">
        <f t="shared" si="38"/>
        <v>7.5885574654533094</v>
      </c>
      <c r="I106" s="39">
        <f t="shared" si="39"/>
        <v>91.062689585439713</v>
      </c>
      <c r="J106" s="39">
        <f t="shared" si="22"/>
        <v>4.4725248700391109</v>
      </c>
      <c r="K106" s="39">
        <f t="shared" si="40"/>
        <v>136.03929813035629</v>
      </c>
      <c r="L106" s="39">
        <f t="shared" si="41"/>
        <v>42069.077803866916</v>
      </c>
      <c r="N106">
        <f t="shared" si="23"/>
        <v>21.628557049565373</v>
      </c>
      <c r="O106">
        <f t="shared" si="24"/>
        <v>5787.8460063760404</v>
      </c>
      <c r="P106">
        <f t="shared" si="29"/>
        <v>5.7878460063760402</v>
      </c>
      <c r="Q106" s="161">
        <f t="shared" si="30"/>
        <v>5.0393103913942827</v>
      </c>
      <c r="S106" s="157">
        <f t="shared" si="31"/>
        <v>0.20835862348365697</v>
      </c>
      <c r="T106" s="157">
        <v>0.05</v>
      </c>
      <c r="U106" s="157">
        <f t="shared" si="25"/>
        <v>0.20835862348365697</v>
      </c>
      <c r="V106" s="157">
        <f t="shared" si="26"/>
        <v>0.17267069163425702</v>
      </c>
      <c r="W106" s="157">
        <f t="shared" si="27"/>
        <v>0.20688948380637134</v>
      </c>
      <c r="Y106" s="157">
        <f t="shared" si="28"/>
        <v>-0.16771589042665216</v>
      </c>
      <c r="Z106" s="157">
        <f t="shared" si="32"/>
        <v>0.05</v>
      </c>
      <c r="AB106" s="2">
        <f>'Price Deck'!P100/'Price Deck'!M100</f>
        <v>16.386299999999999</v>
      </c>
      <c r="AC106" s="161">
        <f t="shared" si="33"/>
        <v>5.0393103913942827</v>
      </c>
      <c r="AE106" s="161">
        <f t="shared" si="34"/>
        <v>2229.1807509534569</v>
      </c>
      <c r="AF106">
        <f t="shared" si="35"/>
        <v>0.05</v>
      </c>
      <c r="AG106" s="165">
        <f t="shared" si="36"/>
        <v>111.45903754767285</v>
      </c>
      <c r="AH106" s="165">
        <f t="shared" si="37"/>
        <v>0.36049859999999995</v>
      </c>
    </row>
    <row r="107" spans="1:34">
      <c r="A107" t="str">
        <f>'Price Deck'!A101</f>
        <v>03/2027</v>
      </c>
      <c r="B107" s="39">
        <f>'Liquids Type Curve'!A114</f>
        <v>7.6718907987866425</v>
      </c>
      <c r="C107" s="39">
        <f>'Liquids Type Curve'!B114</f>
        <v>92.062689585439713</v>
      </c>
      <c r="D107" s="39">
        <f>'Liquids Type Curve'!C114</f>
        <v>10.061878202033057</v>
      </c>
      <c r="E107" s="39">
        <f>'Liquids Type Curve'!D114</f>
        <v>306.04879531183883</v>
      </c>
      <c r="F107" s="39">
        <f>'Liquids Type Curve'!E114</f>
        <v>93780.00691345465</v>
      </c>
      <c r="H107" s="39">
        <f t="shared" si="38"/>
        <v>7.6718907987866425</v>
      </c>
      <c r="I107" s="39">
        <f t="shared" si="39"/>
        <v>92.062689585439713</v>
      </c>
      <c r="J107" s="39">
        <f t="shared" si="22"/>
        <v>4.427226408894545</v>
      </c>
      <c r="K107" s="39">
        <f t="shared" si="40"/>
        <v>134.66146993720909</v>
      </c>
      <c r="L107" s="39">
        <f t="shared" si="41"/>
        <v>42203.739273804124</v>
      </c>
      <c r="N107">
        <f t="shared" si="23"/>
        <v>21.409499497155569</v>
      </c>
      <c r="O107">
        <f t="shared" si="24"/>
        <v>5729.2257582949478</v>
      </c>
      <c r="P107">
        <f t="shared" si="29"/>
        <v>5.7292257582949482</v>
      </c>
      <c r="Q107" s="161">
        <f t="shared" si="30"/>
        <v>5.0393103913942827</v>
      </c>
      <c r="S107" s="157">
        <f t="shared" si="31"/>
        <v>0.20835862348365697</v>
      </c>
      <c r="T107" s="157">
        <v>0.05</v>
      </c>
      <c r="U107" s="157">
        <f t="shared" si="25"/>
        <v>0.20835862348365697</v>
      </c>
      <c r="V107" s="157">
        <f t="shared" si="26"/>
        <v>0.17267069163425702</v>
      </c>
      <c r="W107" s="157">
        <f t="shared" si="27"/>
        <v>0.20688948380637134</v>
      </c>
      <c r="Y107" s="157">
        <f t="shared" si="28"/>
        <v>-0.1677448312431298</v>
      </c>
      <c r="Z107" s="157">
        <f t="shared" si="32"/>
        <v>0.05</v>
      </c>
      <c r="AB107" s="2">
        <f>'Price Deck'!P101/'Price Deck'!M101</f>
        <v>16.386299999999999</v>
      </c>
      <c r="AC107" s="161">
        <f t="shared" si="33"/>
        <v>5.0393103913942827</v>
      </c>
      <c r="AE107" s="161">
        <f t="shared" si="34"/>
        <v>2206.6032448320893</v>
      </c>
      <c r="AF107">
        <f t="shared" si="35"/>
        <v>0.05</v>
      </c>
      <c r="AG107" s="165">
        <f t="shared" si="36"/>
        <v>110.33016224160447</v>
      </c>
      <c r="AH107" s="165">
        <f t="shared" si="37"/>
        <v>0.3604986</v>
      </c>
    </row>
    <row r="108" spans="1:34">
      <c r="A108" t="str">
        <f>'Price Deck'!A102</f>
        <v>04/2027</v>
      </c>
      <c r="B108" s="39">
        <f>'Liquids Type Curve'!A115</f>
        <v>7.7552241321199755</v>
      </c>
      <c r="C108" s="39">
        <f>'Liquids Type Curve'!B115</f>
        <v>93.062689585439699</v>
      </c>
      <c r="D108" s="39">
        <f>'Liquids Type Curve'!C115</f>
        <v>9.9610653120067525</v>
      </c>
      <c r="E108" s="39">
        <f>'Liquids Type Curve'!D115</f>
        <v>302.98240324020537</v>
      </c>
      <c r="F108" s="39">
        <f>'Liquids Type Curve'!E115</f>
        <v>94082.98931669486</v>
      </c>
      <c r="H108" s="39">
        <f t="shared" si="38"/>
        <v>7.7552241321199755</v>
      </c>
      <c r="I108" s="39">
        <f t="shared" si="39"/>
        <v>93.062689585439699</v>
      </c>
      <c r="J108" s="39">
        <f t="shared" si="22"/>
        <v>4.3828687372829709</v>
      </c>
      <c r="K108" s="39">
        <f t="shared" si="40"/>
        <v>133.31225742569038</v>
      </c>
      <c r="L108" s="39">
        <f t="shared" si="41"/>
        <v>42337.051531229816</v>
      </c>
      <c r="N108">
        <f t="shared" si="23"/>
        <v>21.194991482350851</v>
      </c>
      <c r="O108">
        <f t="shared" si="24"/>
        <v>5671.8229757617464</v>
      </c>
      <c r="P108">
        <f t="shared" si="29"/>
        <v>5.6718229757617467</v>
      </c>
      <c r="Q108" s="161">
        <f t="shared" si="30"/>
        <v>5.0393103913942827</v>
      </c>
      <c r="S108" s="157">
        <f t="shared" si="31"/>
        <v>0.20835862348365697</v>
      </c>
      <c r="T108" s="157">
        <v>0.05</v>
      </c>
      <c r="U108" s="157">
        <f t="shared" si="25"/>
        <v>0.20835862348365697</v>
      </c>
      <c r="V108" s="157">
        <f t="shared" si="26"/>
        <v>0.17267069163425702</v>
      </c>
      <c r="W108" s="157">
        <f t="shared" si="27"/>
        <v>0.20688948380637134</v>
      </c>
      <c r="Y108" s="157">
        <f t="shared" si="28"/>
        <v>-0.16777317099686642</v>
      </c>
      <c r="Z108" s="157">
        <f t="shared" si="32"/>
        <v>0.05</v>
      </c>
      <c r="AB108" s="2">
        <f>'Price Deck'!P102/'Price Deck'!M102</f>
        <v>16.386299999999999</v>
      </c>
      <c r="AC108" s="161">
        <f t="shared" si="33"/>
        <v>5.0393103913942827</v>
      </c>
      <c r="AE108" s="161">
        <f t="shared" si="34"/>
        <v>2184.4946438545899</v>
      </c>
      <c r="AF108">
        <f t="shared" si="35"/>
        <v>0.05</v>
      </c>
      <c r="AG108" s="165">
        <f t="shared" si="36"/>
        <v>109.2247321927295</v>
      </c>
      <c r="AH108" s="165">
        <f t="shared" si="37"/>
        <v>0.3604986</v>
      </c>
    </row>
    <row r="109" spans="1:34">
      <c r="A109" t="str">
        <f>'Price Deck'!A103</f>
        <v>05/2027</v>
      </c>
      <c r="B109" s="39">
        <f>'Liquids Type Curve'!A116</f>
        <v>7.8385574654533086</v>
      </c>
      <c r="C109" s="39">
        <f>'Liquids Type Curve'!B116</f>
        <v>94.062689585439699</v>
      </c>
      <c r="D109" s="39">
        <f>'Liquids Type Curve'!C116</f>
        <v>9.8623239060467895</v>
      </c>
      <c r="E109" s="39">
        <f>'Liquids Type Curve'!D116</f>
        <v>299.97901880892317</v>
      </c>
      <c r="F109" s="39">
        <f>'Liquids Type Curve'!E116</f>
        <v>94382.968335503785</v>
      </c>
      <c r="H109" s="39">
        <f t="shared" si="38"/>
        <v>7.8385574654533086</v>
      </c>
      <c r="I109" s="39">
        <f t="shared" si="39"/>
        <v>94.062689585439699</v>
      </c>
      <c r="J109" s="39">
        <f t="shared" si="22"/>
        <v>4.3394225186605873</v>
      </c>
      <c r="K109" s="39">
        <f t="shared" si="40"/>
        <v>131.9907682759262</v>
      </c>
      <c r="L109" s="39">
        <f t="shared" si="41"/>
        <v>42469.042299505745</v>
      </c>
      <c r="N109">
        <f t="shared" si="23"/>
        <v>20.984891137385322</v>
      </c>
      <c r="O109">
        <f t="shared" si="24"/>
        <v>5615.5996946727564</v>
      </c>
      <c r="P109">
        <f t="shared" si="29"/>
        <v>5.6155996946727562</v>
      </c>
      <c r="Q109" s="161">
        <f t="shared" si="30"/>
        <v>5.0393103913942827</v>
      </c>
      <c r="S109" s="157">
        <f t="shared" si="31"/>
        <v>0.20835862348365697</v>
      </c>
      <c r="T109" s="157">
        <v>0.05</v>
      </c>
      <c r="U109" s="157">
        <f t="shared" si="25"/>
        <v>0.20835862348365697</v>
      </c>
      <c r="V109" s="157">
        <f t="shared" si="26"/>
        <v>0.17267069163425702</v>
      </c>
      <c r="W109" s="157">
        <f t="shared" si="27"/>
        <v>0.20688948380637134</v>
      </c>
      <c r="Y109" s="157">
        <f t="shared" si="28"/>
        <v>-0.16780092843074007</v>
      </c>
      <c r="Z109" s="157">
        <f t="shared" si="32"/>
        <v>0.05</v>
      </c>
      <c r="AB109" s="2">
        <f>'Price Deck'!P103/'Price Deck'!M103</f>
        <v>16.386299999999999</v>
      </c>
      <c r="AC109" s="161">
        <f t="shared" si="33"/>
        <v>5.0393103913942827</v>
      </c>
      <c r="AE109" s="161">
        <f t="shared" si="34"/>
        <v>2162.8403261998092</v>
      </c>
      <c r="AF109">
        <f t="shared" si="35"/>
        <v>0.05</v>
      </c>
      <c r="AG109" s="165">
        <f t="shared" si="36"/>
        <v>108.14201630999047</v>
      </c>
      <c r="AH109" s="165">
        <f t="shared" si="37"/>
        <v>0.3604986</v>
      </c>
    </row>
    <row r="110" spans="1:34">
      <c r="A110" t="str">
        <f>'Price Deck'!A104</f>
        <v>06/2027</v>
      </c>
      <c r="B110" s="39">
        <f>'Liquids Type Curve'!A117</f>
        <v>7.9218907987866416</v>
      </c>
      <c r="C110" s="39">
        <f>'Liquids Type Curve'!B117</f>
        <v>95.062689585439699</v>
      </c>
      <c r="D110" s="39">
        <f>'Liquids Type Curve'!C117</f>
        <v>9.7655900690212896</v>
      </c>
      <c r="E110" s="39">
        <f>'Liquids Type Curve'!D117</f>
        <v>297.03669793273093</v>
      </c>
      <c r="F110" s="39">
        <f>'Liquids Type Curve'!E117</f>
        <v>94680.005033436522</v>
      </c>
      <c r="H110" s="39">
        <f t="shared" si="38"/>
        <v>7.9218907987866416</v>
      </c>
      <c r="I110" s="39">
        <f t="shared" si="39"/>
        <v>95.062689585439699</v>
      </c>
      <c r="J110" s="39">
        <f t="shared" si="22"/>
        <v>4.2968596303693678</v>
      </c>
      <c r="K110" s="39">
        <f t="shared" si="40"/>
        <v>130.69614709040161</v>
      </c>
      <c r="L110" s="39">
        <f t="shared" si="41"/>
        <v>42599.738446596144</v>
      </c>
      <c r="N110">
        <f t="shared" si="23"/>
        <v>20.779062464689119</v>
      </c>
      <c r="O110">
        <f t="shared" si="24"/>
        <v>5560.5195218007366</v>
      </c>
      <c r="P110">
        <f t="shared" si="29"/>
        <v>5.5605195218007362</v>
      </c>
      <c r="Q110" s="161">
        <f t="shared" si="30"/>
        <v>5.0393103913942827</v>
      </c>
      <c r="S110" s="157">
        <f t="shared" si="31"/>
        <v>0.20835862348365697</v>
      </c>
      <c r="T110" s="157">
        <v>0.05</v>
      </c>
      <c r="U110" s="157">
        <f t="shared" si="25"/>
        <v>0.20835862348365697</v>
      </c>
      <c r="V110" s="157">
        <f t="shared" si="26"/>
        <v>0.17267069163425702</v>
      </c>
      <c r="W110" s="157">
        <f t="shared" si="27"/>
        <v>0.20688948380637134</v>
      </c>
      <c r="Y110" s="157">
        <f t="shared" si="28"/>
        <v>-0.16782812151208698</v>
      </c>
      <c r="Z110" s="157">
        <f t="shared" si="32"/>
        <v>0.05</v>
      </c>
      <c r="AB110" s="2">
        <f>'Price Deck'!P104/'Price Deck'!M104</f>
        <v>16.386299999999999</v>
      </c>
      <c r="AC110" s="161">
        <f t="shared" si="33"/>
        <v>5.0393103913942827</v>
      </c>
      <c r="AE110" s="161">
        <f t="shared" si="34"/>
        <v>2141.6262750674478</v>
      </c>
      <c r="AF110">
        <f t="shared" si="35"/>
        <v>0.05</v>
      </c>
      <c r="AG110" s="165">
        <f t="shared" si="36"/>
        <v>107.0813137533724</v>
      </c>
      <c r="AH110" s="165">
        <f t="shared" si="37"/>
        <v>0.3604986</v>
      </c>
    </row>
    <row r="111" spans="1:34">
      <c r="A111" t="str">
        <f>'Price Deck'!A105</f>
        <v>07/2027</v>
      </c>
      <c r="B111" s="39">
        <f>'Liquids Type Curve'!A118</f>
        <v>8.0052241321199755</v>
      </c>
      <c r="C111" s="39">
        <f>'Liquids Type Curve'!B118</f>
        <v>96.062689585439699</v>
      </c>
      <c r="D111" s="39">
        <f>'Liquids Type Curve'!C118</f>
        <v>9.6708025029343307</v>
      </c>
      <c r="E111" s="39">
        <f>'Liquids Type Curve'!D118</f>
        <v>294.15357613091925</v>
      </c>
      <c r="F111" s="39">
        <f>'Liquids Type Curve'!E118</f>
        <v>94974.158609567443</v>
      </c>
      <c r="H111" s="39">
        <f t="shared" si="38"/>
        <v>8.0052241321199755</v>
      </c>
      <c r="I111" s="39">
        <f t="shared" si="39"/>
        <v>96.062689585439699</v>
      </c>
      <c r="J111" s="39">
        <f t="shared" si="22"/>
        <v>4.2551531012911052</v>
      </c>
      <c r="K111" s="39">
        <f t="shared" si="40"/>
        <v>129.42757349760447</v>
      </c>
      <c r="L111" s="39">
        <f t="shared" si="41"/>
        <v>42729.166020093748</v>
      </c>
      <c r="N111">
        <f t="shared" si="23"/>
        <v>20.577375035391341</v>
      </c>
      <c r="O111">
        <f t="shared" si="24"/>
        <v>5506.547554113653</v>
      </c>
      <c r="P111">
        <f t="shared" si="29"/>
        <v>5.506547554113653</v>
      </c>
      <c r="Q111" s="161">
        <f t="shared" si="30"/>
        <v>5.0393103913942827</v>
      </c>
      <c r="S111" s="157">
        <f t="shared" si="31"/>
        <v>0.20835862348365697</v>
      </c>
      <c r="T111" s="157">
        <v>0.05</v>
      </c>
      <c r="U111" s="157">
        <f t="shared" si="25"/>
        <v>0.20835862348365697</v>
      </c>
      <c r="V111" s="157">
        <f t="shared" si="26"/>
        <v>0.17267069163425702</v>
      </c>
      <c r="W111" s="157">
        <f t="shared" si="27"/>
        <v>0.20688948380637134</v>
      </c>
      <c r="Y111" s="157">
        <f t="shared" si="28"/>
        <v>-0.16785476747253411</v>
      </c>
      <c r="Z111" s="157">
        <f t="shared" si="32"/>
        <v>0.05</v>
      </c>
      <c r="AB111" s="2">
        <f>'Price Deck'!P105/'Price Deck'!M105</f>
        <v>16.386299999999999</v>
      </c>
      <c r="AC111" s="161">
        <f t="shared" si="33"/>
        <v>5.0393103913942827</v>
      </c>
      <c r="AE111" s="161">
        <f t="shared" si="34"/>
        <v>2120.8390476037957</v>
      </c>
      <c r="AF111">
        <f t="shared" si="35"/>
        <v>0.05</v>
      </c>
      <c r="AG111" s="165">
        <f t="shared" si="36"/>
        <v>106.0419523801898</v>
      </c>
      <c r="AH111" s="165">
        <f t="shared" si="37"/>
        <v>0.36049859999999995</v>
      </c>
    </row>
    <row r="112" spans="1:34">
      <c r="A112" t="str">
        <f>'Price Deck'!A106</f>
        <v>08/2027</v>
      </c>
      <c r="B112" s="39">
        <f>'Liquids Type Curve'!A119</f>
        <v>8.0885574654533094</v>
      </c>
      <c r="C112" s="39">
        <f>'Liquids Type Curve'!B119</f>
        <v>97.062689585439713</v>
      </c>
      <c r="D112" s="39">
        <f>'Liquids Type Curve'!C119</f>
        <v>9.5779023938933552</v>
      </c>
      <c r="E112" s="39">
        <f>'Liquids Type Curve'!D119</f>
        <v>291.32786448092293</v>
      </c>
      <c r="F112" s="39">
        <f>'Liquids Type Curve'!E119</f>
        <v>95265.486474048361</v>
      </c>
      <c r="H112" s="39">
        <f t="shared" si="38"/>
        <v>8.0885574654533094</v>
      </c>
      <c r="I112" s="39">
        <f t="shared" si="39"/>
        <v>97.062689585439713</v>
      </c>
      <c r="J112" s="39">
        <f t="shared" si="22"/>
        <v>4.2142770533130767</v>
      </c>
      <c r="K112" s="39">
        <f t="shared" si="40"/>
        <v>128.18426037160609</v>
      </c>
      <c r="L112" s="39">
        <f t="shared" si="41"/>
        <v>42857.350280465354</v>
      </c>
      <c r="N112">
        <f t="shared" si="23"/>
        <v>20.379703706255537</v>
      </c>
      <c r="O112">
        <f t="shared" si="24"/>
        <v>5453.6503030260355</v>
      </c>
      <c r="P112">
        <f t="shared" si="29"/>
        <v>5.4536503030260359</v>
      </c>
      <c r="Q112" s="161">
        <f t="shared" si="30"/>
        <v>5.0393103913942827</v>
      </c>
      <c r="S112" s="157">
        <f t="shared" si="31"/>
        <v>0.20835862348365697</v>
      </c>
      <c r="T112" s="157">
        <v>0.05</v>
      </c>
      <c r="U112" s="157">
        <f t="shared" si="25"/>
        <v>0.20835862348365697</v>
      </c>
      <c r="V112" s="157">
        <f t="shared" si="26"/>
        <v>0.17267069163425702</v>
      </c>
      <c r="W112" s="157">
        <f t="shared" si="27"/>
        <v>0.20688948380637134</v>
      </c>
      <c r="Y112" s="157">
        <f t="shared" si="28"/>
        <v>-0.16788088284539604</v>
      </c>
      <c r="Z112" s="157">
        <f t="shared" si="32"/>
        <v>0.05</v>
      </c>
      <c r="AB112" s="2">
        <f>'Price Deck'!P106/'Price Deck'!M106</f>
        <v>16.386299999999999</v>
      </c>
      <c r="AC112" s="161">
        <f t="shared" si="33"/>
        <v>5.0393103913942827</v>
      </c>
      <c r="AE112" s="161">
        <f t="shared" si="34"/>
        <v>2100.4657457272488</v>
      </c>
      <c r="AF112">
        <f t="shared" si="35"/>
        <v>0.05</v>
      </c>
      <c r="AG112" s="165">
        <f t="shared" si="36"/>
        <v>105.02328728636245</v>
      </c>
      <c r="AH112" s="165">
        <f t="shared" si="37"/>
        <v>0.3604986</v>
      </c>
    </row>
    <row r="113" spans="1:34">
      <c r="A113" t="str">
        <f>'Price Deck'!A107</f>
        <v>09/2027</v>
      </c>
      <c r="B113" s="39">
        <f>'Liquids Type Curve'!A120</f>
        <v>8.1718907987866434</v>
      </c>
      <c r="C113" s="39">
        <f>'Liquids Type Curve'!B120</f>
        <v>98.062689585439728</v>
      </c>
      <c r="D113" s="39">
        <f>'Liquids Type Curve'!C120</f>
        <v>9.4868332871271193</v>
      </c>
      <c r="E113" s="39">
        <f>'Liquids Type Curve'!D120</f>
        <v>288.55784581678324</v>
      </c>
      <c r="F113" s="39">
        <f>'Liquids Type Curve'!E120</f>
        <v>95554.044319865148</v>
      </c>
      <c r="H113" s="39">
        <f t="shared" si="38"/>
        <v>8.1718907987866434</v>
      </c>
      <c r="I113" s="39">
        <f t="shared" si="39"/>
        <v>98.062689585439728</v>
      </c>
      <c r="J113" s="39">
        <f t="shared" si="22"/>
        <v>4.1742066463359322</v>
      </c>
      <c r="K113" s="39">
        <f t="shared" si="40"/>
        <v>126.96545215938461</v>
      </c>
      <c r="L113" s="39">
        <f t="shared" si="41"/>
        <v>42984.315732624738</v>
      </c>
      <c r="N113">
        <f t="shared" si="23"/>
        <v>20.185928353744892</v>
      </c>
      <c r="O113">
        <f t="shared" si="24"/>
        <v>5401.795623234284</v>
      </c>
      <c r="P113">
        <f t="shared" si="29"/>
        <v>5.4017956232342836</v>
      </c>
      <c r="Q113" s="161">
        <f t="shared" si="30"/>
        <v>5.0393103913942827</v>
      </c>
      <c r="S113" s="157">
        <f t="shared" si="31"/>
        <v>0.20835862348365697</v>
      </c>
      <c r="T113" s="157">
        <v>0.05</v>
      </c>
      <c r="U113" s="157">
        <f t="shared" si="25"/>
        <v>0.20835862348365697</v>
      </c>
      <c r="V113" s="157">
        <f t="shared" si="26"/>
        <v>0.17267069163425702</v>
      </c>
      <c r="W113" s="157">
        <f t="shared" si="27"/>
        <v>0.20688948380637134</v>
      </c>
      <c r="Y113" s="157">
        <f t="shared" si="28"/>
        <v>-0.16790648350080922</v>
      </c>
      <c r="Z113" s="157">
        <f t="shared" si="32"/>
        <v>0.05</v>
      </c>
      <c r="AB113" s="2">
        <f>'Price Deck'!P107/'Price Deck'!M107</f>
        <v>16.386299999999999</v>
      </c>
      <c r="AC113" s="161">
        <f t="shared" si="33"/>
        <v>5.0393103913942827</v>
      </c>
      <c r="AE113" s="161">
        <f t="shared" si="34"/>
        <v>2080.4939887193241</v>
      </c>
      <c r="AF113">
        <f t="shared" si="35"/>
        <v>0.05</v>
      </c>
      <c r="AG113" s="165">
        <f t="shared" si="36"/>
        <v>104.02469943596621</v>
      </c>
      <c r="AH113" s="165">
        <f t="shared" si="37"/>
        <v>0.3604986</v>
      </c>
    </row>
    <row r="114" spans="1:34">
      <c r="A114" t="str">
        <f>'Price Deck'!A108</f>
        <v>10/2027</v>
      </c>
      <c r="B114" s="39">
        <f>'Liquids Type Curve'!A121</f>
        <v>8.2552241321199773</v>
      </c>
      <c r="C114" s="39">
        <f>'Liquids Type Curve'!B121</f>
        <v>99.062689585439728</v>
      </c>
      <c r="D114" s="39">
        <f>'Liquids Type Curve'!C121</f>
        <v>9.3975409694902616</v>
      </c>
      <c r="E114" s="39">
        <f>'Liquids Type Curve'!D121</f>
        <v>285.84187115532882</v>
      </c>
      <c r="F114" s="39">
        <f>'Liquids Type Curve'!E121</f>
        <v>95839.886191020472</v>
      </c>
      <c r="H114" s="39">
        <f t="shared" si="38"/>
        <v>8.2552241321199773</v>
      </c>
      <c r="I114" s="39">
        <f t="shared" si="39"/>
        <v>99.062689585439728</v>
      </c>
      <c r="J114" s="39">
        <f t="shared" si="22"/>
        <v>4.1349180265757148</v>
      </c>
      <c r="K114" s="39">
        <f t="shared" si="40"/>
        <v>125.77042330834466</v>
      </c>
      <c r="L114" s="39">
        <f t="shared" si="41"/>
        <v>43110.086155933081</v>
      </c>
      <c r="N114">
        <f t="shared" si="23"/>
        <v>19.995933624017404</v>
      </c>
      <c r="O114">
        <f t="shared" si="24"/>
        <v>5350.9526458148621</v>
      </c>
      <c r="P114">
        <f t="shared" si="29"/>
        <v>5.3509526458148624</v>
      </c>
      <c r="Q114" s="161">
        <f t="shared" si="30"/>
        <v>5.0393103913942827</v>
      </c>
      <c r="S114" s="157">
        <f t="shared" si="31"/>
        <v>0.20835862348365697</v>
      </c>
      <c r="T114" s="157">
        <v>0.05</v>
      </c>
      <c r="U114" s="157">
        <f t="shared" si="25"/>
        <v>0.20835862348365697</v>
      </c>
      <c r="V114" s="157">
        <f t="shared" si="26"/>
        <v>0.17267069163425702</v>
      </c>
      <c r="W114" s="157">
        <f t="shared" si="27"/>
        <v>0.20688948380637134</v>
      </c>
      <c r="Y114" s="157">
        <f t="shared" si="28"/>
        <v>-0.16793158467876121</v>
      </c>
      <c r="Z114" s="157">
        <f t="shared" si="32"/>
        <v>0.05</v>
      </c>
      <c r="AB114" s="2">
        <f>'Price Deck'!P108/'Price Deck'!M108</f>
        <v>16.386299999999999</v>
      </c>
      <c r="AC114" s="161">
        <f t="shared" si="33"/>
        <v>5.0393103913942827</v>
      </c>
      <c r="AE114" s="161">
        <f t="shared" si="34"/>
        <v>2060.9118874575279</v>
      </c>
      <c r="AF114">
        <f t="shared" si="35"/>
        <v>0.05</v>
      </c>
      <c r="AG114" s="165">
        <f t="shared" si="36"/>
        <v>103.04559437287639</v>
      </c>
      <c r="AH114" s="165">
        <f t="shared" si="37"/>
        <v>0.36049859999999989</v>
      </c>
    </row>
    <row r="115" spans="1:34">
      <c r="A115" t="str">
        <f>'Price Deck'!A109</f>
        <v>11/2027</v>
      </c>
      <c r="B115" s="39">
        <f>'Liquids Type Curve'!A122</f>
        <v>8.3385574654533112</v>
      </c>
      <c r="C115" s="39">
        <f>'Liquids Type Curve'!B122</f>
        <v>100.06268958543973</v>
      </c>
      <c r="D115" s="39">
        <f>'Liquids Type Curve'!C122</f>
        <v>9.3099733589359026</v>
      </c>
      <c r="E115" s="39">
        <f>'Liquids Type Curve'!D122</f>
        <v>283.17835633430036</v>
      </c>
      <c r="F115" s="39">
        <f>'Liquids Type Curve'!E122</f>
        <v>96123.064547354777</v>
      </c>
      <c r="H115" s="39">
        <f t="shared" si="38"/>
        <v>8.3385574654533112</v>
      </c>
      <c r="I115" s="39">
        <f t="shared" si="39"/>
        <v>100.06268958543973</v>
      </c>
      <c r="J115" s="39">
        <f t="shared" si="22"/>
        <v>4.0963882779317968</v>
      </c>
      <c r="K115" s="39">
        <f t="shared" si="40"/>
        <v>124.59847678709215</v>
      </c>
      <c r="L115" s="39">
        <f t="shared" si="41"/>
        <v>43234.684632720171</v>
      </c>
      <c r="N115">
        <f t="shared" si="23"/>
        <v>19.809608697747489</v>
      </c>
      <c r="O115">
        <f t="shared" si="24"/>
        <v>5301.0917152900811</v>
      </c>
      <c r="P115">
        <f t="shared" si="29"/>
        <v>5.3010917152900809</v>
      </c>
      <c r="Q115" s="161">
        <f t="shared" si="30"/>
        <v>5.0393103913942827</v>
      </c>
      <c r="S115" s="157">
        <f t="shared" si="31"/>
        <v>0.20835862348365697</v>
      </c>
      <c r="T115" s="157">
        <v>0.05</v>
      </c>
      <c r="U115" s="157">
        <f t="shared" si="25"/>
        <v>0.20835862348365697</v>
      </c>
      <c r="V115" s="157">
        <f t="shared" si="26"/>
        <v>0.17267069163425702</v>
      </c>
      <c r="W115" s="157">
        <f t="shared" si="27"/>
        <v>0.20688948380637134</v>
      </c>
      <c r="Y115" s="157">
        <f t="shared" si="28"/>
        <v>-0.16795620102016132</v>
      </c>
      <c r="Z115" s="157">
        <f t="shared" si="32"/>
        <v>0.05</v>
      </c>
      <c r="AB115" s="2">
        <f>'Price Deck'!P109/'Price Deck'!M109</f>
        <v>16.386299999999999</v>
      </c>
      <c r="AC115" s="161">
        <f t="shared" si="33"/>
        <v>5.0393103913942827</v>
      </c>
      <c r="AE115" s="161">
        <f t="shared" si="34"/>
        <v>2041.7080201763279</v>
      </c>
      <c r="AF115">
        <f t="shared" si="35"/>
        <v>0.05</v>
      </c>
      <c r="AG115" s="165">
        <f t="shared" si="36"/>
        <v>102.0854010088164</v>
      </c>
      <c r="AH115" s="165">
        <f t="shared" si="37"/>
        <v>0.36049859999999995</v>
      </c>
    </row>
    <row r="116" spans="1:34">
      <c r="A116" t="str">
        <f>'Price Deck'!A110</f>
        <v>12/2027</v>
      </c>
      <c r="B116" s="39">
        <f>'Liquids Type Curve'!A123</f>
        <v>8.4218907987866451</v>
      </c>
      <c r="C116" s="39">
        <f>'Liquids Type Curve'!B123</f>
        <v>101.06268958543974</v>
      </c>
      <c r="D116" s="39">
        <f>'Liquids Type Curve'!C123</f>
        <v>9.2240804004779964</v>
      </c>
      <c r="E116" s="39">
        <f>'Liquids Type Curve'!D123</f>
        <v>280.56577884787242</v>
      </c>
      <c r="F116" s="39">
        <f>'Liquids Type Curve'!E123</f>
        <v>96403.630326202649</v>
      </c>
      <c r="H116" s="39">
        <f t="shared" si="38"/>
        <v>8.4218907987866451</v>
      </c>
      <c r="I116" s="39">
        <f t="shared" si="39"/>
        <v>101.06268958543974</v>
      </c>
      <c r="J116" s="39">
        <f t="shared" si="22"/>
        <v>4.0585953762103184</v>
      </c>
      <c r="K116" s="39">
        <f t="shared" si="40"/>
        <v>123.44894269306386</v>
      </c>
      <c r="L116" s="39">
        <f t="shared" si="41"/>
        <v>43358.133575413238</v>
      </c>
      <c r="N116">
        <f t="shared" si="23"/>
        <v>19.626847068756376</v>
      </c>
      <c r="O116">
        <f t="shared" si="24"/>
        <v>5252.1843303891428</v>
      </c>
      <c r="P116">
        <f t="shared" si="29"/>
        <v>5.2521843303891425</v>
      </c>
      <c r="Q116" s="161">
        <f t="shared" si="30"/>
        <v>5.0393103913942827</v>
      </c>
      <c r="S116" s="157">
        <f t="shared" si="31"/>
        <v>0.20835862348365697</v>
      </c>
      <c r="T116" s="157">
        <v>0.05</v>
      </c>
      <c r="U116" s="157">
        <f t="shared" si="25"/>
        <v>0.20835862348365697</v>
      </c>
      <c r="V116" s="157">
        <f t="shared" si="26"/>
        <v>0.17267069163425702</v>
      </c>
      <c r="W116" s="157">
        <f t="shared" si="27"/>
        <v>0.20688948380637134</v>
      </c>
      <c r="Y116" s="157">
        <f t="shared" si="28"/>
        <v>-0.1679803465960869</v>
      </c>
      <c r="Z116" s="157">
        <f t="shared" si="32"/>
        <v>0.05</v>
      </c>
      <c r="AB116" s="2">
        <f>'Price Deck'!P110/'Price Deck'!M110</f>
        <v>16.386299999999999</v>
      </c>
      <c r="AC116" s="161">
        <f t="shared" si="33"/>
        <v>5.0393103913942827</v>
      </c>
      <c r="AE116" s="161">
        <f t="shared" si="34"/>
        <v>2022.871409651352</v>
      </c>
      <c r="AF116">
        <f t="shared" si="35"/>
        <v>0.05</v>
      </c>
      <c r="AG116" s="165">
        <f t="shared" si="36"/>
        <v>101.14357048256761</v>
      </c>
      <c r="AH116" s="165">
        <f t="shared" si="37"/>
        <v>0.36049859999999995</v>
      </c>
    </row>
    <row r="117" spans="1:34">
      <c r="A117" t="str">
        <f>'Price Deck'!A111</f>
        <v>01/2028</v>
      </c>
      <c r="B117" s="39">
        <f>'Liquids Type Curve'!A124</f>
        <v>8.5052241321199791</v>
      </c>
      <c r="C117" s="39">
        <f>'Liquids Type Curve'!B124</f>
        <v>102.06268958543976</v>
      </c>
      <c r="D117" s="39">
        <f>'Liquids Type Curve'!C124</f>
        <v>9.1398139682027573</v>
      </c>
      <c r="E117" s="39">
        <f>'Liquids Type Curve'!D124</f>
        <v>278.00267486616718</v>
      </c>
      <c r="F117" s="39">
        <f>'Liquids Type Curve'!E124</f>
        <v>96681.633001068811</v>
      </c>
      <c r="H117" s="39">
        <f t="shared" si="38"/>
        <v>8.5052241321199791</v>
      </c>
      <c r="I117" s="39">
        <f t="shared" si="39"/>
        <v>102.06268958543976</v>
      </c>
      <c r="J117" s="39">
        <f t="shared" si="22"/>
        <v>4.0215181460092131</v>
      </c>
      <c r="K117" s="39">
        <f t="shared" si="40"/>
        <v>122.32117694111356</v>
      </c>
      <c r="L117" s="39">
        <f t="shared" si="41"/>
        <v>43480.454752354352</v>
      </c>
      <c r="N117">
        <f t="shared" si="23"/>
        <v>19.447546335513618</v>
      </c>
      <c r="O117">
        <f t="shared" si="24"/>
        <v>5204.2030882535173</v>
      </c>
      <c r="P117">
        <f t="shared" si="29"/>
        <v>5.2042030882535171</v>
      </c>
      <c r="Q117" s="161">
        <f t="shared" si="30"/>
        <v>5.1400965992221677</v>
      </c>
      <c r="S117" s="157">
        <f t="shared" si="31"/>
        <v>0.21440579595333004</v>
      </c>
      <c r="T117" s="157">
        <v>0.05</v>
      </c>
      <c r="U117" s="157">
        <f t="shared" si="25"/>
        <v>0.21440579595333004</v>
      </c>
      <c r="V117" s="157">
        <f t="shared" si="26"/>
        <v>0.17695410546694212</v>
      </c>
      <c r="W117" s="157">
        <f t="shared" si="27"/>
        <v>0.20915717348249876</v>
      </c>
      <c r="Y117" s="157">
        <f t="shared" si="28"/>
        <v>-0.16800403493532926</v>
      </c>
      <c r="Z117" s="157">
        <f t="shared" si="32"/>
        <v>0.05</v>
      </c>
      <c r="AB117" s="2">
        <f>'Price Deck'!P111/'Price Deck'!M111</f>
        <v>16.714025999999997</v>
      </c>
      <c r="AC117" s="161">
        <f t="shared" si="33"/>
        <v>5.1400965992221677</v>
      </c>
      <c r="AE117" s="161">
        <f t="shared" si="34"/>
        <v>2044.4793317443723</v>
      </c>
      <c r="AF117">
        <f t="shared" si="35"/>
        <v>0.05</v>
      </c>
      <c r="AG117" s="165">
        <f t="shared" si="36"/>
        <v>102.22396658721863</v>
      </c>
      <c r="AH117" s="165">
        <f t="shared" si="37"/>
        <v>0.36770857200000001</v>
      </c>
    </row>
    <row r="118" spans="1:34">
      <c r="A118" t="str">
        <f>'Price Deck'!A112</f>
        <v>02/2028</v>
      </c>
      <c r="B118" s="39">
        <f>'Liquids Type Curve'!A125</f>
        <v>8.588557465453313</v>
      </c>
      <c r="C118" s="39">
        <f>'Liquids Type Curve'!B125</f>
        <v>103.06268958543976</v>
      </c>
      <c r="D118" s="39">
        <f>'Liquids Type Curve'!C125</f>
        <v>9.0571277729217918</v>
      </c>
      <c r="E118" s="39">
        <f>'Liquids Type Curve'!D125</f>
        <v>275.48763642637118</v>
      </c>
      <c r="F118" s="39">
        <f>'Liquids Type Curve'!E125</f>
        <v>96957.120637495187</v>
      </c>
      <c r="H118" s="39">
        <f t="shared" si="38"/>
        <v>8.588557465453313</v>
      </c>
      <c r="I118" s="39">
        <f t="shared" si="39"/>
        <v>103.06268958543976</v>
      </c>
      <c r="J118" s="39">
        <f t="shared" si="22"/>
        <v>3.9851362200855882</v>
      </c>
      <c r="K118" s="39">
        <f t="shared" si="40"/>
        <v>121.21456002760331</v>
      </c>
      <c r="L118" s="39">
        <f t="shared" si="41"/>
        <v>43601.669312381957</v>
      </c>
      <c r="N118">
        <f t="shared" si="23"/>
        <v>19.271608004642964</v>
      </c>
      <c r="O118">
        <f t="shared" si="24"/>
        <v>5157.1216318547122</v>
      </c>
      <c r="P118">
        <f t="shared" si="29"/>
        <v>5.1571216318547126</v>
      </c>
      <c r="Q118" s="161">
        <f t="shared" si="30"/>
        <v>5.1400965992221677</v>
      </c>
      <c r="S118" s="157">
        <f t="shared" si="31"/>
        <v>0.21440579595333004</v>
      </c>
      <c r="T118" s="157">
        <v>0.05</v>
      </c>
      <c r="U118" s="157">
        <f t="shared" si="25"/>
        <v>0.21440579595333004</v>
      </c>
      <c r="V118" s="157">
        <f t="shared" si="26"/>
        <v>0.17695410546694212</v>
      </c>
      <c r="W118" s="157">
        <f t="shared" si="27"/>
        <v>0.20915717348249876</v>
      </c>
      <c r="Y118" s="157">
        <f t="shared" si="28"/>
        <v>-0.16802727905035333</v>
      </c>
      <c r="Z118" s="157">
        <f t="shared" si="32"/>
        <v>0.05</v>
      </c>
      <c r="AB118" s="2">
        <f>'Price Deck'!P112/'Price Deck'!M112</f>
        <v>16.714025999999997</v>
      </c>
      <c r="AC118" s="161">
        <f t="shared" si="33"/>
        <v>5.1400965992221677</v>
      </c>
      <c r="AE118" s="161">
        <f t="shared" si="34"/>
        <v>2025.983307879922</v>
      </c>
      <c r="AF118">
        <f t="shared" si="35"/>
        <v>0.05</v>
      </c>
      <c r="AG118" s="165">
        <f t="shared" si="36"/>
        <v>101.29916539399611</v>
      </c>
      <c r="AH118" s="165">
        <f t="shared" si="37"/>
        <v>0.3677085719999999</v>
      </c>
    </row>
    <row r="119" spans="1:34">
      <c r="A119" t="str">
        <f>'Price Deck'!A113</f>
        <v>03/2028</v>
      </c>
      <c r="B119" s="39">
        <f>'Liquids Type Curve'!A126</f>
        <v>8.6718907987866469</v>
      </c>
      <c r="C119" s="39">
        <f>'Liquids Type Curve'!B126</f>
        <v>104.06268958543976</v>
      </c>
      <c r="D119" s="39">
        <f>'Liquids Type Curve'!C126</f>
        <v>8.9759772750913083</v>
      </c>
      <c r="E119" s="39">
        <f>'Liquids Type Curve'!D126</f>
        <v>273.01930878402732</v>
      </c>
      <c r="F119" s="39">
        <f>'Liquids Type Curve'!E126</f>
        <v>97230.139946279218</v>
      </c>
      <c r="H119" s="39">
        <f t="shared" si="38"/>
        <v>8.6718907987866469</v>
      </c>
      <c r="I119" s="39">
        <f t="shared" si="39"/>
        <v>104.06268958543976</v>
      </c>
      <c r="J119" s="39">
        <f t="shared" si="22"/>
        <v>3.9494300010401755</v>
      </c>
      <c r="K119" s="39">
        <f t="shared" si="40"/>
        <v>120.12849586497201</v>
      </c>
      <c r="L119" s="39">
        <f t="shared" si="41"/>
        <v>43721.797808246927</v>
      </c>
      <c r="N119">
        <f t="shared" si="23"/>
        <v>19.09893730563325</v>
      </c>
      <c r="O119">
        <f t="shared" si="24"/>
        <v>5110.9146004105314</v>
      </c>
      <c r="P119">
        <f t="shared" si="29"/>
        <v>5.1109146004105312</v>
      </c>
      <c r="Q119" s="161">
        <f t="shared" si="30"/>
        <v>5.1400965992221677</v>
      </c>
      <c r="S119" s="157">
        <f t="shared" si="31"/>
        <v>0.21440579595333004</v>
      </c>
      <c r="T119" s="157">
        <v>0.05</v>
      </c>
      <c r="U119" s="157">
        <f t="shared" si="25"/>
        <v>0.21440579595333004</v>
      </c>
      <c r="V119" s="157">
        <f t="shared" si="26"/>
        <v>0.17695410546694212</v>
      </c>
      <c r="W119" s="157">
        <f t="shared" si="27"/>
        <v>0.20915717348249876</v>
      </c>
      <c r="Y119" s="157">
        <f t="shared" si="28"/>
        <v>-0.16805009146177732</v>
      </c>
      <c r="Z119" s="157">
        <f t="shared" si="32"/>
        <v>0.05</v>
      </c>
      <c r="AB119" s="2">
        <f>'Price Deck'!P113/'Price Deck'!M113</f>
        <v>16.714025999999997</v>
      </c>
      <c r="AC119" s="161">
        <f t="shared" si="33"/>
        <v>5.1400965992221677</v>
      </c>
      <c r="AE119" s="161">
        <f t="shared" si="34"/>
        <v>2007.8308032280343</v>
      </c>
      <c r="AF119">
        <f t="shared" si="35"/>
        <v>0.05</v>
      </c>
      <c r="AG119" s="165">
        <f t="shared" si="36"/>
        <v>100.39154016140172</v>
      </c>
      <c r="AH119" s="165">
        <f t="shared" si="37"/>
        <v>0.36770857199999996</v>
      </c>
    </row>
    <row r="120" spans="1:34">
      <c r="A120" t="str">
        <f>'Price Deck'!A114</f>
        <v>04/2028</v>
      </c>
      <c r="B120" s="39">
        <f>'Liquids Type Curve'!A127</f>
        <v>8.7552241321199809</v>
      </c>
      <c r="C120" s="39">
        <f>'Liquids Type Curve'!B127</f>
        <v>105.06268958543977</v>
      </c>
      <c r="D120" s="39">
        <f>'Liquids Type Curve'!C127</f>
        <v>8.8963196026496991</v>
      </c>
      <c r="E120" s="39">
        <f>'Liquids Type Curve'!D127</f>
        <v>270.59638791392837</v>
      </c>
      <c r="F120" s="39">
        <f>'Liquids Type Curve'!E127</f>
        <v>97500.736334193149</v>
      </c>
      <c r="H120" s="39">
        <f t="shared" si="38"/>
        <v>8.7552241321199809</v>
      </c>
      <c r="I120" s="39">
        <f t="shared" si="39"/>
        <v>105.06268958543977</v>
      </c>
      <c r="J120" s="39">
        <f t="shared" si="22"/>
        <v>3.9143806251658675</v>
      </c>
      <c r="K120" s="39">
        <f t="shared" si="40"/>
        <v>119.06241068212847</v>
      </c>
      <c r="L120" s="39">
        <f t="shared" si="41"/>
        <v>43840.860218929054</v>
      </c>
      <c r="N120">
        <f t="shared" si="23"/>
        <v>18.929443016014574</v>
      </c>
      <c r="O120">
        <f t="shared" si="24"/>
        <v>5065.5575826018594</v>
      </c>
      <c r="P120">
        <f t="shared" si="29"/>
        <v>5.0655575826018593</v>
      </c>
      <c r="Q120" s="161">
        <f t="shared" si="30"/>
        <v>5.1400965992221677</v>
      </c>
      <c r="S120" s="157">
        <f t="shared" si="31"/>
        <v>0.21440579595333004</v>
      </c>
      <c r="T120" s="157">
        <v>0.05</v>
      </c>
      <c r="U120" s="157">
        <f t="shared" si="25"/>
        <v>0.21440579595333004</v>
      </c>
      <c r="V120" s="157">
        <f t="shared" si="26"/>
        <v>0.17695410546694212</v>
      </c>
      <c r="W120" s="157">
        <f t="shared" si="27"/>
        <v>0.20915717348249876</v>
      </c>
      <c r="Y120" s="157">
        <f t="shared" si="28"/>
        <v>-0.16807248422146948</v>
      </c>
      <c r="Z120" s="157">
        <f t="shared" si="32"/>
        <v>0.05</v>
      </c>
      <c r="AB120" s="2">
        <f>'Price Deck'!P114/'Price Deck'!M114</f>
        <v>16.714025999999997</v>
      </c>
      <c r="AC120" s="161">
        <f t="shared" si="33"/>
        <v>5.1400965992221677</v>
      </c>
      <c r="AE120" s="161">
        <f t="shared" si="34"/>
        <v>1990.0122277637727</v>
      </c>
      <c r="AF120">
        <f t="shared" si="35"/>
        <v>0.05</v>
      </c>
      <c r="AG120" s="165">
        <f t="shared" si="36"/>
        <v>99.500611388188645</v>
      </c>
      <c r="AH120" s="165">
        <f t="shared" si="37"/>
        <v>0.36770857199999996</v>
      </c>
    </row>
    <row r="121" spans="1:34">
      <c r="A121" t="str">
        <f>'Price Deck'!A115</f>
        <v>05/2028</v>
      </c>
      <c r="B121" s="39">
        <f>'Liquids Type Curve'!A128</f>
        <v>8.8385574654533148</v>
      </c>
      <c r="C121" s="39">
        <f>'Liquids Type Curve'!B128</f>
        <v>106.06268958543978</v>
      </c>
      <c r="D121" s="39">
        <f>'Liquids Type Curve'!C128</f>
        <v>8.8181134734519553</v>
      </c>
      <c r="E121" s="39">
        <f>'Liquids Type Curve'!D128</f>
        <v>268.21761815083033</v>
      </c>
      <c r="F121" s="39">
        <f>'Liquids Type Curve'!E128</f>
        <v>97768.953952343974</v>
      </c>
      <c r="H121" s="39">
        <f t="shared" si="38"/>
        <v>8.8385574654533148</v>
      </c>
      <c r="I121" s="39">
        <f t="shared" si="39"/>
        <v>106.06268958543978</v>
      </c>
      <c r="J121" s="39">
        <f t="shared" si="22"/>
        <v>3.8799699283188605</v>
      </c>
      <c r="K121" s="39">
        <f t="shared" si="40"/>
        <v>118.01575198636534</v>
      </c>
      <c r="L121" s="39">
        <f t="shared" si="41"/>
        <v>43958.875970915418</v>
      </c>
      <c r="N121">
        <f t="shared" si="23"/>
        <v>18.763037296315517</v>
      </c>
      <c r="O121">
        <f t="shared" si="24"/>
        <v>5021.0270724068823</v>
      </c>
      <c r="P121">
        <f t="shared" si="29"/>
        <v>5.0210270724068824</v>
      </c>
      <c r="Q121" s="161">
        <f t="shared" si="30"/>
        <v>5.1400965992221677</v>
      </c>
      <c r="S121" s="157">
        <f t="shared" si="31"/>
        <v>0.21440579595333004</v>
      </c>
      <c r="T121" s="157">
        <v>0.05</v>
      </c>
      <c r="U121" s="157">
        <f t="shared" si="25"/>
        <v>0.21440579595333004</v>
      </c>
      <c r="V121" s="157">
        <f t="shared" si="26"/>
        <v>0.17695410546694212</v>
      </c>
      <c r="W121" s="157">
        <f t="shared" si="27"/>
        <v>0.20915717348249876</v>
      </c>
      <c r="Y121" s="157">
        <f t="shared" si="28"/>
        <v>-0.16809446893435273</v>
      </c>
      <c r="Z121" s="157">
        <f t="shared" si="32"/>
        <v>0.05</v>
      </c>
      <c r="AB121" s="2">
        <f>'Price Deck'!P115/'Price Deck'!M115</f>
        <v>16.714025999999997</v>
      </c>
      <c r="AC121" s="161">
        <f t="shared" si="33"/>
        <v>5.1400965992221677</v>
      </c>
      <c r="AE121" s="161">
        <f t="shared" si="34"/>
        <v>1972.5183471096616</v>
      </c>
      <c r="AF121">
        <f t="shared" si="35"/>
        <v>0.05</v>
      </c>
      <c r="AG121" s="165">
        <f t="shared" si="36"/>
        <v>98.625917355483082</v>
      </c>
      <c r="AH121" s="165">
        <f t="shared" si="37"/>
        <v>0.3677085719999999</v>
      </c>
    </row>
    <row r="122" spans="1:34">
      <c r="A122" t="str">
        <f>'Price Deck'!A116</f>
        <v>06/2028</v>
      </c>
      <c r="B122" s="39">
        <f>'Liquids Type Curve'!A129</f>
        <v>8.9218907987866487</v>
      </c>
      <c r="C122" s="39">
        <f>'Liquids Type Curve'!B129</f>
        <v>107.06268958543978</v>
      </c>
      <c r="D122" s="39">
        <f>'Liquids Type Curve'!C129</f>
        <v>8.7413191220031141</v>
      </c>
      <c r="E122" s="39">
        <f>'Liquids Type Curve'!D129</f>
        <v>265.88178996092807</v>
      </c>
      <c r="F122" s="39">
        <f>'Liquids Type Curve'!E129</f>
        <v>98034.835742304902</v>
      </c>
      <c r="H122" s="39">
        <f t="shared" si="38"/>
        <v>8.9218907987866487</v>
      </c>
      <c r="I122" s="39">
        <f t="shared" si="39"/>
        <v>107.06268958543978</v>
      </c>
      <c r="J122" s="39">
        <f t="shared" si="22"/>
        <v>3.8461804136813704</v>
      </c>
      <c r="K122" s="39">
        <f t="shared" si="40"/>
        <v>116.98798758280836</v>
      </c>
      <c r="L122" s="39">
        <f t="shared" si="41"/>
        <v>44075.86395849823</v>
      </c>
      <c r="N122">
        <f t="shared" si="23"/>
        <v>18.599635534167756</v>
      </c>
      <c r="O122">
        <f t="shared" si="24"/>
        <v>4977.3004273831575</v>
      </c>
      <c r="P122">
        <f t="shared" si="29"/>
        <v>4.9773004273831578</v>
      </c>
      <c r="Q122" s="161">
        <f t="shared" si="30"/>
        <v>5.1400965992221677</v>
      </c>
      <c r="S122" s="157">
        <f t="shared" si="31"/>
        <v>0.21440579595333004</v>
      </c>
      <c r="T122" s="157">
        <v>0.05</v>
      </c>
      <c r="U122" s="157">
        <f t="shared" si="25"/>
        <v>0.21440579595333004</v>
      </c>
      <c r="V122" s="157">
        <f t="shared" si="26"/>
        <v>0.17695410546694212</v>
      </c>
      <c r="W122" s="157">
        <f t="shared" si="27"/>
        <v>0.20915717348249876</v>
      </c>
      <c r="Y122" s="157">
        <f t="shared" si="28"/>
        <v>-0.16811605677900093</v>
      </c>
      <c r="Z122" s="157">
        <f t="shared" si="32"/>
        <v>0.05</v>
      </c>
      <c r="AB122" s="2">
        <f>'Price Deck'!P116/'Price Deck'!M116</f>
        <v>16.714025999999997</v>
      </c>
      <c r="AC122" s="161">
        <f t="shared" si="33"/>
        <v>5.1400965992221677</v>
      </c>
      <c r="AE122" s="161">
        <f t="shared" si="34"/>
        <v>1955.3402661467358</v>
      </c>
      <c r="AF122">
        <f t="shared" si="35"/>
        <v>0.05</v>
      </c>
      <c r="AG122" s="165">
        <f t="shared" si="36"/>
        <v>97.767013307336796</v>
      </c>
      <c r="AH122" s="165">
        <f t="shared" si="37"/>
        <v>0.36770857200000001</v>
      </c>
    </row>
    <row r="123" spans="1:34">
      <c r="A123" t="str">
        <f>'Price Deck'!A117</f>
        <v>07/2028</v>
      </c>
      <c r="B123" s="39">
        <f>'Liquids Type Curve'!A130</f>
        <v>9.0052241321199826</v>
      </c>
      <c r="C123" s="39">
        <f>'Liquids Type Curve'!B130</f>
        <v>108.06268958543978</v>
      </c>
      <c r="D123" s="39">
        <f>'Liquids Type Curve'!C130</f>
        <v>8.665898230215042</v>
      </c>
      <c r="E123" s="39">
        <f>'Liquids Type Curve'!D130</f>
        <v>263.58773783570751</v>
      </c>
      <c r="F123" s="39">
        <f>'Liquids Type Curve'!E130</f>
        <v>98298.423480140613</v>
      </c>
      <c r="H123" s="39">
        <f t="shared" si="38"/>
        <v>9.0052241321199826</v>
      </c>
      <c r="I123" s="39">
        <f t="shared" si="39"/>
        <v>108.06268958543978</v>
      </c>
      <c r="J123" s="39">
        <f t="shared" si="22"/>
        <v>3.8129952212946185</v>
      </c>
      <c r="K123" s="39">
        <f t="shared" si="40"/>
        <v>115.97860464771132</v>
      </c>
      <c r="L123" s="39">
        <f t="shared" si="41"/>
        <v>44191.842563145939</v>
      </c>
      <c r="N123">
        <f t="shared" si="23"/>
        <v>18.439156196971496</v>
      </c>
      <c r="O123">
        <f t="shared" si="24"/>
        <v>4934.3558292405869</v>
      </c>
      <c r="P123">
        <f t="shared" si="29"/>
        <v>4.9343558292405865</v>
      </c>
      <c r="Q123" s="161">
        <f t="shared" si="30"/>
        <v>5.1400965992221677</v>
      </c>
      <c r="S123" s="157">
        <f t="shared" si="31"/>
        <v>0.21440579595333004</v>
      </c>
      <c r="T123" s="157">
        <v>0.05</v>
      </c>
      <c r="U123" s="157">
        <f t="shared" si="25"/>
        <v>0.21440579595333004</v>
      </c>
      <c r="V123" s="157">
        <f t="shared" si="26"/>
        <v>0.17695410546694212</v>
      </c>
      <c r="W123" s="157">
        <f t="shared" si="27"/>
        <v>0.20915717348249876</v>
      </c>
      <c r="Y123" s="157">
        <f t="shared" si="28"/>
        <v>-0.16813725852710393</v>
      </c>
      <c r="Z123" s="157">
        <f t="shared" si="32"/>
        <v>0.05</v>
      </c>
      <c r="AB123" s="2">
        <f>'Price Deck'!P117/'Price Deck'!M117</f>
        <v>16.714025999999997</v>
      </c>
      <c r="AC123" s="161">
        <f t="shared" si="33"/>
        <v>5.1400965992221677</v>
      </c>
      <c r="AE123" s="161">
        <f t="shared" si="34"/>
        <v>1938.4694135255675</v>
      </c>
      <c r="AF123">
        <f t="shared" si="35"/>
        <v>0.05</v>
      </c>
      <c r="AG123" s="165">
        <f t="shared" si="36"/>
        <v>96.923470676278384</v>
      </c>
      <c r="AH123" s="165">
        <f t="shared" si="37"/>
        <v>0.36770857200000001</v>
      </c>
    </row>
    <row r="124" spans="1:34">
      <c r="A124" t="str">
        <f>'Price Deck'!A118</f>
        <v>08/2028</v>
      </c>
      <c r="B124" s="39">
        <f>'Liquids Type Curve'!A131</f>
        <v>9.0885574654533166</v>
      </c>
      <c r="C124" s="39">
        <f>'Liquids Type Curve'!B131</f>
        <v>109.0626895854398</v>
      </c>
      <c r="D124" s="39">
        <f>'Liquids Type Curve'!C131</f>
        <v>8.5918138619305733</v>
      </c>
      <c r="E124" s="39">
        <f>'Liquids Type Curve'!D131</f>
        <v>261.33433830038825</v>
      </c>
      <c r="F124" s="39">
        <f>'Liquids Type Curve'!E131</f>
        <v>98559.757818440994</v>
      </c>
      <c r="H124" s="39">
        <f t="shared" si="38"/>
        <v>9.0885574654533166</v>
      </c>
      <c r="I124" s="39">
        <f t="shared" si="39"/>
        <v>109.0626895854398</v>
      </c>
      <c r="J124" s="39">
        <f t="shared" si="22"/>
        <v>3.7803980992494521</v>
      </c>
      <c r="K124" s="39">
        <f t="shared" si="40"/>
        <v>114.98710885217083</v>
      </c>
      <c r="L124" s="39">
        <f t="shared" si="41"/>
        <v>44306.829671998108</v>
      </c>
      <c r="N124">
        <f t="shared" si="23"/>
        <v>18.281520692577004</v>
      </c>
      <c r="O124">
        <f t="shared" si="24"/>
        <v>4892.1722465595103</v>
      </c>
      <c r="P124">
        <f t="shared" si="29"/>
        <v>4.8921722465595101</v>
      </c>
      <c r="Q124" s="161">
        <f t="shared" si="30"/>
        <v>5.1400965992221677</v>
      </c>
      <c r="S124" s="157">
        <f t="shared" si="31"/>
        <v>0.21440579595333004</v>
      </c>
      <c r="T124" s="157">
        <v>0.05</v>
      </c>
      <c r="U124" s="157">
        <f t="shared" si="25"/>
        <v>0.21440579595333004</v>
      </c>
      <c r="V124" s="157">
        <f t="shared" si="26"/>
        <v>0.17695410546694212</v>
      </c>
      <c r="W124" s="157">
        <f t="shared" si="27"/>
        <v>0.20915717348249876</v>
      </c>
      <c r="Y124" s="157">
        <f t="shared" si="28"/>
        <v>-0.16815808456187359</v>
      </c>
      <c r="Z124" s="157">
        <f t="shared" si="32"/>
        <v>0.05</v>
      </c>
      <c r="AB124" s="2">
        <f>'Price Deck'!P118/'Price Deck'!M118</f>
        <v>16.714025999999997</v>
      </c>
      <c r="AC124" s="161">
        <f t="shared" si="33"/>
        <v>5.1400965992221677</v>
      </c>
      <c r="AE124" s="161">
        <f t="shared" si="34"/>
        <v>1921.8975270200131</v>
      </c>
      <c r="AF124">
        <f t="shared" si="35"/>
        <v>0.05</v>
      </c>
      <c r="AG124" s="165">
        <f t="shared" si="36"/>
        <v>96.094876351000664</v>
      </c>
      <c r="AH124" s="165">
        <f t="shared" si="37"/>
        <v>0.36770857199999996</v>
      </c>
    </row>
    <row r="125" spans="1:34">
      <c r="A125" t="str">
        <f>'Price Deck'!A119</f>
        <v>09/2028</v>
      </c>
      <c r="B125" s="39">
        <f>'Liquids Type Curve'!A132</f>
        <v>9.1718907987866505</v>
      </c>
      <c r="C125" s="39">
        <f>'Liquids Type Curve'!B132</f>
        <v>110.06268958543981</v>
      </c>
      <c r="D125" s="39">
        <f>'Liquids Type Curve'!C132</f>
        <v>8.5190304009777069</v>
      </c>
      <c r="E125" s="39">
        <f>'Liquids Type Curve'!D132</f>
        <v>259.12050802973857</v>
      </c>
      <c r="F125" s="39">
        <f>'Liquids Type Curve'!E132</f>
        <v>98818.878326470731</v>
      </c>
      <c r="H125" s="39">
        <f t="shared" si="38"/>
        <v>9.1718907987866505</v>
      </c>
      <c r="I125" s="39">
        <f t="shared" si="39"/>
        <v>110.06268958543981</v>
      </c>
      <c r="J125" s="39">
        <f t="shared" si="22"/>
        <v>3.748373376430191</v>
      </c>
      <c r="K125" s="39">
        <f t="shared" si="40"/>
        <v>114.01302353308498</v>
      </c>
      <c r="L125" s="39">
        <f t="shared" si="41"/>
        <v>44420.842695531195</v>
      </c>
      <c r="N125">
        <f t="shared" si="23"/>
        <v>18.126653237477342</v>
      </c>
      <c r="O125">
        <f t="shared" si="24"/>
        <v>4850.7293995188093</v>
      </c>
      <c r="P125">
        <f t="shared" si="29"/>
        <v>4.8507293995188094</v>
      </c>
      <c r="Q125" s="161">
        <f t="shared" si="30"/>
        <v>5.1400965992221677</v>
      </c>
      <c r="S125" s="157">
        <f t="shared" si="31"/>
        <v>0.21440579595333004</v>
      </c>
      <c r="T125" s="157">
        <v>0.05</v>
      </c>
      <c r="U125" s="157">
        <f t="shared" si="25"/>
        <v>0.21440579595333004</v>
      </c>
      <c r="V125" s="157">
        <f t="shared" si="26"/>
        <v>0.17695410546694212</v>
      </c>
      <c r="W125" s="157">
        <f t="shared" si="27"/>
        <v>0.20915717348249876</v>
      </c>
      <c r="Y125" s="157">
        <f t="shared" si="28"/>
        <v>-0.16817854489545758</v>
      </c>
      <c r="Z125" s="157">
        <f t="shared" si="32"/>
        <v>0.05</v>
      </c>
      <c r="AB125" s="2">
        <f>'Price Deck'!P119/'Price Deck'!M119</f>
        <v>16.714025999999997</v>
      </c>
      <c r="AC125" s="161">
        <f t="shared" si="33"/>
        <v>5.1400965992221677</v>
      </c>
      <c r="AE125" s="161">
        <f t="shared" si="34"/>
        <v>1905.6166396705937</v>
      </c>
      <c r="AF125">
        <f t="shared" si="35"/>
        <v>0.05</v>
      </c>
      <c r="AG125" s="165">
        <f t="shared" si="36"/>
        <v>95.280831983529694</v>
      </c>
      <c r="AH125" s="165">
        <f t="shared" si="37"/>
        <v>0.36770857199999996</v>
      </c>
    </row>
    <row r="126" spans="1:34">
      <c r="A126" t="str">
        <f>'Price Deck'!A120</f>
        <v>10/2028</v>
      </c>
      <c r="B126" s="39">
        <f>'Liquids Type Curve'!A133</f>
        <v>9.2552241321199844</v>
      </c>
      <c r="C126" s="39">
        <f>'Liquids Type Curve'!B133</f>
        <v>111.06268958543981</v>
      </c>
      <c r="D126" s="39">
        <f>'Liquids Type Curve'!C133</f>
        <v>8.4475134925335755</v>
      </c>
      <c r="E126" s="39">
        <f>'Liquids Type Curve'!D133</f>
        <v>256.94520206456292</v>
      </c>
      <c r="F126" s="39">
        <f>'Liquids Type Curve'!E133</f>
        <v>99075.8235285353</v>
      </c>
      <c r="H126" s="39">
        <f t="shared" si="38"/>
        <v>9.2552241321199844</v>
      </c>
      <c r="I126" s="39">
        <f t="shared" si="39"/>
        <v>111.06268958543981</v>
      </c>
      <c r="J126" s="39">
        <f t="shared" si="22"/>
        <v>3.7169059367147734</v>
      </c>
      <c r="K126" s="39">
        <f t="shared" si="40"/>
        <v>113.0558889084077</v>
      </c>
      <c r="L126" s="39">
        <f t="shared" si="41"/>
        <v>44533.898584439601</v>
      </c>
      <c r="N126">
        <f t="shared" si="23"/>
        <v>17.974480732043578</v>
      </c>
      <c r="O126">
        <f t="shared" si="24"/>
        <v>4810.0077265086011</v>
      </c>
      <c r="P126">
        <f t="shared" si="29"/>
        <v>4.8100077265086014</v>
      </c>
      <c r="Q126" s="161">
        <f t="shared" si="30"/>
        <v>5.1400965992221677</v>
      </c>
      <c r="S126" s="157">
        <f t="shared" si="31"/>
        <v>0.21440579595333004</v>
      </c>
      <c r="T126" s="157">
        <v>0.05</v>
      </c>
      <c r="U126" s="157">
        <f t="shared" si="25"/>
        <v>0.21440579595333004</v>
      </c>
      <c r="V126" s="157">
        <f t="shared" si="26"/>
        <v>0.17695410546694212</v>
      </c>
      <c r="W126" s="157">
        <f t="shared" si="27"/>
        <v>0.20915717348249876</v>
      </c>
      <c r="Y126" s="157">
        <f t="shared" si="28"/>
        <v>-0.16819864918542271</v>
      </c>
      <c r="Z126" s="157">
        <f t="shared" si="32"/>
        <v>0.05</v>
      </c>
      <c r="AB126" s="2">
        <f>'Price Deck'!P120/'Price Deck'!M120</f>
        <v>16.714025999999997</v>
      </c>
      <c r="AC126" s="161">
        <f t="shared" si="33"/>
        <v>5.1400965992221677</v>
      </c>
      <c r="AE126" s="161">
        <f t="shared" si="34"/>
        <v>1889.6190666682376</v>
      </c>
      <c r="AF126">
        <f t="shared" si="35"/>
        <v>0.05</v>
      </c>
      <c r="AG126" s="165">
        <f t="shared" si="36"/>
        <v>94.48095333341189</v>
      </c>
      <c r="AH126" s="165">
        <f t="shared" si="37"/>
        <v>0.36770857200000001</v>
      </c>
    </row>
    <row r="127" spans="1:34">
      <c r="A127" t="str">
        <f>'Price Deck'!A121</f>
        <v>11/2028</v>
      </c>
      <c r="B127" s="39">
        <f>'Liquids Type Curve'!A134</f>
        <v>9.3385574654533183</v>
      </c>
      <c r="C127" s="39">
        <f>'Liquids Type Curve'!B134</f>
        <v>112.06268958543981</v>
      </c>
      <c r="D127" s="39">
        <f>'Liquids Type Curve'!C134</f>
        <v>8.3772299875931573</v>
      </c>
      <c r="E127" s="39">
        <f>'Liquids Type Curve'!D134</f>
        <v>254.80741212262521</v>
      </c>
      <c r="F127" s="39">
        <f>'Liquids Type Curve'!E134</f>
        <v>99330.630940657924</v>
      </c>
      <c r="H127" s="39">
        <f t="shared" si="38"/>
        <v>9.3385574654533183</v>
      </c>
      <c r="I127" s="39">
        <f t="shared" si="39"/>
        <v>112.06268958543981</v>
      </c>
      <c r="J127" s="39">
        <f t="shared" si="22"/>
        <v>3.685981194540989</v>
      </c>
      <c r="K127" s="39">
        <f t="shared" si="40"/>
        <v>112.11526133395509</v>
      </c>
      <c r="L127" s="39">
        <f t="shared" si="41"/>
        <v>44646.013845773559</v>
      </c>
      <c r="N127">
        <f t="shared" si="23"/>
        <v>17.824932642366225</v>
      </c>
      <c r="O127">
        <f t="shared" si="24"/>
        <v>4769.988352510758</v>
      </c>
      <c r="P127">
        <f t="shared" si="29"/>
        <v>4.769988352510758</v>
      </c>
      <c r="Q127" s="161">
        <f t="shared" si="30"/>
        <v>5.1400965992221677</v>
      </c>
      <c r="S127" s="157">
        <f t="shared" si="31"/>
        <v>0.21440579595333004</v>
      </c>
      <c r="T127" s="157">
        <v>0.05</v>
      </c>
      <c r="U127" s="157">
        <f t="shared" si="25"/>
        <v>0.21440579595333004</v>
      </c>
      <c r="V127" s="157">
        <f t="shared" si="26"/>
        <v>0.17695410546694212</v>
      </c>
      <c r="W127" s="157">
        <f t="shared" si="27"/>
        <v>0.20915717348249876</v>
      </c>
      <c r="Y127" s="157">
        <f t="shared" si="28"/>
        <v>-0.16821840675036542</v>
      </c>
      <c r="Z127" s="157">
        <f t="shared" si="32"/>
        <v>0.05</v>
      </c>
      <c r="AB127" s="2">
        <f>'Price Deck'!P121/'Price Deck'!M121</f>
        <v>16.714025999999997</v>
      </c>
      <c r="AC127" s="161">
        <f t="shared" si="33"/>
        <v>5.1400965992221677</v>
      </c>
      <c r="AE127" s="161">
        <f t="shared" si="34"/>
        <v>1873.8973929325198</v>
      </c>
      <c r="AF127">
        <f t="shared" si="35"/>
        <v>0.05</v>
      </c>
      <c r="AG127" s="165">
        <f t="shared" si="36"/>
        <v>93.694869646625989</v>
      </c>
      <c r="AH127" s="165">
        <f t="shared" si="37"/>
        <v>0.36770857199999996</v>
      </c>
    </row>
    <row r="128" spans="1:34">
      <c r="A128" t="str">
        <f>'Price Deck'!A122</f>
        <v>12/2028</v>
      </c>
      <c r="B128" s="39">
        <f>'Liquids Type Curve'!A135</f>
        <v>9.4218907987866523</v>
      </c>
      <c r="C128" s="39">
        <f>'Liquids Type Curve'!B135</f>
        <v>113.06268958543983</v>
      </c>
      <c r="D128" s="39">
        <f>'Liquids Type Curve'!C135</f>
        <v>8.3081478903525152</v>
      </c>
      <c r="E128" s="39">
        <f>'Liquids Type Curve'!D135</f>
        <v>252.70616499822233</v>
      </c>
      <c r="F128" s="39">
        <f>'Liquids Type Curve'!E135</f>
        <v>99583.337105656145</v>
      </c>
      <c r="H128" s="39">
        <f t="shared" si="38"/>
        <v>9.4218907987866523</v>
      </c>
      <c r="I128" s="39">
        <f t="shared" si="39"/>
        <v>113.06268958543983</v>
      </c>
      <c r="J128" s="39">
        <f t="shared" si="22"/>
        <v>3.6555850717551066</v>
      </c>
      <c r="K128" s="39">
        <f t="shared" si="40"/>
        <v>111.19071259921783</v>
      </c>
      <c r="L128" s="39">
        <f t="shared" si="41"/>
        <v>44757.204558372774</v>
      </c>
      <c r="N128">
        <f t="shared" si="23"/>
        <v>17.677940888298171</v>
      </c>
      <c r="O128">
        <f t="shared" si="24"/>
        <v>4730.6530591389756</v>
      </c>
      <c r="P128">
        <f t="shared" si="29"/>
        <v>4.7306530591389757</v>
      </c>
      <c r="Q128" s="161">
        <f t="shared" si="30"/>
        <v>5.1400965992221677</v>
      </c>
      <c r="S128" s="157">
        <f t="shared" si="31"/>
        <v>0.21440579595333004</v>
      </c>
      <c r="T128" s="157">
        <v>0.05</v>
      </c>
      <c r="U128" s="157">
        <f t="shared" si="25"/>
        <v>0.21440579595333004</v>
      </c>
      <c r="V128" s="157">
        <f t="shared" si="26"/>
        <v>0.17695410546694212</v>
      </c>
      <c r="W128" s="157">
        <f t="shared" si="27"/>
        <v>0.20915717348249876</v>
      </c>
      <c r="Y128" s="157">
        <f t="shared" si="28"/>
        <v>-0.16823782658470307</v>
      </c>
      <c r="Z128" s="157">
        <f t="shared" si="32"/>
        <v>0.05</v>
      </c>
      <c r="AB128" s="2">
        <f>'Price Deck'!P122/'Price Deck'!M122</f>
        <v>16.714025999999997</v>
      </c>
      <c r="AC128" s="161">
        <f t="shared" si="33"/>
        <v>5.1400965992221677</v>
      </c>
      <c r="AE128" s="161">
        <f t="shared" si="34"/>
        <v>1858.4444613418541</v>
      </c>
      <c r="AF128">
        <f t="shared" si="35"/>
        <v>0.05</v>
      </c>
      <c r="AG128" s="165">
        <f t="shared" si="36"/>
        <v>92.922223067092716</v>
      </c>
      <c r="AH128" s="165">
        <f t="shared" si="37"/>
        <v>0.36770857200000001</v>
      </c>
    </row>
    <row r="129" spans="1:34">
      <c r="A129" t="str">
        <f>'Price Deck'!A123</f>
        <v>01/2029</v>
      </c>
      <c r="B129" s="39">
        <f>'Liquids Type Curve'!A136</f>
        <v>9.5052241321199862</v>
      </c>
      <c r="C129" s="39">
        <f>'Liquids Type Curve'!B136</f>
        <v>114.06268958543984</v>
      </c>
      <c r="D129" s="39">
        <f>'Liquids Type Curve'!C136</f>
        <v>8.2402363083293348</v>
      </c>
      <c r="E129" s="39">
        <f>'Liquids Type Curve'!D136</f>
        <v>250.64052104501727</v>
      </c>
      <c r="F129" s="39">
        <f>'Liquids Type Curve'!E136</f>
        <v>99833.977626701162</v>
      </c>
      <c r="H129" s="39">
        <f t="shared" si="38"/>
        <v>9.5052241321199862</v>
      </c>
      <c r="I129" s="39">
        <f t="shared" si="39"/>
        <v>114.06268958543984</v>
      </c>
      <c r="J129" s="39">
        <f t="shared" si="22"/>
        <v>3.6257039756649072</v>
      </c>
      <c r="K129" s="39">
        <f t="shared" si="40"/>
        <v>110.28182925980759</v>
      </c>
      <c r="L129" s="39">
        <f t="shared" si="41"/>
        <v>44867.486387632584</v>
      </c>
      <c r="N129">
        <f t="shared" si="23"/>
        <v>17.533439737321949</v>
      </c>
      <c r="O129">
        <f t="shared" si="24"/>
        <v>4691.9842562374306</v>
      </c>
      <c r="P129">
        <f t="shared" si="29"/>
        <v>4.691984256237431</v>
      </c>
      <c r="Q129" s="161">
        <f t="shared" si="30"/>
        <v>5.1400965992221677</v>
      </c>
      <c r="S129" s="157">
        <f t="shared" si="31"/>
        <v>0.21440579595333004</v>
      </c>
      <c r="T129" s="157">
        <v>0.05</v>
      </c>
      <c r="U129" s="157">
        <f t="shared" si="25"/>
        <v>0.21440579595333004</v>
      </c>
      <c r="V129" s="157">
        <f t="shared" si="26"/>
        <v>0.17695410546694212</v>
      </c>
      <c r="W129" s="157">
        <f t="shared" si="27"/>
        <v>0.20915717348249876</v>
      </c>
      <c r="Y129" s="157">
        <f t="shared" si="28"/>
        <v>-0.16825691737269557</v>
      </c>
      <c r="Z129" s="157">
        <f t="shared" si="32"/>
        <v>0.05</v>
      </c>
      <c r="AB129" s="2">
        <f>'Price Deck'!P123/'Price Deck'!M123</f>
        <v>16.714025999999997</v>
      </c>
      <c r="AC129" s="161">
        <f t="shared" si="33"/>
        <v>5.1400965992221677</v>
      </c>
      <c r="AE129" s="161">
        <f t="shared" si="34"/>
        <v>1843.2533615759846</v>
      </c>
      <c r="AF129">
        <f t="shared" si="35"/>
        <v>0.05</v>
      </c>
      <c r="AG129" s="165">
        <f t="shared" si="36"/>
        <v>92.162668078799243</v>
      </c>
      <c r="AH129" s="165">
        <f t="shared" si="37"/>
        <v>0.36770857200000001</v>
      </c>
    </row>
    <row r="130" spans="1:34">
      <c r="A130" t="str">
        <f>'Price Deck'!A124</f>
        <v>02/2029</v>
      </c>
      <c r="B130" s="39">
        <f>'Liquids Type Curve'!A137</f>
        <v>9.5885574654533201</v>
      </c>
      <c r="C130" s="39">
        <f>'Liquids Type Curve'!B137</f>
        <v>115.06268958543984</v>
      </c>
      <c r="D130" s="39">
        <f>'Liquids Type Curve'!C137</f>
        <v>8.1734654050556976</v>
      </c>
      <c r="E130" s="39">
        <f>'Liquids Type Curve'!D137</f>
        <v>248.60957273711082</v>
      </c>
      <c r="F130" s="39">
        <f>'Liquids Type Curve'!E137</f>
        <v>100082.58719943828</v>
      </c>
      <c r="H130" s="39">
        <f t="shared" si="38"/>
        <v>9.5885574654533201</v>
      </c>
      <c r="I130" s="39">
        <f t="shared" si="39"/>
        <v>115.06268958543984</v>
      </c>
      <c r="J130" s="39">
        <f t="shared" si="22"/>
        <v>3.5963247782245071</v>
      </c>
      <c r="K130" s="39">
        <f t="shared" si="40"/>
        <v>109.38821200432876</v>
      </c>
      <c r="L130" s="39">
        <f t="shared" si="41"/>
        <v>44976.874599636911</v>
      </c>
      <c r="N130">
        <f t="shared" si="23"/>
        <v>17.39136570389023</v>
      </c>
      <c r="O130">
        <f t="shared" si="24"/>
        <v>4653.9649549440956</v>
      </c>
      <c r="P130">
        <f t="shared" si="29"/>
        <v>4.6539649549440956</v>
      </c>
      <c r="Q130" s="161">
        <f t="shared" si="30"/>
        <v>5.1400965992221677</v>
      </c>
      <c r="S130" s="157">
        <f t="shared" si="31"/>
        <v>0.21440579595333004</v>
      </c>
      <c r="T130" s="157">
        <v>0.05</v>
      </c>
      <c r="U130" s="157">
        <f t="shared" si="25"/>
        <v>0.21440579595333004</v>
      </c>
      <c r="V130" s="157">
        <f t="shared" si="26"/>
        <v>0.17695410546694212</v>
      </c>
      <c r="W130" s="157">
        <f t="shared" si="27"/>
        <v>0.20915717348249876</v>
      </c>
      <c r="Y130" s="157">
        <f t="shared" si="28"/>
        <v>-0.1682756875017441</v>
      </c>
      <c r="Z130" s="157">
        <f t="shared" si="32"/>
        <v>0.05</v>
      </c>
      <c r="AB130" s="2">
        <f>'Price Deck'!P124/'Price Deck'!M124</f>
        <v>16.714025999999997</v>
      </c>
      <c r="AC130" s="161">
        <f t="shared" si="33"/>
        <v>5.1400965992221677</v>
      </c>
      <c r="AE130" s="161">
        <f t="shared" si="34"/>
        <v>1828.3174195338627</v>
      </c>
      <c r="AF130">
        <f t="shared" si="35"/>
        <v>0.05</v>
      </c>
      <c r="AG130" s="165">
        <f t="shared" si="36"/>
        <v>91.415870976693142</v>
      </c>
      <c r="AH130" s="165">
        <f t="shared" si="37"/>
        <v>0.36770857199999996</v>
      </c>
    </row>
    <row r="131" spans="1:34">
      <c r="A131" t="str">
        <f>'Price Deck'!A125</f>
        <v>03/2029</v>
      </c>
      <c r="B131" s="39">
        <f>'Liquids Type Curve'!A138</f>
        <v>9.671890798786654</v>
      </c>
      <c r="C131" s="39">
        <f>'Liquids Type Curve'!B138</f>
        <v>116.06268958543984</v>
      </c>
      <c r="D131" s="39">
        <f>'Liquids Type Curve'!C138</f>
        <v>8.1078063551895418</v>
      </c>
      <c r="E131" s="39">
        <f>'Liquids Type Curve'!D138</f>
        <v>246.61244330368191</v>
      </c>
      <c r="F131" s="39">
        <f>'Liquids Type Curve'!E138</f>
        <v>100329.19964274195</v>
      </c>
      <c r="H131" s="39">
        <f t="shared" si="38"/>
        <v>9.671890798786654</v>
      </c>
      <c r="I131" s="39">
        <f t="shared" si="39"/>
        <v>116.06268958543984</v>
      </c>
      <c r="J131" s="39">
        <f t="shared" si="22"/>
        <v>3.5674347962833983</v>
      </c>
      <c r="K131" s="39">
        <f t="shared" si="40"/>
        <v>108.50947505362004</v>
      </c>
      <c r="L131" s="39">
        <f t="shared" si="41"/>
        <v>45085.384074690533</v>
      </c>
      <c r="N131">
        <f t="shared" si="23"/>
        <v>17.251657453912689</v>
      </c>
      <c r="O131">
        <f t="shared" si="24"/>
        <v>4616.578742131228</v>
      </c>
      <c r="P131">
        <f t="shared" si="29"/>
        <v>4.6165787421312281</v>
      </c>
      <c r="Q131" s="161">
        <f t="shared" si="30"/>
        <v>5.1400965992221677</v>
      </c>
      <c r="S131" s="157">
        <f t="shared" si="31"/>
        <v>0.21440579595333004</v>
      </c>
      <c r="T131" s="157">
        <v>0.05</v>
      </c>
      <c r="U131" s="157">
        <f t="shared" si="25"/>
        <v>0.21440579595333004</v>
      </c>
      <c r="V131" s="157">
        <f t="shared" si="26"/>
        <v>0.17695410546694212</v>
      </c>
      <c r="W131" s="157">
        <f t="shared" si="27"/>
        <v>0.20915717348249876</v>
      </c>
      <c r="Y131" s="157">
        <f t="shared" si="28"/>
        <v>-0.16829414507500981</v>
      </c>
      <c r="Z131" s="157">
        <f t="shared" si="32"/>
        <v>0.05</v>
      </c>
      <c r="AB131" s="2">
        <f>'Price Deck'!P125/'Price Deck'!M125</f>
        <v>16.714025999999997</v>
      </c>
      <c r="AC131" s="161">
        <f t="shared" si="33"/>
        <v>5.1400965992221677</v>
      </c>
      <c r="AE131" s="161">
        <f t="shared" si="34"/>
        <v>1813.6301872925565</v>
      </c>
      <c r="AF131">
        <f t="shared" si="35"/>
        <v>0.05</v>
      </c>
      <c r="AG131" s="165">
        <f t="shared" si="36"/>
        <v>90.681509364627829</v>
      </c>
      <c r="AH131" s="165">
        <f t="shared" si="37"/>
        <v>0.36770857199999996</v>
      </c>
    </row>
    <row r="132" spans="1:34">
      <c r="A132" t="str">
        <f>'Price Deck'!A126</f>
        <v>04/2029</v>
      </c>
      <c r="B132" s="39">
        <f>'Liquids Type Curve'!A139</f>
        <v>9.755224132119988</v>
      </c>
      <c r="C132" s="39">
        <f>'Liquids Type Curve'!B139</f>
        <v>117.06268958543986</v>
      </c>
      <c r="D132" s="39">
        <f>'Liquids Type Curve'!C139</f>
        <v>8.0432313019014909</v>
      </c>
      <c r="E132" s="39">
        <f>'Liquids Type Curve'!D139</f>
        <v>244.64828543283701</v>
      </c>
      <c r="F132" s="39">
        <f>'Liquids Type Curve'!E139</f>
        <v>100573.84792817479</v>
      </c>
      <c r="H132" s="39">
        <f t="shared" si="38"/>
        <v>9.755224132119988</v>
      </c>
      <c r="I132" s="39">
        <f t="shared" si="39"/>
        <v>117.06268958543986</v>
      </c>
      <c r="J132" s="39">
        <f t="shared" si="22"/>
        <v>3.539021772836656</v>
      </c>
      <c r="K132" s="39">
        <f t="shared" si="40"/>
        <v>107.64524559044828</v>
      </c>
      <c r="L132" s="39">
        <f t="shared" si="41"/>
        <v>45193.029320280984</v>
      </c>
      <c r="N132">
        <f t="shared" si="23"/>
        <v>17.114255714084436</v>
      </c>
      <c r="O132">
        <f t="shared" si="24"/>
        <v>4579.8097561414734</v>
      </c>
      <c r="P132">
        <f t="shared" si="29"/>
        <v>4.579809756141473</v>
      </c>
      <c r="Q132" s="161">
        <f t="shared" si="30"/>
        <v>5.1400965992221677</v>
      </c>
      <c r="S132" s="157">
        <f t="shared" si="31"/>
        <v>0.21440579595333004</v>
      </c>
      <c r="T132" s="157">
        <v>0.05</v>
      </c>
      <c r="U132" s="157">
        <f t="shared" si="25"/>
        <v>0.21440579595333004</v>
      </c>
      <c r="V132" s="157">
        <f t="shared" si="26"/>
        <v>0.17695410546694212</v>
      </c>
      <c r="W132" s="157">
        <f t="shared" si="27"/>
        <v>0.20915717348249876</v>
      </c>
      <c r="Y132" s="157">
        <f t="shared" si="28"/>
        <v>-0.16831229792339297</v>
      </c>
      <c r="Z132" s="157">
        <f t="shared" si="32"/>
        <v>0.05</v>
      </c>
      <c r="AB132" s="2">
        <f>'Price Deck'!P126/'Price Deck'!M126</f>
        <v>16.714025999999997</v>
      </c>
      <c r="AC132" s="161">
        <f t="shared" si="33"/>
        <v>5.1400965992221677</v>
      </c>
      <c r="AE132" s="161">
        <f t="shared" si="34"/>
        <v>1799.1854335751377</v>
      </c>
      <c r="AF132">
        <f t="shared" si="35"/>
        <v>0.05</v>
      </c>
      <c r="AG132" s="165">
        <f t="shared" si="36"/>
        <v>89.959271678756892</v>
      </c>
      <c r="AH132" s="165">
        <f t="shared" si="37"/>
        <v>0.36770857199999996</v>
      </c>
    </row>
    <row r="133" spans="1:34">
      <c r="A133" t="str">
        <f>'Price Deck'!A127</f>
        <v>05/2029</v>
      </c>
      <c r="B133" s="39">
        <f>'Liquids Type Curve'!A140</f>
        <v>9.8385574654533219</v>
      </c>
      <c r="C133" s="39">
        <f>'Liquids Type Curve'!B140</f>
        <v>118.06268958543987</v>
      </c>
      <c r="D133" s="39">
        <f>'Liquids Type Curve'!C140</f>
        <v>7.9797133164033838</v>
      </c>
      <c r="E133" s="39">
        <f>'Liquids Type Curve'!D140</f>
        <v>242.71628004060292</v>
      </c>
      <c r="F133" s="39">
        <f>'Liquids Type Curve'!E140</f>
        <v>100816.56420821539</v>
      </c>
      <c r="H133" s="39">
        <f t="shared" si="38"/>
        <v>9.8385574654533219</v>
      </c>
      <c r="I133" s="39">
        <f t="shared" si="39"/>
        <v>118.06268958543987</v>
      </c>
      <c r="J133" s="39">
        <f t="shared" si="22"/>
        <v>3.5110738592174888</v>
      </c>
      <c r="K133" s="39">
        <f t="shared" si="40"/>
        <v>106.79516321786529</v>
      </c>
      <c r="L133" s="39">
        <f t="shared" si="41"/>
        <v>45299.824483498851</v>
      </c>
      <c r="N133">
        <f t="shared" si="23"/>
        <v>16.979103185771454</v>
      </c>
      <c r="O133">
        <f t="shared" si="24"/>
        <v>4543.6426637434333</v>
      </c>
      <c r="P133">
        <f t="shared" si="29"/>
        <v>4.5436426637434337</v>
      </c>
      <c r="Q133" s="161">
        <f t="shared" si="30"/>
        <v>5.1400965992221677</v>
      </c>
      <c r="S133" s="157">
        <f t="shared" si="31"/>
        <v>0.21440579595333004</v>
      </c>
      <c r="T133" s="157">
        <v>0.05</v>
      </c>
      <c r="U133" s="157">
        <f t="shared" si="25"/>
        <v>0.21440579595333004</v>
      </c>
      <c r="V133" s="157">
        <f t="shared" si="26"/>
        <v>0.17695410546694212</v>
      </c>
      <c r="W133" s="157">
        <f t="shared" si="27"/>
        <v>0.20915717348249876</v>
      </c>
      <c r="Y133" s="157">
        <f t="shared" si="28"/>
        <v>-0.16833015361690989</v>
      </c>
      <c r="Z133" s="157">
        <f t="shared" si="32"/>
        <v>0.05</v>
      </c>
      <c r="AB133" s="2">
        <f>'Price Deck'!P127/'Price Deck'!M127</f>
        <v>16.714025999999997</v>
      </c>
      <c r="AC133" s="161">
        <f t="shared" si="33"/>
        <v>5.1400965992221677</v>
      </c>
      <c r="AE133" s="161">
        <f t="shared" si="34"/>
        <v>1784.9771346976438</v>
      </c>
      <c r="AF133">
        <f t="shared" si="35"/>
        <v>0.05</v>
      </c>
      <c r="AG133" s="165">
        <f t="shared" si="36"/>
        <v>89.248856734882196</v>
      </c>
      <c r="AH133" s="165">
        <f t="shared" si="37"/>
        <v>0.36770857199999996</v>
      </c>
    </row>
    <row r="134" spans="1:34">
      <c r="A134" t="str">
        <f>'Price Deck'!A128</f>
        <v>06/2029</v>
      </c>
      <c r="B134" s="39">
        <f>'Liquids Type Curve'!A141</f>
        <v>9.9218907987866558</v>
      </c>
      <c r="C134" s="39">
        <f>'Liquids Type Curve'!B141</f>
        <v>119.06268958543987</v>
      </c>
      <c r="D134" s="39">
        <f>'Liquids Type Curve'!C141</f>
        <v>7.9172263594938022</v>
      </c>
      <c r="E134" s="39">
        <f>'Liquids Type Curve'!D141</f>
        <v>240.81563510126983</v>
      </c>
      <c r="F134" s="39">
        <f>'Liquids Type Curve'!E141</f>
        <v>101057.37984331667</v>
      </c>
      <c r="H134" s="39">
        <f t="shared" si="38"/>
        <v>9.9218907987866558</v>
      </c>
      <c r="I134" s="39">
        <f t="shared" si="39"/>
        <v>119.06268958543987</v>
      </c>
      <c r="J134" s="39">
        <f t="shared" si="22"/>
        <v>3.4835795981772728</v>
      </c>
      <c r="K134" s="39">
        <f t="shared" si="40"/>
        <v>105.95887944455872</v>
      </c>
      <c r="L134" s="39">
        <f t="shared" si="41"/>
        <v>45405.78336294341</v>
      </c>
      <c r="N134">
        <f t="shared" si="23"/>
        <v>16.846144463187816</v>
      </c>
      <c r="O134">
        <f t="shared" si="24"/>
        <v>4508.0626382357195</v>
      </c>
      <c r="P134">
        <f t="shared" si="29"/>
        <v>4.5080626382357192</v>
      </c>
      <c r="Q134" s="161">
        <f t="shared" si="30"/>
        <v>5.1400965992221677</v>
      </c>
      <c r="S134" s="157">
        <f t="shared" si="31"/>
        <v>0.21440579595333004</v>
      </c>
      <c r="T134" s="157">
        <v>0.05</v>
      </c>
      <c r="U134" s="157">
        <f t="shared" si="25"/>
        <v>0.21440579595333004</v>
      </c>
      <c r="V134" s="157">
        <f t="shared" si="26"/>
        <v>0.17695410546694212</v>
      </c>
      <c r="W134" s="157">
        <f t="shared" si="27"/>
        <v>0.20915717348249876</v>
      </c>
      <c r="Y134" s="157">
        <f t="shared" si="28"/>
        <v>-0.16834771947550303</v>
      </c>
      <c r="Z134" s="157">
        <f t="shared" si="32"/>
        <v>0.05</v>
      </c>
      <c r="AB134" s="2">
        <f>'Price Deck'!P128/'Price Deck'!M128</f>
        <v>16.714025999999997</v>
      </c>
      <c r="AC134" s="161">
        <f t="shared" si="33"/>
        <v>5.1400965992221677</v>
      </c>
      <c r="AE134" s="161">
        <f t="shared" si="34"/>
        <v>1770.9994659672197</v>
      </c>
      <c r="AF134">
        <f t="shared" si="35"/>
        <v>0.05</v>
      </c>
      <c r="AG134" s="165">
        <f t="shared" si="36"/>
        <v>88.549973298360996</v>
      </c>
      <c r="AH134" s="165">
        <f t="shared" si="37"/>
        <v>0.36770857199999996</v>
      </c>
    </row>
    <row r="135" spans="1:34">
      <c r="A135" t="str">
        <f>'Price Deck'!A129</f>
        <v>07/2029</v>
      </c>
      <c r="B135" s="39">
        <f>'Liquids Type Curve'!A142</f>
        <v>10.00522413211999</v>
      </c>
      <c r="C135" s="39">
        <f>'Liquids Type Curve'!B142</f>
        <v>120.06268958543987</v>
      </c>
      <c r="D135" s="39">
        <f>'Liquids Type Curve'!C142</f>
        <v>7.8557452450041731</v>
      </c>
      <c r="E135" s="39">
        <f>'Liquids Type Curve'!D142</f>
        <v>238.94558453554362</v>
      </c>
      <c r="F135" s="39">
        <f>'Liquids Type Curve'!E142</f>
        <v>101296.32542785221</v>
      </c>
      <c r="H135" s="39">
        <f t="shared" si="38"/>
        <v>10.00522413211999</v>
      </c>
      <c r="I135" s="39">
        <f t="shared" si="39"/>
        <v>120.06268958543987</v>
      </c>
      <c r="J135" s="39">
        <f t="shared" si="22"/>
        <v>3.4565279078018363</v>
      </c>
      <c r="K135" s="39">
        <f t="shared" si="40"/>
        <v>105.1360571956392</v>
      </c>
      <c r="L135" s="39">
        <f t="shared" si="41"/>
        <v>45510.919420139049</v>
      </c>
      <c r="N135">
        <f t="shared" si="23"/>
        <v>16.715325955616901</v>
      </c>
      <c r="O135">
        <f t="shared" si="24"/>
        <v>4473.0553386331967</v>
      </c>
      <c r="P135">
        <f t="shared" si="29"/>
        <v>4.4730553386331966</v>
      </c>
      <c r="Q135" s="161">
        <f t="shared" si="30"/>
        <v>5.1400965992221677</v>
      </c>
      <c r="S135" s="157">
        <f t="shared" si="31"/>
        <v>0.21440579595333004</v>
      </c>
      <c r="T135" s="157">
        <v>0.05</v>
      </c>
      <c r="U135" s="157">
        <f t="shared" si="25"/>
        <v>0.21440579595333004</v>
      </c>
      <c r="V135" s="157">
        <f t="shared" si="26"/>
        <v>0.17695410546694212</v>
      </c>
      <c r="W135" s="157">
        <f t="shared" si="27"/>
        <v>0.20915717348249876</v>
      </c>
      <c r="Y135" s="157">
        <f t="shared" si="28"/>
        <v>-0.1683650025793168</v>
      </c>
      <c r="Z135" s="157">
        <f t="shared" si="32"/>
        <v>0.05</v>
      </c>
      <c r="AB135" s="2">
        <f>'Price Deck'!P129/'Price Deck'!M129</f>
        <v>16.714025999999997</v>
      </c>
      <c r="AC135" s="161">
        <f t="shared" si="33"/>
        <v>5.1400965992221677</v>
      </c>
      <c r="AE135" s="161">
        <f t="shared" si="34"/>
        <v>1757.2467935054003</v>
      </c>
      <c r="AF135">
        <f t="shared" si="35"/>
        <v>0.05</v>
      </c>
      <c r="AG135" s="165">
        <f t="shared" si="36"/>
        <v>87.862339675270022</v>
      </c>
      <c r="AH135" s="165">
        <f t="shared" si="37"/>
        <v>0.36770857199999996</v>
      </c>
    </row>
    <row r="136" spans="1:34">
      <c r="A136" t="str">
        <f>'Price Deck'!A130</f>
        <v>08/2029</v>
      </c>
      <c r="B136" s="39">
        <f>'Liquids Type Curve'!A143</f>
        <v>10.088557465453324</v>
      </c>
      <c r="C136" s="39">
        <f>'Liquids Type Curve'!B143</f>
        <v>121.06268958543988</v>
      </c>
      <c r="D136" s="39">
        <f>'Liquids Type Curve'!C143</f>
        <v>7.7952456050364054</v>
      </c>
      <c r="E136" s="39">
        <f>'Liquids Type Curve'!D143</f>
        <v>237.10538715319066</v>
      </c>
      <c r="F136" s="39">
        <f>'Liquids Type Curve'!E143</f>
        <v>101533.4308150054</v>
      </c>
      <c r="H136" s="39">
        <f t="shared" si="38"/>
        <v>10.088557465453324</v>
      </c>
      <c r="I136" s="39">
        <f t="shared" si="39"/>
        <v>121.06268958543988</v>
      </c>
      <c r="J136" s="39">
        <f t="shared" si="22"/>
        <v>3.4299080662160182</v>
      </c>
      <c r="K136" s="39">
        <f t="shared" si="40"/>
        <v>104.32637034740389</v>
      </c>
      <c r="L136" s="39">
        <f t="shared" si="41"/>
        <v>45615.24579048645</v>
      </c>
      <c r="N136">
        <f t="shared" si="23"/>
        <v>16.586595813444607</v>
      </c>
      <c r="O136">
        <f t="shared" si="24"/>
        <v>4438.6068898733147</v>
      </c>
      <c r="P136">
        <f t="shared" si="29"/>
        <v>4.4386068898733146</v>
      </c>
      <c r="Q136" s="161">
        <f t="shared" si="30"/>
        <v>5.1400965992221677</v>
      </c>
      <c r="S136" s="157">
        <f t="shared" si="31"/>
        <v>0.21440579595333004</v>
      </c>
      <c r="T136" s="157">
        <v>0.05</v>
      </c>
      <c r="U136" s="157">
        <f t="shared" si="25"/>
        <v>0.21440579595333004</v>
      </c>
      <c r="V136" s="157">
        <f t="shared" si="26"/>
        <v>0.17695410546694212</v>
      </c>
      <c r="W136" s="157">
        <f t="shared" si="27"/>
        <v>0.20915717348249876</v>
      </c>
      <c r="Y136" s="157">
        <f t="shared" si="28"/>
        <v>-0.16838200977846957</v>
      </c>
      <c r="Z136" s="157">
        <f t="shared" si="32"/>
        <v>0.05</v>
      </c>
      <c r="AB136" s="2">
        <f>'Price Deck'!P130/'Price Deck'!M130</f>
        <v>16.714025999999997</v>
      </c>
      <c r="AC136" s="161">
        <f t="shared" si="33"/>
        <v>5.1400965992221677</v>
      </c>
      <c r="AE136" s="161">
        <f t="shared" si="34"/>
        <v>1743.7136664721374</v>
      </c>
      <c r="AF136">
        <f t="shared" si="35"/>
        <v>0.05</v>
      </c>
      <c r="AG136" s="165">
        <f t="shared" si="36"/>
        <v>87.185683323606881</v>
      </c>
      <c r="AH136" s="165">
        <f t="shared" si="37"/>
        <v>0.36770857200000001</v>
      </c>
    </row>
    <row r="137" spans="1:34">
      <c r="A137" t="str">
        <f>'Price Deck'!A131</f>
        <v>09/2029</v>
      </c>
      <c r="B137" s="39">
        <f>'Liquids Type Curve'!A144</f>
        <v>10.171890798786658</v>
      </c>
      <c r="C137" s="39">
        <f>'Liquids Type Curve'!B144</f>
        <v>122.0626895854399</v>
      </c>
      <c r="D137" s="39">
        <f>'Liquids Type Curve'!C144</f>
        <v>7.7357038568905256</v>
      </c>
      <c r="E137" s="39">
        <f>'Liquids Type Curve'!D144</f>
        <v>235.29432564708682</v>
      </c>
      <c r="F137" s="39">
        <f>'Liquids Type Curve'!E144</f>
        <v>101768.72514065249</v>
      </c>
      <c r="H137" s="39">
        <f t="shared" si="38"/>
        <v>10.171890798786658</v>
      </c>
      <c r="I137" s="39">
        <f t="shared" si="39"/>
        <v>122.0626895854399</v>
      </c>
      <c r="J137" s="39">
        <f t="shared" si="22"/>
        <v>3.4037096970318315</v>
      </c>
      <c r="K137" s="39">
        <f t="shared" si="40"/>
        <v>103.52950328471822</v>
      </c>
      <c r="L137" s="39">
        <f t="shared" si="41"/>
        <v>45718.77529377117</v>
      </c>
      <c r="N137">
        <f t="shared" si="23"/>
        <v>16.459903857788518</v>
      </c>
      <c r="O137">
        <f t="shared" si="24"/>
        <v>4404.7038639847342</v>
      </c>
      <c r="P137">
        <f t="shared" si="29"/>
        <v>4.404703863984734</v>
      </c>
      <c r="Q137" s="161">
        <f t="shared" si="30"/>
        <v>5.1400965992221677</v>
      </c>
      <c r="S137" s="157">
        <f t="shared" si="31"/>
        <v>0.21440579595333004</v>
      </c>
      <c r="T137" s="157">
        <v>0.05</v>
      </c>
      <c r="U137" s="157">
        <f t="shared" si="25"/>
        <v>0.21440579595333004</v>
      </c>
      <c r="V137" s="157">
        <f t="shared" si="26"/>
        <v>0.17695410546694212</v>
      </c>
      <c r="W137" s="157">
        <f t="shared" si="27"/>
        <v>0.20915717348249876</v>
      </c>
      <c r="Y137" s="157">
        <f t="shared" si="28"/>
        <v>-0.16839874770235075</v>
      </c>
      <c r="Z137" s="157">
        <f t="shared" si="32"/>
        <v>0.05</v>
      </c>
      <c r="AB137" s="2">
        <f>'Price Deck'!P131/'Price Deck'!M131</f>
        <v>16.714025999999997</v>
      </c>
      <c r="AC137" s="161">
        <f t="shared" si="33"/>
        <v>5.1400965992221677</v>
      </c>
      <c r="AE137" s="161">
        <f t="shared" si="34"/>
        <v>1730.3948096678653</v>
      </c>
      <c r="AF137">
        <f t="shared" si="35"/>
        <v>0.05</v>
      </c>
      <c r="AG137" s="165">
        <f t="shared" si="36"/>
        <v>86.519740483393264</v>
      </c>
      <c r="AH137" s="165">
        <f t="shared" si="37"/>
        <v>0.36770857199999996</v>
      </c>
    </row>
    <row r="138" spans="1:34">
      <c r="A138" t="str">
        <f>'Price Deck'!A132</f>
        <v>10/2029</v>
      </c>
      <c r="B138" s="39">
        <f>'Liquids Type Curve'!A145</f>
        <v>10.255224132119992</v>
      </c>
      <c r="C138" s="39">
        <f>'Liquids Type Curve'!B145</f>
        <v>123.0626895854399</v>
      </c>
      <c r="D138" s="39">
        <f>'Liquids Type Curve'!C145</f>
        <v>7.6770971715868761</v>
      </c>
      <c r="E138" s="39">
        <f>'Liquids Type Curve'!D145</f>
        <v>233.5117056357675</v>
      </c>
      <c r="F138" s="39">
        <f>'Liquids Type Curve'!E145</f>
        <v>102002.23684628826</v>
      </c>
      <c r="H138" s="39">
        <f t="shared" si="38"/>
        <v>10.255224132119992</v>
      </c>
      <c r="I138" s="39">
        <f t="shared" si="39"/>
        <v>123.0626895854399</v>
      </c>
      <c r="J138" s="39">
        <f t="shared" si="22"/>
        <v>3.3779227554982256</v>
      </c>
      <c r="K138" s="39">
        <f t="shared" si="40"/>
        <v>102.7451504797377</v>
      </c>
      <c r="L138" s="39">
        <f t="shared" si="41"/>
        <v>45821.520444250906</v>
      </c>
      <c r="N138">
        <f t="shared" si="23"/>
        <v>16.335201513519937</v>
      </c>
      <c r="O138">
        <f t="shared" si="24"/>
        <v>4371.333262163882</v>
      </c>
      <c r="P138">
        <f t="shared" si="29"/>
        <v>4.3713332621638816</v>
      </c>
      <c r="Q138" s="161">
        <f t="shared" si="30"/>
        <v>5.1400965992221677</v>
      </c>
      <c r="S138" s="157">
        <f t="shared" si="31"/>
        <v>0.21440579595333004</v>
      </c>
      <c r="T138" s="157">
        <v>0.05</v>
      </c>
      <c r="U138" s="157">
        <f t="shared" si="25"/>
        <v>0.21440579595333004</v>
      </c>
      <c r="V138" s="157">
        <f t="shared" si="26"/>
        <v>0.17695410546694212</v>
      </c>
      <c r="W138" s="157">
        <f t="shared" si="27"/>
        <v>0.20915717348249876</v>
      </c>
      <c r="Y138" s="157">
        <f t="shared" si="28"/>
        <v>-0.16841522276846971</v>
      </c>
      <c r="Z138" s="157">
        <f t="shared" si="32"/>
        <v>0.05</v>
      </c>
      <c r="AB138" s="2">
        <f>'Price Deck'!P132/'Price Deck'!M132</f>
        <v>16.714025999999997</v>
      </c>
      <c r="AC138" s="161">
        <f t="shared" si="33"/>
        <v>5.1400965992221677</v>
      </c>
      <c r="AE138" s="161">
        <f t="shared" si="34"/>
        <v>1717.2851164922481</v>
      </c>
      <c r="AF138">
        <f t="shared" si="35"/>
        <v>0.05</v>
      </c>
      <c r="AG138" s="165">
        <f t="shared" si="36"/>
        <v>85.864255824612414</v>
      </c>
      <c r="AH138" s="165">
        <f t="shared" si="37"/>
        <v>0.36770857199999996</v>
      </c>
    </row>
    <row r="139" spans="1:34">
      <c r="A139" t="str">
        <f>'Price Deck'!A133</f>
        <v>11/2029</v>
      </c>
      <c r="B139" s="39">
        <f>'Liquids Type Curve'!A146</f>
        <v>10.338557465453325</v>
      </c>
      <c r="C139" s="39">
        <f>'Liquids Type Curve'!B146</f>
        <v>124.0626895854399</v>
      </c>
      <c r="D139" s="39">
        <f>'Liquids Type Curve'!C146</f>
        <v>7.6194034438939058</v>
      </c>
      <c r="E139" s="39">
        <f>'Liquids Type Curve'!D146</f>
        <v>231.75685475177298</v>
      </c>
      <c r="F139" s="39">
        <f>'Liquids Type Curve'!E146</f>
        <v>102233.99370104003</v>
      </c>
      <c r="H139" s="39">
        <f t="shared" si="38"/>
        <v>10.338557465453325</v>
      </c>
      <c r="I139" s="39">
        <f t="shared" si="39"/>
        <v>124.0626895854399</v>
      </c>
      <c r="J139" s="39">
        <f t="shared" ref="J139:J202" si="42">D139*$C$2</f>
        <v>3.3525375153133186</v>
      </c>
      <c r="K139" s="39">
        <f t="shared" si="40"/>
        <v>101.97301609078011</v>
      </c>
      <c r="L139" s="39">
        <f t="shared" si="41"/>
        <v>45923.493460341684</v>
      </c>
      <c r="N139">
        <f t="shared" ref="N139:N202" si="43">K139*$B$2</f>
        <v>16.212441745489539</v>
      </c>
      <c r="O139">
        <f t="shared" ref="O139:O202" si="44">N139*$N$7</f>
        <v>4338.4824977088083</v>
      </c>
      <c r="P139">
        <f t="shared" si="29"/>
        <v>4.3384824977088083</v>
      </c>
      <c r="Q139" s="161">
        <f t="shared" si="30"/>
        <v>5.1400965992221677</v>
      </c>
      <c r="S139" s="157">
        <f t="shared" si="31"/>
        <v>0.21440579595333004</v>
      </c>
      <c r="T139" s="157">
        <v>0.05</v>
      </c>
      <c r="U139" s="157">
        <f t="shared" ref="U139:U202" si="45">+(Q139-$U$4)*0.06+0.05</f>
        <v>0.21440579595333004</v>
      </c>
      <c r="V139" s="157">
        <f t="shared" ref="V139:V202" si="46">(Q139-$V$4)*0.0425+0.086</f>
        <v>0.17695410546694212</v>
      </c>
      <c r="W139" s="157">
        <f t="shared" ref="W139:W202" si="47">(Q139-$W$4)*0.0225+0.24538</f>
        <v>0.20915717348249876</v>
      </c>
      <c r="Y139" s="157">
        <f t="shared" ref="Y139:Y202" si="48">IF(P139&gt;$D$2,0,(P139-$D$2)*0.0004937)</f>
        <v>-0.16843144119088116</v>
      </c>
      <c r="Z139" s="157">
        <f t="shared" si="32"/>
        <v>0.05</v>
      </c>
      <c r="AB139" s="2">
        <f>'Price Deck'!P133/'Price Deck'!M133</f>
        <v>16.714025999999997</v>
      </c>
      <c r="AC139" s="161">
        <f t="shared" si="33"/>
        <v>5.1400965992221677</v>
      </c>
      <c r="AE139" s="161">
        <f t="shared" si="34"/>
        <v>1704.3796422397168</v>
      </c>
      <c r="AF139">
        <f t="shared" si="35"/>
        <v>0.05</v>
      </c>
      <c r="AG139" s="165">
        <f t="shared" si="36"/>
        <v>85.218982111985838</v>
      </c>
      <c r="AH139" s="165">
        <f t="shared" si="37"/>
        <v>0.3677085719999999</v>
      </c>
    </row>
    <row r="140" spans="1:34">
      <c r="A140" t="str">
        <f>'Price Deck'!A134</f>
        <v>12/2029</v>
      </c>
      <c r="B140" s="39">
        <f>'Liquids Type Curve'!A147</f>
        <v>10.421890798786659</v>
      </c>
      <c r="C140" s="39">
        <f>'Liquids Type Curve'!B147</f>
        <v>125.06268958543991</v>
      </c>
      <c r="D140" s="39">
        <f>'Liquids Type Curve'!C147</f>
        <v>7.5626012637779692</v>
      </c>
      <c r="E140" s="39">
        <f>'Liquids Type Curve'!D147</f>
        <v>230.02912177324657</v>
      </c>
      <c r="F140" s="39">
        <f>'Liquids Type Curve'!E147</f>
        <v>102464.02282281328</v>
      </c>
      <c r="H140" s="39">
        <f t="shared" si="38"/>
        <v>10.421890798786659</v>
      </c>
      <c r="I140" s="39">
        <f t="shared" si="39"/>
        <v>125.06268958543991</v>
      </c>
      <c r="J140" s="39">
        <f t="shared" si="42"/>
        <v>3.3275445560623065</v>
      </c>
      <c r="K140" s="39">
        <f t="shared" si="40"/>
        <v>101.2128135802285</v>
      </c>
      <c r="L140" s="39">
        <f t="shared" si="41"/>
        <v>46024.706273921911</v>
      </c>
      <c r="N140">
        <f t="shared" si="43"/>
        <v>16.091578997778704</v>
      </c>
      <c r="O140">
        <f t="shared" si="44"/>
        <v>4306.1393797627197</v>
      </c>
      <c r="P140">
        <f t="shared" ref="P140:P203" si="49">O140/1000</f>
        <v>4.3061393797627199</v>
      </c>
      <c r="Q140" s="161">
        <f t="shared" ref="Q140:Q203" si="50">AC140</f>
        <v>5.1400965992221677</v>
      </c>
      <c r="S140" s="157">
        <f t="shared" ref="S140:S203" si="51">MIN(IF(Q140&gt;$U$4,U140,IF(Q140&gt;$V$4,V140,IF(Q140&gt;$W$4,W140,T140))),0.36)</f>
        <v>0.21440579595333004</v>
      </c>
      <c r="T140" s="157">
        <v>0.05</v>
      </c>
      <c r="U140" s="157">
        <f t="shared" si="45"/>
        <v>0.21440579595333004</v>
      </c>
      <c r="V140" s="157">
        <f t="shared" si="46"/>
        <v>0.17695410546694212</v>
      </c>
      <c r="W140" s="157">
        <f t="shared" si="47"/>
        <v>0.20915717348249876</v>
      </c>
      <c r="Y140" s="157">
        <f t="shared" si="48"/>
        <v>-0.16844740898821114</v>
      </c>
      <c r="Z140" s="157">
        <f t="shared" ref="Z140:Z203" si="52">MAX(Y140+S140,0.05)</f>
        <v>0.05</v>
      </c>
      <c r="AB140" s="2">
        <f>'Price Deck'!P134/'Price Deck'!M134</f>
        <v>16.714025999999997</v>
      </c>
      <c r="AC140" s="161">
        <f t="shared" ref="AC140:AC203" si="53">AB140/$AB$7</f>
        <v>5.1400965992221677</v>
      </c>
      <c r="AE140" s="161">
        <f t="shared" ref="AE140:AE203" si="54">AB140*K140</f>
        <v>1691.6735977130918</v>
      </c>
      <c r="AF140">
        <f t="shared" ref="AF140:AF203" si="55">IF(I140&lt;$A$5, 0.05,Z140)</f>
        <v>0.05</v>
      </c>
      <c r="AG140" s="165">
        <f t="shared" ref="AG140:AG203" si="56">+AE140*AF140</f>
        <v>84.58367988565459</v>
      </c>
      <c r="AH140" s="165">
        <f t="shared" ref="AH140:AH203" si="57">AG140/E140</f>
        <v>0.36770857199999996</v>
      </c>
    </row>
    <row r="141" spans="1:34">
      <c r="A141" t="str">
        <f>'Price Deck'!A135</f>
        <v>01/2030</v>
      </c>
      <c r="B141" s="39">
        <f>'Liquids Type Curve'!A148</f>
        <v>10.505224132119993</v>
      </c>
      <c r="C141" s="39">
        <f>'Liquids Type Curve'!B148</f>
        <v>126.06268958543993</v>
      </c>
      <c r="D141" s="39">
        <f>'Liquids Type Curve'!C148</f>
        <v>7.5066698891970427</v>
      </c>
      <c r="E141" s="39">
        <f>'Liquids Type Curve'!D148</f>
        <v>228.32787579641007</v>
      </c>
      <c r="F141" s="39">
        <f>'Liquids Type Curve'!E148</f>
        <v>102692.35069860969</v>
      </c>
      <c r="H141" s="39">
        <f t="shared" ref="H141:H204" si="58">B141</f>
        <v>10.505224132119993</v>
      </c>
      <c r="I141" s="39">
        <f t="shared" ref="I141:I204" si="59">C141</f>
        <v>126.06268958543993</v>
      </c>
      <c r="J141" s="39">
        <f t="shared" si="42"/>
        <v>3.3029347512466987</v>
      </c>
      <c r="K141" s="39">
        <f t="shared" ref="K141:K204" si="60">J141*(365/12)</f>
        <v>100.46426535042042</v>
      </c>
      <c r="L141" s="39">
        <f t="shared" ref="L141:L204" si="61">+L140+K141</f>
        <v>46125.170539272331</v>
      </c>
      <c r="N141">
        <f t="shared" si="43"/>
        <v>15.972569135810426</v>
      </c>
      <c r="O141">
        <f t="shared" si="44"/>
        <v>4274.2920978227394</v>
      </c>
      <c r="P141">
        <f t="shared" si="49"/>
        <v>4.2742920978227392</v>
      </c>
      <c r="Q141" s="161">
        <f t="shared" si="50"/>
        <v>5.1400965992221677</v>
      </c>
      <c r="S141" s="157">
        <f t="shared" si="51"/>
        <v>0.21440579595333004</v>
      </c>
      <c r="T141" s="157">
        <v>0.05</v>
      </c>
      <c r="U141" s="157">
        <f t="shared" si="45"/>
        <v>0.21440579595333004</v>
      </c>
      <c r="V141" s="157">
        <f t="shared" si="46"/>
        <v>0.17695410546694212</v>
      </c>
      <c r="W141" s="157">
        <f t="shared" si="47"/>
        <v>0.20915717348249876</v>
      </c>
      <c r="Y141" s="157">
        <f t="shared" si="48"/>
        <v>-0.16846313199130492</v>
      </c>
      <c r="Z141" s="157">
        <f t="shared" si="52"/>
        <v>0.05</v>
      </c>
      <c r="AB141" s="2">
        <f>'Price Deck'!P135/'Price Deck'!M135</f>
        <v>16.714025999999997</v>
      </c>
      <c r="AC141" s="161">
        <f t="shared" si="53"/>
        <v>5.1400965992221677</v>
      </c>
      <c r="AE141" s="161">
        <f t="shared" si="54"/>
        <v>1679.1623431378257</v>
      </c>
      <c r="AF141">
        <f t="shared" si="55"/>
        <v>0.05</v>
      </c>
      <c r="AG141" s="165">
        <f t="shared" si="56"/>
        <v>83.958117156891291</v>
      </c>
      <c r="AH141" s="165">
        <f t="shared" si="57"/>
        <v>0.3677085719999999</v>
      </c>
    </row>
    <row r="142" spans="1:34">
      <c r="A142" t="str">
        <f>'Price Deck'!A136</f>
        <v>02/2030</v>
      </c>
      <c r="B142" s="39">
        <f>'Liquids Type Curve'!A149</f>
        <v>10.588557465453327</v>
      </c>
      <c r="C142" s="39">
        <f>'Liquids Type Curve'!B149</f>
        <v>127.06268958543993</v>
      </c>
      <c r="D142" s="39">
        <f>'Liquids Type Curve'!C149</f>
        <v>7.4515892201648501</v>
      </c>
      <c r="E142" s="39">
        <f>'Liquids Type Curve'!D149</f>
        <v>226.65250544668086</v>
      </c>
      <c r="F142" s="39">
        <f>'Liquids Type Curve'!E149</f>
        <v>102919.00320405637</v>
      </c>
      <c r="H142" s="39">
        <f t="shared" si="58"/>
        <v>10.588557465453327</v>
      </c>
      <c r="I142" s="39">
        <f t="shared" si="59"/>
        <v>127.06268958543993</v>
      </c>
      <c r="J142" s="39">
        <f t="shared" si="42"/>
        <v>3.2786992568725339</v>
      </c>
      <c r="K142" s="39">
        <f t="shared" si="60"/>
        <v>99.727102396539578</v>
      </c>
      <c r="L142" s="39">
        <f t="shared" si="61"/>
        <v>46224.897641668867</v>
      </c>
      <c r="N142">
        <f t="shared" si="43"/>
        <v>15.855369391163403</v>
      </c>
      <c r="O142">
        <f t="shared" si="44"/>
        <v>4242.9292069720441</v>
      </c>
      <c r="P142">
        <f t="shared" si="49"/>
        <v>4.2429292069720441</v>
      </c>
      <c r="Q142" s="161">
        <f t="shared" si="50"/>
        <v>5.1400965992221677</v>
      </c>
      <c r="S142" s="157">
        <f t="shared" si="51"/>
        <v>0.21440579595333004</v>
      </c>
      <c r="T142" s="157">
        <v>0.05</v>
      </c>
      <c r="U142" s="157">
        <f t="shared" si="45"/>
        <v>0.21440579595333004</v>
      </c>
      <c r="V142" s="157">
        <f t="shared" si="46"/>
        <v>0.17695410546694212</v>
      </c>
      <c r="W142" s="157">
        <f t="shared" si="47"/>
        <v>0.20915717348249876</v>
      </c>
      <c r="Y142" s="157">
        <f t="shared" si="48"/>
        <v>-0.1684786158505179</v>
      </c>
      <c r="Z142" s="157">
        <f t="shared" si="52"/>
        <v>0.05</v>
      </c>
      <c r="AB142" s="2">
        <f>'Price Deck'!P136/'Price Deck'!M136</f>
        <v>16.714025999999997</v>
      </c>
      <c r="AC142" s="161">
        <f t="shared" si="53"/>
        <v>5.1400965992221677</v>
      </c>
      <c r="AE142" s="161">
        <f t="shared" si="54"/>
        <v>1666.8413823604246</v>
      </c>
      <c r="AF142">
        <f t="shared" si="55"/>
        <v>0.05</v>
      </c>
      <c r="AG142" s="165">
        <f t="shared" si="56"/>
        <v>83.342069118021243</v>
      </c>
      <c r="AH142" s="165">
        <f t="shared" si="57"/>
        <v>0.36770857200000001</v>
      </c>
    </row>
    <row r="143" spans="1:34">
      <c r="A143" t="str">
        <f>'Price Deck'!A137</f>
        <v>03/2030</v>
      </c>
      <c r="B143" s="39">
        <f>'Liquids Type Curve'!A150</f>
        <v>10.671890798786661</v>
      </c>
      <c r="C143" s="39">
        <f>'Liquids Type Curve'!B150</f>
        <v>128.06268958543993</v>
      </c>
      <c r="D143" s="39">
        <f>'Liquids Type Curve'!C150</f>
        <v>7.3973397740167597</v>
      </c>
      <c r="E143" s="39">
        <f>'Liquids Type Curve'!D150</f>
        <v>225.00241812634312</v>
      </c>
      <c r="F143" s="39">
        <f>'Liquids Type Curve'!E150</f>
        <v>103144.00562218271</v>
      </c>
      <c r="H143" s="39">
        <f t="shared" si="58"/>
        <v>10.671890798786661</v>
      </c>
      <c r="I143" s="39">
        <f t="shared" si="59"/>
        <v>128.06268958543993</v>
      </c>
      <c r="J143" s="39">
        <f t="shared" si="42"/>
        <v>3.2548295005673742</v>
      </c>
      <c r="K143" s="39">
        <f t="shared" si="60"/>
        <v>99.001063975590966</v>
      </c>
      <c r="L143" s="39">
        <f t="shared" si="61"/>
        <v>46323.89870564446</v>
      </c>
      <c r="N143">
        <f t="shared" si="43"/>
        <v>15.739938308943204</v>
      </c>
      <c r="O143">
        <f t="shared" si="44"/>
        <v>4212.0396137962816</v>
      </c>
      <c r="P143">
        <f t="shared" si="49"/>
        <v>4.2120396137962812</v>
      </c>
      <c r="Q143" s="161">
        <f t="shared" si="50"/>
        <v>5.1400965992221677</v>
      </c>
      <c r="S143" s="157">
        <f t="shared" si="51"/>
        <v>0.21440579595333004</v>
      </c>
      <c r="T143" s="157">
        <v>0.05</v>
      </c>
      <c r="U143" s="157">
        <f t="shared" si="45"/>
        <v>0.21440579595333004</v>
      </c>
      <c r="V143" s="157">
        <f t="shared" si="46"/>
        <v>0.17695410546694212</v>
      </c>
      <c r="W143" s="157">
        <f t="shared" si="47"/>
        <v>0.20915717348249876</v>
      </c>
      <c r="Y143" s="157">
        <f t="shared" si="48"/>
        <v>-0.16849386604266878</v>
      </c>
      <c r="Z143" s="157">
        <f t="shared" si="52"/>
        <v>0.05</v>
      </c>
      <c r="AB143" s="2">
        <f>'Price Deck'!P137/'Price Deck'!M137</f>
        <v>16.714025999999997</v>
      </c>
      <c r="AC143" s="161">
        <f t="shared" si="53"/>
        <v>5.1400965992221677</v>
      </c>
      <c r="AE143" s="161">
        <f t="shared" si="54"/>
        <v>1654.7063573156904</v>
      </c>
      <c r="AF143">
        <f t="shared" si="55"/>
        <v>0.05</v>
      </c>
      <c r="AG143" s="165">
        <f t="shared" si="56"/>
        <v>82.735317865784523</v>
      </c>
      <c r="AH143" s="165">
        <f t="shared" si="57"/>
        <v>0.3677085719999999</v>
      </c>
    </row>
    <row r="144" spans="1:34">
      <c r="A144" t="str">
        <f>'Price Deck'!A138</f>
        <v>04/2030</v>
      </c>
      <c r="B144" s="39">
        <f>'Liquids Type Curve'!A151</f>
        <v>10.755224132119995</v>
      </c>
      <c r="C144" s="39">
        <f>'Liquids Type Curve'!B151</f>
        <v>129.06268958543995</v>
      </c>
      <c r="D144" s="39">
        <f>'Liquids Type Curve'!C151</f>
        <v>7.3439026618128231</v>
      </c>
      <c r="E144" s="39">
        <f>'Liquids Type Curve'!D151</f>
        <v>223.37703929680671</v>
      </c>
      <c r="F144" s="39">
        <f>'Liquids Type Curve'!E151</f>
        <v>103367.38266147951</v>
      </c>
      <c r="H144" s="39">
        <f t="shared" si="58"/>
        <v>10.755224132119995</v>
      </c>
      <c r="I144" s="39">
        <f t="shared" si="59"/>
        <v>129.06268958543995</v>
      </c>
      <c r="J144" s="39">
        <f t="shared" si="42"/>
        <v>3.2313171711976421</v>
      </c>
      <c r="K144" s="39">
        <f t="shared" si="60"/>
        <v>98.285897290594946</v>
      </c>
      <c r="L144" s="39">
        <f t="shared" si="61"/>
        <v>46422.184602935056</v>
      </c>
      <c r="N144">
        <f t="shared" si="43"/>
        <v>15.626235697573046</v>
      </c>
      <c r="O144">
        <f t="shared" si="44"/>
        <v>4181.6125629474818</v>
      </c>
      <c r="P144">
        <f t="shared" si="49"/>
        <v>4.1816125629474818</v>
      </c>
      <c r="Q144" s="161">
        <f t="shared" si="50"/>
        <v>5.1400965992221677</v>
      </c>
      <c r="S144" s="157">
        <f t="shared" si="51"/>
        <v>0.21440579595333004</v>
      </c>
      <c r="T144" s="157">
        <v>0.05</v>
      </c>
      <c r="U144" s="157">
        <f t="shared" si="45"/>
        <v>0.21440579595333004</v>
      </c>
      <c r="V144" s="157">
        <f t="shared" si="46"/>
        <v>0.17695410546694212</v>
      </c>
      <c r="W144" s="157">
        <f t="shared" si="47"/>
        <v>0.20915717348249876</v>
      </c>
      <c r="Y144" s="157">
        <f t="shared" si="48"/>
        <v>-0.16850888787767285</v>
      </c>
      <c r="Z144" s="157">
        <f t="shared" si="52"/>
        <v>0.05</v>
      </c>
      <c r="AB144" s="2">
        <f>'Price Deck'!P138/'Price Deck'!M138</f>
        <v>16.714025999999997</v>
      </c>
      <c r="AC144" s="161">
        <f t="shared" si="53"/>
        <v>5.1400965992221677</v>
      </c>
      <c r="AE144" s="161">
        <f t="shared" si="54"/>
        <v>1642.7530427483332</v>
      </c>
      <c r="AF144">
        <f t="shared" si="55"/>
        <v>0.05</v>
      </c>
      <c r="AG144" s="165">
        <f t="shared" si="56"/>
        <v>82.137652137416666</v>
      </c>
      <c r="AH144" s="165">
        <f t="shared" si="57"/>
        <v>0.36770857199999996</v>
      </c>
    </row>
    <row r="145" spans="1:34">
      <c r="A145" t="str">
        <f>'Price Deck'!A139</f>
        <v>05/2030</v>
      </c>
      <c r="B145" s="39">
        <f>'Liquids Type Curve'!A152</f>
        <v>10.838557465453329</v>
      </c>
      <c r="C145" s="39">
        <f>'Liquids Type Curve'!B152</f>
        <v>130.06268958543995</v>
      </c>
      <c r="D145" s="39">
        <f>'Liquids Type Curve'!C152</f>
        <v>7.2912595658173158</v>
      </c>
      <c r="E145" s="39">
        <f>'Liquids Type Curve'!D152</f>
        <v>221.77581179361002</v>
      </c>
      <c r="F145" s="39">
        <f>'Liquids Type Curve'!E152</f>
        <v>103589.15847327311</v>
      </c>
      <c r="H145" s="39">
        <f t="shared" si="58"/>
        <v>10.838557465453329</v>
      </c>
      <c r="I145" s="39">
        <f t="shared" si="59"/>
        <v>130.06268958543995</v>
      </c>
      <c r="J145" s="39">
        <f t="shared" si="42"/>
        <v>3.2081542089596189</v>
      </c>
      <c r="K145" s="39">
        <f t="shared" si="60"/>
        <v>97.58135718918841</v>
      </c>
      <c r="L145" s="39">
        <f t="shared" si="61"/>
        <v>46519.765960124241</v>
      </c>
      <c r="N145">
        <f t="shared" si="43"/>
        <v>15.514222580875133</v>
      </c>
      <c r="O145">
        <f t="shared" si="44"/>
        <v>4151.6376243209224</v>
      </c>
      <c r="P145">
        <f t="shared" si="49"/>
        <v>4.1516376243209221</v>
      </c>
      <c r="Q145" s="161">
        <f t="shared" si="50"/>
        <v>5.1400965992221677</v>
      </c>
      <c r="S145" s="157">
        <f t="shared" si="51"/>
        <v>0.21440579595333004</v>
      </c>
      <c r="T145" s="157">
        <v>0.05</v>
      </c>
      <c r="U145" s="157">
        <f t="shared" si="45"/>
        <v>0.21440579595333004</v>
      </c>
      <c r="V145" s="157">
        <f t="shared" si="46"/>
        <v>0.17695410546694212</v>
      </c>
      <c r="W145" s="157">
        <f t="shared" si="47"/>
        <v>0.20915717348249876</v>
      </c>
      <c r="Y145" s="157">
        <f t="shared" si="48"/>
        <v>-0.16852368650487276</v>
      </c>
      <c r="Z145" s="157">
        <f t="shared" si="52"/>
        <v>0.05</v>
      </c>
      <c r="AB145" s="2">
        <f>'Price Deck'!P139/'Price Deck'!M139</f>
        <v>16.714025999999997</v>
      </c>
      <c r="AC145" s="161">
        <f t="shared" si="53"/>
        <v>5.1400965992221677</v>
      </c>
      <c r="AE145" s="161">
        <f t="shared" si="54"/>
        <v>1630.9773411753818</v>
      </c>
      <c r="AF145">
        <f t="shared" si="55"/>
        <v>0.05</v>
      </c>
      <c r="AG145" s="165">
        <f t="shared" si="56"/>
        <v>81.54886705876909</v>
      </c>
      <c r="AH145" s="165">
        <f t="shared" si="57"/>
        <v>0.36770857199999996</v>
      </c>
    </row>
    <row r="146" spans="1:34">
      <c r="A146" t="str">
        <f>'Price Deck'!A140</f>
        <v>06/2030</v>
      </c>
      <c r="B146" s="39">
        <f>'Liquids Type Curve'!A153</f>
        <v>10.921890798786663</v>
      </c>
      <c r="C146" s="39">
        <f>'Liquids Type Curve'!B153</f>
        <v>131.06268958543995</v>
      </c>
      <c r="D146" s="39">
        <f>'Liquids Type Curve'!C153</f>
        <v>7.2393927179979238</v>
      </c>
      <c r="E146" s="39">
        <f>'Liquids Type Curve'!D153</f>
        <v>220.19819517243687</v>
      </c>
      <c r="F146" s="39">
        <f>'Liquids Type Curve'!E153</f>
        <v>103809.35666844554</v>
      </c>
      <c r="H146" s="39">
        <f t="shared" si="58"/>
        <v>10.921890798786663</v>
      </c>
      <c r="I146" s="39">
        <f t="shared" si="59"/>
        <v>131.06268958543995</v>
      </c>
      <c r="J146" s="39">
        <f t="shared" si="42"/>
        <v>3.1853327959190865</v>
      </c>
      <c r="K146" s="39">
        <f t="shared" si="60"/>
        <v>96.887205875872212</v>
      </c>
      <c r="L146" s="39">
        <f t="shared" si="61"/>
        <v>46616.653166000113</v>
      </c>
      <c r="N146">
        <f t="shared" si="43"/>
        <v>15.40386115232157</v>
      </c>
      <c r="O146">
        <f t="shared" si="44"/>
        <v>4122.1046808125839</v>
      </c>
      <c r="P146">
        <f t="shared" si="49"/>
        <v>4.1221046808125843</v>
      </c>
      <c r="Q146" s="161">
        <f t="shared" si="50"/>
        <v>5.1400965992221677</v>
      </c>
      <c r="S146" s="157">
        <f t="shared" si="51"/>
        <v>0.21440579595333004</v>
      </c>
      <c r="T146" s="157">
        <v>0.05</v>
      </c>
      <c r="U146" s="157">
        <f t="shared" si="45"/>
        <v>0.21440579595333004</v>
      </c>
      <c r="V146" s="157">
        <f t="shared" si="46"/>
        <v>0.17695410546694212</v>
      </c>
      <c r="W146" s="157">
        <f t="shared" si="47"/>
        <v>0.20915717348249876</v>
      </c>
      <c r="Y146" s="157">
        <f t="shared" si="48"/>
        <v>-0.16853826691908283</v>
      </c>
      <c r="Z146" s="157">
        <f t="shared" si="52"/>
        <v>0.05</v>
      </c>
      <c r="AB146" s="2">
        <f>'Price Deck'!P140/'Price Deck'!M140</f>
        <v>16.714025999999997</v>
      </c>
      <c r="AC146" s="161">
        <f t="shared" si="53"/>
        <v>5.1400965992221677</v>
      </c>
      <c r="AE146" s="161">
        <f t="shared" si="54"/>
        <v>1619.3752780766806</v>
      </c>
      <c r="AF146">
        <f t="shared" si="55"/>
        <v>0.05</v>
      </c>
      <c r="AG146" s="165">
        <f t="shared" si="56"/>
        <v>80.968763903834031</v>
      </c>
      <c r="AH146" s="165">
        <f t="shared" si="57"/>
        <v>0.3677085719999999</v>
      </c>
    </row>
    <row r="147" spans="1:34">
      <c r="A147" t="str">
        <f>'Price Deck'!A141</f>
        <v>07/2030</v>
      </c>
      <c r="B147" s="39">
        <f>'Liquids Type Curve'!A154</f>
        <v>11.005224132119997</v>
      </c>
      <c r="C147" s="39">
        <f>'Liquids Type Curve'!B154</f>
        <v>132.06268958543995</v>
      </c>
      <c r="D147" s="39">
        <f>'Liquids Type Curve'!C154</f>
        <v>7.1882848794908654</v>
      </c>
      <c r="E147" s="39">
        <f>'Liquids Type Curve'!D154</f>
        <v>218.64366508451383</v>
      </c>
      <c r="F147" s="39">
        <f>'Liquids Type Curve'!E154</f>
        <v>104028.00033353006</v>
      </c>
      <c r="H147" s="39">
        <f t="shared" si="58"/>
        <v>11.005224132119997</v>
      </c>
      <c r="I147" s="39">
        <f t="shared" si="59"/>
        <v>132.06268958543995</v>
      </c>
      <c r="J147" s="39">
        <f t="shared" si="42"/>
        <v>3.1628453469759807</v>
      </c>
      <c r="K147" s="39">
        <f t="shared" si="60"/>
        <v>96.203212637186084</v>
      </c>
      <c r="L147" s="39">
        <f t="shared" si="61"/>
        <v>46712.856378637298</v>
      </c>
      <c r="N147">
        <f t="shared" si="43"/>
        <v>15.295114731340597</v>
      </c>
      <c r="O147">
        <f t="shared" si="44"/>
        <v>4093.0039166266042</v>
      </c>
      <c r="P147">
        <f t="shared" si="49"/>
        <v>4.0930039166266043</v>
      </c>
      <c r="Q147" s="161">
        <f t="shared" si="50"/>
        <v>5.1400965992221677</v>
      </c>
      <c r="S147" s="157">
        <f t="shared" si="51"/>
        <v>0.21440579595333004</v>
      </c>
      <c r="T147" s="157">
        <v>0.05</v>
      </c>
      <c r="U147" s="157">
        <f t="shared" si="45"/>
        <v>0.21440579595333004</v>
      </c>
      <c r="V147" s="157">
        <f t="shared" si="46"/>
        <v>0.17695410546694212</v>
      </c>
      <c r="W147" s="157">
        <f t="shared" si="47"/>
        <v>0.20915717348249876</v>
      </c>
      <c r="Y147" s="157">
        <f t="shared" si="48"/>
        <v>-0.16855263396636144</v>
      </c>
      <c r="Z147" s="157">
        <f t="shared" si="52"/>
        <v>0.05</v>
      </c>
      <c r="AB147" s="2">
        <f>'Price Deck'!P141/'Price Deck'!M141</f>
        <v>16.714025999999997</v>
      </c>
      <c r="AC147" s="161">
        <f t="shared" si="53"/>
        <v>5.1400965992221677</v>
      </c>
      <c r="AE147" s="161">
        <f t="shared" si="54"/>
        <v>1607.9429973014564</v>
      </c>
      <c r="AF147">
        <f t="shared" si="55"/>
        <v>0.05</v>
      </c>
      <c r="AG147" s="165">
        <f t="shared" si="56"/>
        <v>80.397149865072834</v>
      </c>
      <c r="AH147" s="165">
        <f t="shared" si="57"/>
        <v>0.36770857199999996</v>
      </c>
    </row>
    <row r="148" spans="1:34">
      <c r="A148" t="str">
        <f>'Price Deck'!A142</f>
        <v>08/2030</v>
      </c>
      <c r="B148" s="39">
        <f>'Liquids Type Curve'!A155</f>
        <v>11.088557465453331</v>
      </c>
      <c r="C148" s="39">
        <f>'Liquids Type Curve'!B155</f>
        <v>133.06268958543995</v>
      </c>
      <c r="D148" s="39">
        <f>'Liquids Type Curve'!C155</f>
        <v>7.1379193209817853</v>
      </c>
      <c r="E148" s="39">
        <f>'Liquids Type Curve'!D155</f>
        <v>217.11171267986265</v>
      </c>
      <c r="F148" s="39">
        <f>'Liquids Type Curve'!E155</f>
        <v>104245.11204620992</v>
      </c>
      <c r="H148" s="39">
        <f t="shared" si="58"/>
        <v>11.088557465453331</v>
      </c>
      <c r="I148" s="39">
        <f t="shared" si="59"/>
        <v>133.06268958543995</v>
      </c>
      <c r="J148" s="39">
        <f t="shared" si="42"/>
        <v>3.1406845012319855</v>
      </c>
      <c r="K148" s="39">
        <f t="shared" si="60"/>
        <v>95.52915357913956</v>
      </c>
      <c r="L148" s="39">
        <f t="shared" si="61"/>
        <v>46808.385532216438</v>
      </c>
      <c r="N148">
        <f t="shared" si="43"/>
        <v>15.187947721571364</v>
      </c>
      <c r="O148">
        <f t="shared" si="44"/>
        <v>4064.3258061041743</v>
      </c>
      <c r="P148">
        <f t="shared" si="49"/>
        <v>4.0643258061041738</v>
      </c>
      <c r="Q148" s="161">
        <f t="shared" si="50"/>
        <v>5.1400965992221677</v>
      </c>
      <c r="S148" s="157">
        <f t="shared" si="51"/>
        <v>0.21440579595333004</v>
      </c>
      <c r="T148" s="157">
        <v>0.05</v>
      </c>
      <c r="U148" s="157">
        <f t="shared" si="45"/>
        <v>0.21440579595333004</v>
      </c>
      <c r="V148" s="157">
        <f t="shared" si="46"/>
        <v>0.17695410546694212</v>
      </c>
      <c r="W148" s="157">
        <f t="shared" si="47"/>
        <v>0.20915717348249876</v>
      </c>
      <c r="Y148" s="157">
        <f t="shared" si="48"/>
        <v>-0.16856679234952637</v>
      </c>
      <c r="Z148" s="157">
        <f t="shared" si="52"/>
        <v>0.05</v>
      </c>
      <c r="AB148" s="2">
        <f>'Price Deck'!P142/'Price Deck'!M142</f>
        <v>16.714025999999997</v>
      </c>
      <c r="AC148" s="161">
        <f t="shared" si="53"/>
        <v>5.1400965992221677</v>
      </c>
      <c r="AE148" s="161">
        <f t="shared" si="54"/>
        <v>1596.6767566797314</v>
      </c>
      <c r="AF148">
        <f t="shared" si="55"/>
        <v>0.05</v>
      </c>
      <c r="AG148" s="165">
        <f t="shared" si="56"/>
        <v>79.833837833986578</v>
      </c>
      <c r="AH148" s="165">
        <f t="shared" si="57"/>
        <v>0.36770857199999996</v>
      </c>
    </row>
    <row r="149" spans="1:34">
      <c r="A149" t="str">
        <f>'Price Deck'!A143</f>
        <v>09/2030</v>
      </c>
      <c r="B149" s="39">
        <f>'Liquids Type Curve'!A156</f>
        <v>11.171890798786665</v>
      </c>
      <c r="C149" s="39">
        <f>'Liquids Type Curve'!B156</f>
        <v>134.06268958543998</v>
      </c>
      <c r="D149" s="39">
        <f>'Liquids Type Curve'!C156</f>
        <v>7.0882798039549755</v>
      </c>
      <c r="E149" s="39">
        <f>'Liquids Type Curve'!D156</f>
        <v>215.60184403696385</v>
      </c>
      <c r="F149" s="39">
        <f>'Liquids Type Curve'!E156</f>
        <v>104460.71389024689</v>
      </c>
      <c r="H149" s="39">
        <f t="shared" si="58"/>
        <v>11.171890798786665</v>
      </c>
      <c r="I149" s="39">
        <f t="shared" si="59"/>
        <v>134.06268958543998</v>
      </c>
      <c r="J149" s="39">
        <f t="shared" si="42"/>
        <v>3.1188431137401893</v>
      </c>
      <c r="K149" s="39">
        <f t="shared" si="60"/>
        <v>94.8648113762641</v>
      </c>
      <c r="L149" s="39">
        <f t="shared" si="61"/>
        <v>46903.250343592699</v>
      </c>
      <c r="N149">
        <f t="shared" si="43"/>
        <v>15.082325570966342</v>
      </c>
      <c r="O149">
        <f t="shared" si="44"/>
        <v>4036.0611030468608</v>
      </c>
      <c r="P149">
        <f t="shared" si="49"/>
        <v>4.0360611030468609</v>
      </c>
      <c r="Q149" s="161">
        <f t="shared" si="50"/>
        <v>5.1400965992221677</v>
      </c>
      <c r="S149" s="157">
        <f t="shared" si="51"/>
        <v>0.21440579595333004</v>
      </c>
      <c r="T149" s="157">
        <v>0.05</v>
      </c>
      <c r="U149" s="157">
        <f t="shared" si="45"/>
        <v>0.21440579595333004</v>
      </c>
      <c r="V149" s="157">
        <f t="shared" si="46"/>
        <v>0.17695410546694212</v>
      </c>
      <c r="W149" s="157">
        <f t="shared" si="47"/>
        <v>0.20915717348249876</v>
      </c>
      <c r="Y149" s="157">
        <f t="shared" si="48"/>
        <v>-0.16858074663342579</v>
      </c>
      <c r="Z149" s="157">
        <f t="shared" si="52"/>
        <v>0.05</v>
      </c>
      <c r="AB149" s="2">
        <f>'Price Deck'!P143/'Price Deck'!M143</f>
        <v>16.714025999999997</v>
      </c>
      <c r="AC149" s="161">
        <f t="shared" si="53"/>
        <v>5.1400965992221677</v>
      </c>
      <c r="AE149" s="161">
        <f t="shared" si="54"/>
        <v>1585.5729238279737</v>
      </c>
      <c r="AF149">
        <f t="shared" si="55"/>
        <v>0.05</v>
      </c>
      <c r="AG149" s="165">
        <f t="shared" si="56"/>
        <v>79.278646191398693</v>
      </c>
      <c r="AH149" s="165">
        <f t="shared" si="57"/>
        <v>0.36770857200000001</v>
      </c>
    </row>
    <row r="150" spans="1:34">
      <c r="A150" t="str">
        <f>'Price Deck'!A144</f>
        <v>10/2030</v>
      </c>
      <c r="B150" s="39">
        <f>'Liquids Type Curve'!A157</f>
        <v>11.255224132119999</v>
      </c>
      <c r="C150" s="39">
        <f>'Liquids Type Curve'!B157</f>
        <v>135.06268958543998</v>
      </c>
      <c r="D150" s="39">
        <f>'Liquids Type Curve'!C157</f>
        <v>7.0393505627663586</v>
      </c>
      <c r="E150" s="39">
        <f>'Liquids Type Curve'!D157</f>
        <v>214.11357961747674</v>
      </c>
      <c r="F150" s="39">
        <f>'Liquids Type Curve'!E157</f>
        <v>104674.82746986437</v>
      </c>
      <c r="H150" s="39">
        <f t="shared" si="58"/>
        <v>11.255224132119999</v>
      </c>
      <c r="I150" s="39">
        <f t="shared" si="59"/>
        <v>135.06268958543998</v>
      </c>
      <c r="J150" s="39">
        <f t="shared" si="42"/>
        <v>3.0973142476171978</v>
      </c>
      <c r="K150" s="39">
        <f t="shared" si="60"/>
        <v>94.209975031689766</v>
      </c>
      <c r="L150" s="39">
        <f t="shared" si="61"/>
        <v>46997.460318624391</v>
      </c>
      <c r="N150">
        <f t="shared" si="43"/>
        <v>14.978214733646501</v>
      </c>
      <c r="O150">
        <f t="shared" si="44"/>
        <v>4008.2008305089748</v>
      </c>
      <c r="P150">
        <f t="shared" si="49"/>
        <v>4.0082008305089749</v>
      </c>
      <c r="Q150" s="161">
        <f t="shared" si="50"/>
        <v>5.1400965992221677</v>
      </c>
      <c r="S150" s="157">
        <f t="shared" si="51"/>
        <v>0.21440579595333004</v>
      </c>
      <c r="T150" s="157">
        <v>0.05</v>
      </c>
      <c r="U150" s="157">
        <f t="shared" si="45"/>
        <v>0.21440579595333004</v>
      </c>
      <c r="V150" s="157">
        <f t="shared" si="46"/>
        <v>0.17695410546694212</v>
      </c>
      <c r="W150" s="157">
        <f t="shared" si="47"/>
        <v>0.20915717348249876</v>
      </c>
      <c r="Y150" s="157">
        <f t="shared" si="48"/>
        <v>-0.16859450124997771</v>
      </c>
      <c r="Z150" s="157">
        <f t="shared" si="52"/>
        <v>0.05</v>
      </c>
      <c r="AB150" s="2">
        <f>'Price Deck'!P144/'Price Deck'!M144</f>
        <v>16.714025999999997</v>
      </c>
      <c r="AC150" s="161">
        <f t="shared" si="53"/>
        <v>5.1400965992221677</v>
      </c>
      <c r="AE150" s="161">
        <f t="shared" si="54"/>
        <v>1574.6279721390133</v>
      </c>
      <c r="AF150">
        <f t="shared" si="55"/>
        <v>0.05</v>
      </c>
      <c r="AG150" s="165">
        <f t="shared" si="56"/>
        <v>78.731398606950677</v>
      </c>
      <c r="AH150" s="165">
        <f t="shared" si="57"/>
        <v>0.36770857200000001</v>
      </c>
    </row>
    <row r="151" spans="1:34">
      <c r="A151" t="str">
        <f>'Price Deck'!A145</f>
        <v>11/2030</v>
      </c>
      <c r="B151" s="39">
        <f>'Liquids Type Curve'!A158</f>
        <v>11.338557465453333</v>
      </c>
      <c r="C151" s="39">
        <f>'Liquids Type Curve'!B158</f>
        <v>136.06268958543998</v>
      </c>
      <c r="D151" s="39">
        <f>'Liquids Type Curve'!C158</f>
        <v>6.9911162874982287</v>
      </c>
      <c r="E151" s="39">
        <f>'Liquids Type Curve'!D158</f>
        <v>212.64645374473778</v>
      </c>
      <c r="F151" s="39">
        <f>'Liquids Type Curve'!E158</f>
        <v>104887.4739236091</v>
      </c>
      <c r="H151" s="39">
        <f t="shared" si="58"/>
        <v>11.338557465453333</v>
      </c>
      <c r="I151" s="39">
        <f t="shared" si="59"/>
        <v>136.06268958543998</v>
      </c>
      <c r="J151" s="39">
        <f t="shared" si="42"/>
        <v>3.0760911664992205</v>
      </c>
      <c r="K151" s="39">
        <f t="shared" si="60"/>
        <v>93.564439647684623</v>
      </c>
      <c r="L151" s="39">
        <f t="shared" si="61"/>
        <v>47091.024758272077</v>
      </c>
      <c r="N151">
        <f t="shared" si="43"/>
        <v>14.875582633419921</v>
      </c>
      <c r="O151">
        <f t="shared" si="44"/>
        <v>3980.7362710350762</v>
      </c>
      <c r="P151">
        <f t="shared" si="49"/>
        <v>3.9807362710350764</v>
      </c>
      <c r="Q151" s="161">
        <f t="shared" si="50"/>
        <v>5.1400965992221677</v>
      </c>
      <c r="S151" s="157">
        <f t="shared" si="51"/>
        <v>0.21440579595333004</v>
      </c>
      <c r="T151" s="157">
        <v>0.05</v>
      </c>
      <c r="U151" s="157">
        <f t="shared" si="45"/>
        <v>0.21440579595333004</v>
      </c>
      <c r="V151" s="157">
        <f t="shared" si="46"/>
        <v>0.17695410546694212</v>
      </c>
      <c r="W151" s="157">
        <f t="shared" si="47"/>
        <v>0.20915717348249876</v>
      </c>
      <c r="Y151" s="157">
        <f t="shared" si="48"/>
        <v>-0.16860806050298999</v>
      </c>
      <c r="Z151" s="157">
        <f t="shared" si="52"/>
        <v>0.05</v>
      </c>
      <c r="AB151" s="2">
        <f>'Price Deck'!P145/'Price Deck'!M145</f>
        <v>16.714025999999997</v>
      </c>
      <c r="AC151" s="161">
        <f t="shared" si="53"/>
        <v>5.1400965992221677</v>
      </c>
      <c r="AE151" s="161">
        <f t="shared" si="54"/>
        <v>1563.8384769468314</v>
      </c>
      <c r="AF151">
        <f t="shared" si="55"/>
        <v>0.05</v>
      </c>
      <c r="AG151" s="165">
        <f t="shared" si="56"/>
        <v>78.19192384734157</v>
      </c>
      <c r="AH151" s="165">
        <f t="shared" si="57"/>
        <v>0.36770857199999996</v>
      </c>
    </row>
    <row r="152" spans="1:34">
      <c r="A152" t="str">
        <f>'Price Deck'!A146</f>
        <v>12/2030</v>
      </c>
      <c r="B152" s="39">
        <f>'Liquids Type Curve'!A159</f>
        <v>11.421890798786666</v>
      </c>
      <c r="C152" s="39">
        <f>'Liquids Type Curve'!B159</f>
        <v>137.06268958544001</v>
      </c>
      <c r="D152" s="39">
        <f>'Liquids Type Curve'!C159</f>
        <v>6.9435621075562608</v>
      </c>
      <c r="E152" s="39">
        <f>'Liquids Type Curve'!D159</f>
        <v>211.20001410483627</v>
      </c>
      <c r="F152" s="39">
        <f>'Liquids Type Curve'!E159</f>
        <v>105098.67393771393</v>
      </c>
      <c r="H152" s="39">
        <f t="shared" si="58"/>
        <v>11.421890798786666</v>
      </c>
      <c r="I152" s="39">
        <f t="shared" si="59"/>
        <v>137.06268958544001</v>
      </c>
      <c r="J152" s="39">
        <f t="shared" si="42"/>
        <v>3.0551673273247548</v>
      </c>
      <c r="K152" s="39">
        <f t="shared" si="60"/>
        <v>92.928006206127961</v>
      </c>
      <c r="L152" s="39">
        <f t="shared" si="61"/>
        <v>47183.952764478207</v>
      </c>
      <c r="N152">
        <f t="shared" si="43"/>
        <v>14.774397628879766</v>
      </c>
      <c r="O152">
        <f t="shared" si="44"/>
        <v>3953.6589573201218</v>
      </c>
      <c r="P152">
        <f t="shared" si="49"/>
        <v>3.9536589573201217</v>
      </c>
      <c r="Q152" s="161">
        <f t="shared" si="50"/>
        <v>5.1400965992221677</v>
      </c>
      <c r="S152" s="157">
        <f t="shared" si="51"/>
        <v>0.21440579595333004</v>
      </c>
      <c r="T152" s="157">
        <v>0.05</v>
      </c>
      <c r="U152" s="157">
        <f t="shared" si="45"/>
        <v>0.21440579595333004</v>
      </c>
      <c r="V152" s="157">
        <f t="shared" si="46"/>
        <v>0.17695410546694212</v>
      </c>
      <c r="W152" s="157">
        <f t="shared" si="47"/>
        <v>0.20915717348249876</v>
      </c>
      <c r="Y152" s="157">
        <f t="shared" si="48"/>
        <v>-0.16862142857277107</v>
      </c>
      <c r="Z152" s="157">
        <f t="shared" si="52"/>
        <v>0.05</v>
      </c>
      <c r="AB152" s="2">
        <f>'Price Deck'!P146/'Price Deck'!M146</f>
        <v>16.714025999999997</v>
      </c>
      <c r="AC152" s="161">
        <f t="shared" si="53"/>
        <v>5.1400965992221677</v>
      </c>
      <c r="AE152" s="161">
        <f t="shared" si="54"/>
        <v>1553.2011118573839</v>
      </c>
      <c r="AF152">
        <f t="shared" si="55"/>
        <v>0.05</v>
      </c>
      <c r="AG152" s="165">
        <f t="shared" si="56"/>
        <v>77.660055592869199</v>
      </c>
      <c r="AH152" s="165">
        <f t="shared" si="57"/>
        <v>0.36770857199999996</v>
      </c>
    </row>
    <row r="153" spans="1:34">
      <c r="A153" t="str">
        <f>'Price Deck'!A147</f>
        <v>01/2031</v>
      </c>
      <c r="B153" s="39">
        <f>'Liquids Type Curve'!A160</f>
        <v>11.50522413212</v>
      </c>
      <c r="C153" s="39">
        <f>'Liquids Type Curve'!B160</f>
        <v>138.06268958544001</v>
      </c>
      <c r="D153" s="39">
        <f>'Liquids Type Curve'!C160</f>
        <v>6.8966735759714357</v>
      </c>
      <c r="E153" s="39">
        <f>'Liquids Type Curve'!D160</f>
        <v>209.77382126913119</v>
      </c>
      <c r="F153" s="39">
        <f>'Liquids Type Curve'!E160</f>
        <v>105308.44775898306</v>
      </c>
      <c r="H153" s="39">
        <f t="shared" si="58"/>
        <v>11.50522413212</v>
      </c>
      <c r="I153" s="39">
        <f t="shared" si="59"/>
        <v>138.06268958544001</v>
      </c>
      <c r="J153" s="39">
        <f t="shared" si="42"/>
        <v>3.0345363734274318</v>
      </c>
      <c r="K153" s="39">
        <f t="shared" si="60"/>
        <v>92.300481358417713</v>
      </c>
      <c r="L153" s="39">
        <f t="shared" si="61"/>
        <v>47276.253245836626</v>
      </c>
      <c r="N153">
        <f t="shared" si="43"/>
        <v>14.674628980002181</v>
      </c>
      <c r="O153">
        <f t="shared" si="44"/>
        <v>3926.9606632709924</v>
      </c>
      <c r="P153">
        <f t="shared" si="49"/>
        <v>3.9269606632709926</v>
      </c>
      <c r="Q153" s="161">
        <f t="shared" si="50"/>
        <v>5.1400965992221677</v>
      </c>
      <c r="S153" s="157">
        <f t="shared" si="51"/>
        <v>0.21440579595333004</v>
      </c>
      <c r="T153" s="157">
        <v>0.05</v>
      </c>
      <c r="U153" s="157">
        <f t="shared" si="45"/>
        <v>0.21440579595333004</v>
      </c>
      <c r="V153" s="157">
        <f t="shared" si="46"/>
        <v>0.17695410546694212</v>
      </c>
      <c r="W153" s="157">
        <f t="shared" si="47"/>
        <v>0.20915717348249876</v>
      </c>
      <c r="Y153" s="157">
        <f t="shared" si="48"/>
        <v>-0.1686346095205431</v>
      </c>
      <c r="Z153" s="157">
        <f t="shared" si="52"/>
        <v>0.05</v>
      </c>
      <c r="AB153" s="2">
        <f>'Price Deck'!P147/'Price Deck'!M147</f>
        <v>16.714025999999997</v>
      </c>
      <c r="AC153" s="161">
        <f t="shared" si="53"/>
        <v>5.1400965992221677</v>
      </c>
      <c r="AE153" s="161">
        <f t="shared" si="54"/>
        <v>1542.7126452371087</v>
      </c>
      <c r="AF153">
        <f t="shared" si="55"/>
        <v>0.05</v>
      </c>
      <c r="AG153" s="165">
        <f t="shared" si="56"/>
        <v>77.135632261855449</v>
      </c>
      <c r="AH153" s="165">
        <f t="shared" si="57"/>
        <v>0.36770857199999996</v>
      </c>
    </row>
    <row r="154" spans="1:34">
      <c r="A154" t="str">
        <f>'Price Deck'!A148</f>
        <v>02/2031</v>
      </c>
      <c r="B154" s="39">
        <f>'Liquids Type Curve'!A161</f>
        <v>11.588557465453334</v>
      </c>
      <c r="C154" s="39">
        <f>'Liquids Type Curve'!B161</f>
        <v>139.06268958544001</v>
      </c>
      <c r="D154" s="39">
        <f>'Liquids Type Curve'!C161</f>
        <v>6.8504366543718378</v>
      </c>
      <c r="E154" s="39">
        <f>'Liquids Type Curve'!D161</f>
        <v>208.36744823714341</v>
      </c>
      <c r="F154" s="39">
        <f>'Liquids Type Curve'!E161</f>
        <v>105516.81520722021</v>
      </c>
      <c r="H154" s="39">
        <f t="shared" si="58"/>
        <v>11.588557465453334</v>
      </c>
      <c r="I154" s="39">
        <f t="shared" si="59"/>
        <v>139.06268958544001</v>
      </c>
      <c r="J154" s="39">
        <f t="shared" si="42"/>
        <v>3.0141921279236086</v>
      </c>
      <c r="K154" s="39">
        <f t="shared" si="60"/>
        <v>91.681677224343105</v>
      </c>
      <c r="L154" s="39">
        <f t="shared" si="61"/>
        <v>47367.934923060966</v>
      </c>
      <c r="N154">
        <f t="shared" si="43"/>
        <v>14.57624681616953</v>
      </c>
      <c r="O154">
        <f t="shared" si="44"/>
        <v>3900.6333954494485</v>
      </c>
      <c r="P154">
        <f t="shared" si="49"/>
        <v>3.9006333954494483</v>
      </c>
      <c r="Q154" s="161">
        <f t="shared" si="50"/>
        <v>5.1400965992221677</v>
      </c>
      <c r="S154" s="157">
        <f t="shared" si="51"/>
        <v>0.21440579595333004</v>
      </c>
      <c r="T154" s="157">
        <v>0.05</v>
      </c>
      <c r="U154" s="157">
        <f t="shared" si="45"/>
        <v>0.21440579595333004</v>
      </c>
      <c r="V154" s="157">
        <f t="shared" si="46"/>
        <v>0.17695410546694212</v>
      </c>
      <c r="W154" s="157">
        <f t="shared" si="47"/>
        <v>0.20915717348249876</v>
      </c>
      <c r="Y154" s="157">
        <f t="shared" si="48"/>
        <v>-0.16864760729266662</v>
      </c>
      <c r="Z154" s="157">
        <f t="shared" si="52"/>
        <v>0.05</v>
      </c>
      <c r="AB154" s="2">
        <f>'Price Deck'!P148/'Price Deck'!M148</f>
        <v>16.714025999999997</v>
      </c>
      <c r="AC154" s="161">
        <f t="shared" si="53"/>
        <v>5.1400965992221677</v>
      </c>
      <c r="AE154" s="161">
        <f t="shared" si="54"/>
        <v>1532.3699368512782</v>
      </c>
      <c r="AF154">
        <f t="shared" si="55"/>
        <v>0.05</v>
      </c>
      <c r="AG154" s="165">
        <f t="shared" si="56"/>
        <v>76.618496842563914</v>
      </c>
      <c r="AH154" s="165">
        <f t="shared" si="57"/>
        <v>0.36770857199999996</v>
      </c>
    </row>
    <row r="155" spans="1:34">
      <c r="A155" t="str">
        <f>'Price Deck'!A149</f>
        <v>03/2031</v>
      </c>
      <c r="B155" s="39">
        <f>'Liquids Type Curve'!A162</f>
        <v>11.671890798786668</v>
      </c>
      <c r="C155" s="39">
        <f>'Liquids Type Curve'!B162</f>
        <v>140.06268958544001</v>
      </c>
      <c r="D155" s="39">
        <f>'Liquids Type Curve'!C162</f>
        <v>6.8048376985909904</v>
      </c>
      <c r="E155" s="39">
        <f>'Liquids Type Curve'!D162</f>
        <v>206.9804799988093</v>
      </c>
      <c r="F155" s="39">
        <f>'Liquids Type Curve'!E162</f>
        <v>105723.79568721901</v>
      </c>
      <c r="H155" s="39">
        <f t="shared" si="58"/>
        <v>11.671890798786668</v>
      </c>
      <c r="I155" s="39">
        <f t="shared" si="59"/>
        <v>140.06268958544001</v>
      </c>
      <c r="J155" s="39">
        <f t="shared" si="42"/>
        <v>2.9941285873800356</v>
      </c>
      <c r="K155" s="39">
        <f t="shared" si="60"/>
        <v>91.071411199476088</v>
      </c>
      <c r="L155" s="39">
        <f t="shared" si="61"/>
        <v>47459.006334260441</v>
      </c>
      <c r="N155">
        <f t="shared" si="43"/>
        <v>14.479222105548045</v>
      </c>
      <c r="O155">
        <f t="shared" si="44"/>
        <v>3874.6693848775258</v>
      </c>
      <c r="P155">
        <f t="shared" si="49"/>
        <v>3.8746693848775258</v>
      </c>
      <c r="Q155" s="161">
        <f t="shared" si="50"/>
        <v>5.1400965992221677</v>
      </c>
      <c r="S155" s="157">
        <f t="shared" si="51"/>
        <v>0.21440579595333004</v>
      </c>
      <c r="T155" s="157">
        <v>0.05</v>
      </c>
      <c r="U155" s="157">
        <f t="shared" si="45"/>
        <v>0.21440579595333004</v>
      </c>
      <c r="V155" s="157">
        <f t="shared" si="46"/>
        <v>0.17695410546694212</v>
      </c>
      <c r="W155" s="157">
        <f t="shared" si="47"/>
        <v>0.20915717348249876</v>
      </c>
      <c r="Y155" s="157">
        <f t="shared" si="48"/>
        <v>-0.16866042572468598</v>
      </c>
      <c r="Z155" s="157">
        <f t="shared" si="52"/>
        <v>0.05</v>
      </c>
      <c r="AB155" s="2">
        <f>'Price Deck'!P149/'Price Deck'!M149</f>
        <v>16.714025999999997</v>
      </c>
      <c r="AC155" s="161">
        <f t="shared" si="53"/>
        <v>5.1400965992221677</v>
      </c>
      <c r="AE155" s="161">
        <f t="shared" si="54"/>
        <v>1522.1699346447342</v>
      </c>
      <c r="AF155">
        <f t="shared" si="55"/>
        <v>0.05</v>
      </c>
      <c r="AG155" s="165">
        <f t="shared" si="56"/>
        <v>76.108496732236716</v>
      </c>
      <c r="AH155" s="165">
        <f t="shared" si="57"/>
        <v>0.36770857199999996</v>
      </c>
    </row>
    <row r="156" spans="1:34">
      <c r="A156" t="str">
        <f>'Price Deck'!A150</f>
        <v>04/2031</v>
      </c>
      <c r="B156" s="39">
        <f>'Liquids Type Curve'!A163</f>
        <v>11.755224132120002</v>
      </c>
      <c r="C156" s="39">
        <f>'Liquids Type Curve'!B163</f>
        <v>141.06268958544001</v>
      </c>
      <c r="D156" s="39">
        <f>'Liquids Type Curve'!C163</f>
        <v>6.7598634448816757</v>
      </c>
      <c r="E156" s="39">
        <f>'Liquids Type Curve'!D163</f>
        <v>205.61251311515099</v>
      </c>
      <c r="F156" s="39">
        <f>'Liquids Type Curve'!E163</f>
        <v>105929.40820033416</v>
      </c>
      <c r="H156" s="39">
        <f t="shared" si="58"/>
        <v>11.755224132120002</v>
      </c>
      <c r="I156" s="39">
        <f t="shared" si="59"/>
        <v>141.06268958544001</v>
      </c>
      <c r="J156" s="39">
        <f t="shared" si="42"/>
        <v>2.9743399157479371</v>
      </c>
      <c r="K156" s="39">
        <f t="shared" si="60"/>
        <v>90.46950577066643</v>
      </c>
      <c r="L156" s="39">
        <f t="shared" si="61"/>
        <v>47549.475840031104</v>
      </c>
      <c r="N156">
        <f t="shared" si="43"/>
        <v>14.383526625753829</v>
      </c>
      <c r="O156">
        <f t="shared" si="44"/>
        <v>3849.0610791876961</v>
      </c>
      <c r="P156">
        <f t="shared" si="49"/>
        <v>3.8490610791876962</v>
      </c>
      <c r="Q156" s="161">
        <f t="shared" si="50"/>
        <v>5.1400965992221677</v>
      </c>
      <c r="S156" s="157">
        <f t="shared" si="51"/>
        <v>0.21440579595333004</v>
      </c>
      <c r="T156" s="157">
        <v>0.05</v>
      </c>
      <c r="U156" s="157">
        <f t="shared" si="45"/>
        <v>0.21440579595333004</v>
      </c>
      <c r="V156" s="157">
        <f t="shared" si="46"/>
        <v>0.17695410546694212</v>
      </c>
      <c r="W156" s="157">
        <f t="shared" si="47"/>
        <v>0.20915717348249876</v>
      </c>
      <c r="Y156" s="157">
        <f t="shared" si="48"/>
        <v>-0.16867306854520503</v>
      </c>
      <c r="Z156" s="157">
        <f t="shared" si="52"/>
        <v>0.05</v>
      </c>
      <c r="AB156" s="2">
        <f>'Price Deck'!P150/'Price Deck'!M150</f>
        <v>16.714025999999997</v>
      </c>
      <c r="AC156" s="161">
        <f t="shared" si="53"/>
        <v>5.1400965992221677</v>
      </c>
      <c r="AE156" s="161">
        <f t="shared" si="54"/>
        <v>1512.1096716580685</v>
      </c>
      <c r="AF156">
        <f t="shared" si="55"/>
        <v>0.05</v>
      </c>
      <c r="AG156" s="165">
        <f t="shared" si="56"/>
        <v>75.605483582903432</v>
      </c>
      <c r="AH156" s="165">
        <f t="shared" si="57"/>
        <v>0.36770857199999996</v>
      </c>
    </row>
    <row r="157" spans="1:34">
      <c r="A157" t="str">
        <f>'Price Deck'!A151</f>
        <v>05/2031</v>
      </c>
      <c r="B157" s="39">
        <f>'Liquids Type Curve'!A164</f>
        <v>11.838557465453336</v>
      </c>
      <c r="C157" s="39">
        <f>'Liquids Type Curve'!B164</f>
        <v>142.06268958544004</v>
      </c>
      <c r="D157" s="39">
        <f>'Liquids Type Curve'!C164</f>
        <v>6.7155009967054475</v>
      </c>
      <c r="E157" s="39">
        <f>'Liquids Type Curve'!D164</f>
        <v>204.26315531645736</v>
      </c>
      <c r="F157" s="39">
        <f>'Liquids Type Curve'!E164</f>
        <v>106133.67135565061</v>
      </c>
      <c r="H157" s="39">
        <f t="shared" si="58"/>
        <v>11.838557465453336</v>
      </c>
      <c r="I157" s="39">
        <f t="shared" si="59"/>
        <v>142.06268958544004</v>
      </c>
      <c r="J157" s="39">
        <f t="shared" si="42"/>
        <v>2.9548204385503971</v>
      </c>
      <c r="K157" s="39">
        <f t="shared" si="60"/>
        <v>89.875788339241254</v>
      </c>
      <c r="L157" s="39">
        <f t="shared" si="61"/>
        <v>47639.351628370343</v>
      </c>
      <c r="N157">
        <f t="shared" si="43"/>
        <v>14.289132935743783</v>
      </c>
      <c r="O157">
        <f t="shared" si="44"/>
        <v>3823.801135100824</v>
      </c>
      <c r="P157">
        <f t="shared" si="49"/>
        <v>3.8238011351008239</v>
      </c>
      <c r="Q157" s="161">
        <f t="shared" si="50"/>
        <v>5.1400965992221677</v>
      </c>
      <c r="S157" s="157">
        <f t="shared" si="51"/>
        <v>0.21440579595333004</v>
      </c>
      <c r="T157" s="157">
        <v>0.05</v>
      </c>
      <c r="U157" s="157">
        <f t="shared" si="45"/>
        <v>0.21440579595333004</v>
      </c>
      <c r="V157" s="157">
        <f t="shared" si="46"/>
        <v>0.17695410546694212</v>
      </c>
      <c r="W157" s="157">
        <f t="shared" si="47"/>
        <v>0.20915717348249876</v>
      </c>
      <c r="Y157" s="157">
        <f t="shared" si="48"/>
        <v>-0.16868553937960074</v>
      </c>
      <c r="Z157" s="157">
        <f t="shared" si="52"/>
        <v>0.05</v>
      </c>
      <c r="AB157" s="2">
        <f>'Price Deck'!P151/'Price Deck'!M151</f>
        <v>16.714025999999997</v>
      </c>
      <c r="AC157" s="161">
        <f t="shared" si="53"/>
        <v>5.1400965992221677</v>
      </c>
      <c r="AE157" s="161">
        <f t="shared" si="54"/>
        <v>1502.1862630725748</v>
      </c>
      <c r="AF157">
        <f t="shared" si="55"/>
        <v>0.05</v>
      </c>
      <c r="AG157" s="165">
        <f t="shared" si="56"/>
        <v>75.109313153628747</v>
      </c>
      <c r="AH157" s="165">
        <f t="shared" si="57"/>
        <v>0.36770857200000001</v>
      </c>
    </row>
    <row r="158" spans="1:34">
      <c r="A158" t="str">
        <f>'Price Deck'!A152</f>
        <v>06/2031</v>
      </c>
      <c r="B158" s="39">
        <f>'Liquids Type Curve'!A165</f>
        <v>11.92189079878667</v>
      </c>
      <c r="C158" s="39">
        <f>'Liquids Type Curve'!B165</f>
        <v>143.06268958544004</v>
      </c>
      <c r="D158" s="39">
        <f>'Liquids Type Curve'!C165</f>
        <v>6.6717378120701438</v>
      </c>
      <c r="E158" s="39">
        <f>'Liquids Type Curve'!D165</f>
        <v>202.93202511713355</v>
      </c>
      <c r="F158" s="39">
        <f>'Liquids Type Curve'!E165</f>
        <v>106336.60338076774</v>
      </c>
      <c r="H158" s="39">
        <f t="shared" si="58"/>
        <v>11.92189079878667</v>
      </c>
      <c r="I158" s="39">
        <f t="shared" si="59"/>
        <v>143.06268958544004</v>
      </c>
      <c r="J158" s="39">
        <f t="shared" si="42"/>
        <v>2.9355646373108635</v>
      </c>
      <c r="K158" s="39">
        <f t="shared" si="60"/>
        <v>89.290091051538766</v>
      </c>
      <c r="L158" s="39">
        <f t="shared" si="61"/>
        <v>47728.641719421881</v>
      </c>
      <c r="N158">
        <f t="shared" si="43"/>
        <v>14.196014348872582</v>
      </c>
      <c r="O158">
        <f t="shared" si="44"/>
        <v>3798.8824112161583</v>
      </c>
      <c r="P158">
        <f t="shared" si="49"/>
        <v>3.7988824112161583</v>
      </c>
      <c r="Q158" s="161">
        <f t="shared" si="50"/>
        <v>5.1400965992221677</v>
      </c>
      <c r="S158" s="157">
        <f t="shared" si="51"/>
        <v>0.21440579595333004</v>
      </c>
      <c r="T158" s="157">
        <v>0.05</v>
      </c>
      <c r="U158" s="157">
        <f t="shared" si="45"/>
        <v>0.21440579595333004</v>
      </c>
      <c r="V158" s="157">
        <f t="shared" si="46"/>
        <v>0.17695410546694212</v>
      </c>
      <c r="W158" s="157">
        <f t="shared" si="47"/>
        <v>0.20915717348249876</v>
      </c>
      <c r="Y158" s="157">
        <f t="shared" si="48"/>
        <v>-0.1686978417535826</v>
      </c>
      <c r="Z158" s="157">
        <f t="shared" si="52"/>
        <v>0.05</v>
      </c>
      <c r="AB158" s="2">
        <f>'Price Deck'!P152/'Price Deck'!M152</f>
        <v>16.714025999999997</v>
      </c>
      <c r="AC158" s="161">
        <f t="shared" si="53"/>
        <v>5.1400965992221677</v>
      </c>
      <c r="AE158" s="161">
        <f t="shared" si="54"/>
        <v>1492.396903377786</v>
      </c>
      <c r="AF158">
        <f t="shared" si="55"/>
        <v>0.05</v>
      </c>
      <c r="AG158" s="165">
        <f t="shared" si="56"/>
        <v>74.619845168889299</v>
      </c>
      <c r="AH158" s="165">
        <f t="shared" si="57"/>
        <v>0.36770857199999996</v>
      </c>
    </row>
    <row r="159" spans="1:34">
      <c r="A159" t="str">
        <f>'Price Deck'!A153</f>
        <v>07/2031</v>
      </c>
      <c r="B159" s="39">
        <f>'Liquids Type Curve'!A166</f>
        <v>12.005224132120004</v>
      </c>
      <c r="C159" s="39">
        <f>'Liquids Type Curve'!B166</f>
        <v>144.06268958544004</v>
      </c>
      <c r="D159" s="39">
        <f>'Liquids Type Curve'!C166</f>
        <v>6.6285616913888292</v>
      </c>
      <c r="E159" s="39">
        <f>'Liquids Type Curve'!D166</f>
        <v>201.61875144641024</v>
      </c>
      <c r="F159" s="39">
        <f>'Liquids Type Curve'!E166</f>
        <v>106538.22213221416</v>
      </c>
      <c r="H159" s="39">
        <f t="shared" si="58"/>
        <v>12.005224132120004</v>
      </c>
      <c r="I159" s="39">
        <f t="shared" si="59"/>
        <v>144.06268958544004</v>
      </c>
      <c r="J159" s="39">
        <f t="shared" si="42"/>
        <v>2.916567144211085</v>
      </c>
      <c r="K159" s="39">
        <f t="shared" si="60"/>
        <v>88.712250636420507</v>
      </c>
      <c r="L159" s="39">
        <f t="shared" si="61"/>
        <v>47817.353970058299</v>
      </c>
      <c r="N159">
        <f t="shared" si="43"/>
        <v>14.104144907059128</v>
      </c>
      <c r="O159">
        <f t="shared" si="44"/>
        <v>3774.2979610982211</v>
      </c>
      <c r="P159">
        <f t="shared" si="49"/>
        <v>3.7742979610982212</v>
      </c>
      <c r="Q159" s="161">
        <f t="shared" si="50"/>
        <v>5.1400965992221677</v>
      </c>
      <c r="S159" s="157">
        <f t="shared" si="51"/>
        <v>0.21440579595333004</v>
      </c>
      <c r="T159" s="157">
        <v>0.05</v>
      </c>
      <c r="U159" s="157">
        <f t="shared" si="45"/>
        <v>0.21440579595333004</v>
      </c>
      <c r="V159" s="157">
        <f t="shared" si="46"/>
        <v>0.17695410546694212</v>
      </c>
      <c r="W159" s="157">
        <f t="shared" si="47"/>
        <v>0.20915717348249876</v>
      </c>
      <c r="Y159" s="157">
        <f t="shared" si="48"/>
        <v>-0.16870997909660582</v>
      </c>
      <c r="Z159" s="157">
        <f t="shared" si="52"/>
        <v>0.05</v>
      </c>
      <c r="AB159" s="2">
        <f>'Price Deck'!P153/'Price Deck'!M153</f>
        <v>16.714025999999997</v>
      </c>
      <c r="AC159" s="161">
        <f t="shared" si="53"/>
        <v>5.1400965992221677</v>
      </c>
      <c r="AE159" s="161">
        <f t="shared" si="54"/>
        <v>1482.7388636556486</v>
      </c>
      <c r="AF159">
        <f t="shared" si="55"/>
        <v>0.05</v>
      </c>
      <c r="AG159" s="165">
        <f t="shared" si="56"/>
        <v>74.136943182782431</v>
      </c>
      <c r="AH159" s="165">
        <f t="shared" si="57"/>
        <v>0.36770857199999996</v>
      </c>
    </row>
    <row r="160" spans="1:34">
      <c r="A160" t="str">
        <f>'Price Deck'!A154</f>
        <v>08/2031</v>
      </c>
      <c r="B160" s="39">
        <f>'Liquids Type Curve'!A167</f>
        <v>12.088557465453338</v>
      </c>
      <c r="C160" s="39">
        <f>'Liquids Type Curve'!B167</f>
        <v>145.06268958544007</v>
      </c>
      <c r="D160" s="39">
        <f>'Liquids Type Curve'!C167</f>
        <v>6.5859607658354369</v>
      </c>
      <c r="E160" s="39">
        <f>'Liquids Type Curve'!D167</f>
        <v>200.32297329416122</v>
      </c>
      <c r="F160" s="39">
        <f>'Liquids Type Curve'!E167</f>
        <v>106738.54510550831</v>
      </c>
      <c r="H160" s="39">
        <f t="shared" si="58"/>
        <v>12.088557465453338</v>
      </c>
      <c r="I160" s="39">
        <f t="shared" si="59"/>
        <v>145.06268958544007</v>
      </c>
      <c r="J160" s="39">
        <f t="shared" si="42"/>
        <v>2.8978227369675924</v>
      </c>
      <c r="K160" s="39">
        <f t="shared" si="60"/>
        <v>88.142108249430933</v>
      </c>
      <c r="L160" s="39">
        <f t="shared" si="61"/>
        <v>47905.496078307733</v>
      </c>
      <c r="N160">
        <f t="shared" si="43"/>
        <v>14.013499356009879</v>
      </c>
      <c r="O160">
        <f t="shared" si="44"/>
        <v>3750.0410266465215</v>
      </c>
      <c r="P160">
        <f t="shared" si="49"/>
        <v>3.7500410266465214</v>
      </c>
      <c r="Q160" s="161">
        <f t="shared" si="50"/>
        <v>5.1400965992221677</v>
      </c>
      <c r="S160" s="157">
        <f t="shared" si="51"/>
        <v>0.21440579595333004</v>
      </c>
      <c r="T160" s="157">
        <v>0.05</v>
      </c>
      <c r="U160" s="157">
        <f t="shared" si="45"/>
        <v>0.21440579595333004</v>
      </c>
      <c r="V160" s="157">
        <f t="shared" si="46"/>
        <v>0.17695410546694212</v>
      </c>
      <c r="W160" s="157">
        <f t="shared" si="47"/>
        <v>0.20915717348249876</v>
      </c>
      <c r="Y160" s="157">
        <f t="shared" si="48"/>
        <v>-0.16872195474514462</v>
      </c>
      <c r="Z160" s="157">
        <f t="shared" si="52"/>
        <v>0.05</v>
      </c>
      <c r="AB160" s="2">
        <f>'Price Deck'!P154/'Price Deck'!M154</f>
        <v>16.714025999999997</v>
      </c>
      <c r="AC160" s="161">
        <f t="shared" si="53"/>
        <v>5.1400965992221677</v>
      </c>
      <c r="AE160" s="161">
        <f t="shared" si="54"/>
        <v>1473.2094889758027</v>
      </c>
      <c r="AF160">
        <f t="shared" si="55"/>
        <v>0.05</v>
      </c>
      <c r="AG160" s="165">
        <f t="shared" si="56"/>
        <v>73.66047444879014</v>
      </c>
      <c r="AH160" s="165">
        <f t="shared" si="57"/>
        <v>0.3677085719999999</v>
      </c>
    </row>
    <row r="161" spans="1:34">
      <c r="A161" t="str">
        <f>'Price Deck'!A155</f>
        <v>09/2031</v>
      </c>
      <c r="B161" s="39">
        <f>'Liquids Type Curve'!A168</f>
        <v>12.171890798786672</v>
      </c>
      <c r="C161" s="39">
        <f>'Liquids Type Curve'!B168</f>
        <v>146.06268958544007</v>
      </c>
      <c r="D161" s="39">
        <f>'Liquids Type Curve'!C168</f>
        <v>6.5439234861733562</v>
      </c>
      <c r="E161" s="39">
        <f>'Liquids Type Curve'!D168</f>
        <v>199.04433937110625</v>
      </c>
      <c r="F161" s="39">
        <f>'Liquids Type Curve'!E168</f>
        <v>106937.58944487941</v>
      </c>
      <c r="H161" s="39">
        <f t="shared" si="58"/>
        <v>12.171890798786672</v>
      </c>
      <c r="I161" s="39">
        <f t="shared" si="59"/>
        <v>146.06268958544007</v>
      </c>
      <c r="J161" s="39">
        <f t="shared" si="42"/>
        <v>2.8793263339162767</v>
      </c>
      <c r="K161" s="39">
        <f t="shared" si="60"/>
        <v>87.579509323286757</v>
      </c>
      <c r="L161" s="39">
        <f t="shared" si="61"/>
        <v>47993.075587631021</v>
      </c>
      <c r="N161">
        <f t="shared" si="43"/>
        <v>13.924053121448496</v>
      </c>
      <c r="O161">
        <f t="shared" si="44"/>
        <v>3726.1050317345598</v>
      </c>
      <c r="P161">
        <f t="shared" si="49"/>
        <v>3.7261050317345599</v>
      </c>
      <c r="Q161" s="161">
        <f t="shared" si="50"/>
        <v>5.1400965992221677</v>
      </c>
      <c r="S161" s="157">
        <f t="shared" si="51"/>
        <v>0.21440579595333004</v>
      </c>
      <c r="T161" s="157">
        <v>0.05</v>
      </c>
      <c r="U161" s="157">
        <f t="shared" si="45"/>
        <v>0.21440579595333004</v>
      </c>
      <c r="V161" s="157">
        <f t="shared" si="46"/>
        <v>0.17695410546694212</v>
      </c>
      <c r="W161" s="157">
        <f t="shared" si="47"/>
        <v>0.20915717348249876</v>
      </c>
      <c r="Y161" s="157">
        <f t="shared" si="48"/>
        <v>-0.16873377194583267</v>
      </c>
      <c r="Z161" s="157">
        <f t="shared" si="52"/>
        <v>0.05</v>
      </c>
      <c r="AB161" s="2">
        <f>'Price Deck'!P155/'Price Deck'!M155</f>
        <v>16.714025999999997</v>
      </c>
      <c r="AC161" s="161">
        <f t="shared" si="53"/>
        <v>5.1400965992221677</v>
      </c>
      <c r="AE161" s="161">
        <f t="shared" si="54"/>
        <v>1463.8061958966571</v>
      </c>
      <c r="AF161">
        <f t="shared" si="55"/>
        <v>0.05</v>
      </c>
      <c r="AG161" s="165">
        <f t="shared" si="56"/>
        <v>73.190309794832856</v>
      </c>
      <c r="AH161" s="165">
        <f t="shared" si="57"/>
        <v>0.36770857200000001</v>
      </c>
    </row>
    <row r="162" spans="1:34">
      <c r="A162" t="str">
        <f>'Price Deck'!A156</f>
        <v>10/2031</v>
      </c>
      <c r="B162" s="39">
        <f>'Liquids Type Curve'!A169</f>
        <v>12.255224132120006</v>
      </c>
      <c r="C162" s="39">
        <f>'Liquids Type Curve'!B169</f>
        <v>147.06268958544007</v>
      </c>
      <c r="D162" s="39">
        <f>'Liquids Type Curve'!C169</f>
        <v>6.5024386120348048</v>
      </c>
      <c r="E162" s="39">
        <f>'Liquids Type Curve'!D169</f>
        <v>197.78250778272533</v>
      </c>
      <c r="F162" s="39">
        <f>'Liquids Type Curve'!E169</f>
        <v>107135.37195266214</v>
      </c>
      <c r="H162" s="39">
        <f t="shared" si="58"/>
        <v>12.255224132120006</v>
      </c>
      <c r="I162" s="39">
        <f t="shared" si="59"/>
        <v>147.06268958544007</v>
      </c>
      <c r="J162" s="39">
        <f t="shared" si="42"/>
        <v>2.8610729892953142</v>
      </c>
      <c r="K162" s="39">
        <f t="shared" si="60"/>
        <v>87.024303424399136</v>
      </c>
      <c r="L162" s="39">
        <f t="shared" si="61"/>
        <v>48080.099891055419</v>
      </c>
      <c r="N162">
        <f t="shared" si="43"/>
        <v>13.835782286304674</v>
      </c>
      <c r="O162">
        <f t="shared" si="44"/>
        <v>3702.4835761055115</v>
      </c>
      <c r="P162">
        <f t="shared" si="49"/>
        <v>3.7024835761055113</v>
      </c>
      <c r="Q162" s="161">
        <f t="shared" si="50"/>
        <v>5.1400965992221677</v>
      </c>
      <c r="S162" s="157">
        <f t="shared" si="51"/>
        <v>0.21440579595333004</v>
      </c>
      <c r="T162" s="157">
        <v>0.05</v>
      </c>
      <c r="U162" s="157">
        <f t="shared" si="45"/>
        <v>0.21440579595333004</v>
      </c>
      <c r="V162" s="157">
        <f t="shared" si="46"/>
        <v>0.17695410546694212</v>
      </c>
      <c r="W162" s="157">
        <f t="shared" si="47"/>
        <v>0.20915717348249876</v>
      </c>
      <c r="Y162" s="157">
        <f t="shared" si="48"/>
        <v>-0.16874543385847671</v>
      </c>
      <c r="Z162" s="157">
        <f t="shared" si="52"/>
        <v>0.05</v>
      </c>
      <c r="AB162" s="2">
        <f>'Price Deck'!P156/'Price Deck'!M156</f>
        <v>16.714025999999997</v>
      </c>
      <c r="AC162" s="161">
        <f t="shared" si="53"/>
        <v>5.1400965992221677</v>
      </c>
      <c r="AE162" s="161">
        <f t="shared" si="54"/>
        <v>1454.526470067296</v>
      </c>
      <c r="AF162">
        <f t="shared" si="55"/>
        <v>0.05</v>
      </c>
      <c r="AG162" s="165">
        <f t="shared" si="56"/>
        <v>72.72632350336481</v>
      </c>
      <c r="AH162" s="165">
        <f t="shared" si="57"/>
        <v>0.36770857199999996</v>
      </c>
    </row>
    <row r="163" spans="1:34">
      <c r="A163" t="str">
        <f>'Price Deck'!A157</f>
        <v>11/2031</v>
      </c>
      <c r="B163" s="39">
        <f>'Liquids Type Curve'!A170</f>
        <v>12.33855746545334</v>
      </c>
      <c r="C163" s="39">
        <f>'Liquids Type Curve'!B170</f>
        <v>148.06268958544007</v>
      </c>
      <c r="D163" s="39">
        <f>'Liquids Type Curve'!C170</f>
        <v>6.4614952016297913</v>
      </c>
      <c r="E163" s="39">
        <f>'Liquids Type Curve'!D170</f>
        <v>196.53714571623948</v>
      </c>
      <c r="F163" s="39">
        <f>'Liquids Type Curve'!E170</f>
        <v>107331.90909837838</v>
      </c>
      <c r="H163" s="39">
        <f t="shared" si="58"/>
        <v>12.33855746545334</v>
      </c>
      <c r="I163" s="39">
        <f t="shared" si="59"/>
        <v>148.06268958544007</v>
      </c>
      <c r="J163" s="39">
        <f t="shared" si="42"/>
        <v>2.8430578887171083</v>
      </c>
      <c r="K163" s="39">
        <f t="shared" si="60"/>
        <v>86.47634411514538</v>
      </c>
      <c r="L163" s="39">
        <f t="shared" si="61"/>
        <v>48166.576235170563</v>
      </c>
      <c r="N163">
        <f t="shared" si="43"/>
        <v>13.748663568817033</v>
      </c>
      <c r="O163">
        <f t="shared" si="44"/>
        <v>3679.1704295125178</v>
      </c>
      <c r="P163">
        <f t="shared" si="49"/>
        <v>3.6791704295125176</v>
      </c>
      <c r="Q163" s="161">
        <f t="shared" si="50"/>
        <v>5.1400965992221677</v>
      </c>
      <c r="S163" s="157">
        <f t="shared" si="51"/>
        <v>0.21440579595333004</v>
      </c>
      <c r="T163" s="157">
        <v>0.05</v>
      </c>
      <c r="U163" s="157">
        <f t="shared" si="45"/>
        <v>0.21440579595333004</v>
      </c>
      <c r="V163" s="157">
        <f t="shared" si="46"/>
        <v>0.17695410546694212</v>
      </c>
      <c r="W163" s="157">
        <f t="shared" si="47"/>
        <v>0.20915717348249876</v>
      </c>
      <c r="Y163" s="157">
        <f t="shared" si="48"/>
        <v>-0.16875694355894968</v>
      </c>
      <c r="Z163" s="157">
        <f t="shared" si="52"/>
        <v>0.05</v>
      </c>
      <c r="AB163" s="2">
        <f>'Price Deck'!P157/'Price Deck'!M157</f>
        <v>16.714025999999997</v>
      </c>
      <c r="AC163" s="161">
        <f t="shared" si="53"/>
        <v>5.1400965992221677</v>
      </c>
      <c r="AE163" s="161">
        <f t="shared" si="54"/>
        <v>1445.3678639254865</v>
      </c>
      <c r="AF163">
        <f t="shared" si="55"/>
        <v>0.05</v>
      </c>
      <c r="AG163" s="165">
        <f t="shared" si="56"/>
        <v>72.268393196274332</v>
      </c>
      <c r="AH163" s="165">
        <f t="shared" si="57"/>
        <v>0.36770857199999996</v>
      </c>
    </row>
    <row r="164" spans="1:34">
      <c r="A164" t="str">
        <f>'Price Deck'!A158</f>
        <v>12/2031</v>
      </c>
      <c r="B164" s="39">
        <f>'Liquids Type Curve'!A171</f>
        <v>12.421890798786674</v>
      </c>
      <c r="C164" s="39">
        <f>'Liquids Type Curve'!B171</f>
        <v>149.06268958544007</v>
      </c>
      <c r="D164" s="39">
        <f>'Liquids Type Curve'!C171</f>
        <v>6.4210826018647218</v>
      </c>
      <c r="E164" s="39">
        <f>'Liquids Type Curve'!D171</f>
        <v>195.30792914005195</v>
      </c>
      <c r="F164" s="39">
        <f>'Liquids Type Curve'!E171</f>
        <v>107527.21702751843</v>
      </c>
      <c r="H164" s="39">
        <f t="shared" si="58"/>
        <v>12.421890798786674</v>
      </c>
      <c r="I164" s="39">
        <f t="shared" si="59"/>
        <v>149.06268958544007</v>
      </c>
      <c r="J164" s="39">
        <f t="shared" si="42"/>
        <v>2.8252763448204776</v>
      </c>
      <c r="K164" s="39">
        <f t="shared" si="60"/>
        <v>85.935488821622869</v>
      </c>
      <c r="L164" s="39">
        <f t="shared" si="61"/>
        <v>48252.511723992189</v>
      </c>
      <c r="N164">
        <f t="shared" si="43"/>
        <v>13.662674301507659</v>
      </c>
      <c r="O164">
        <f t="shared" si="44"/>
        <v>3656.1595260922286</v>
      </c>
      <c r="P164">
        <f t="shared" si="49"/>
        <v>3.6561595260922286</v>
      </c>
      <c r="Q164" s="161">
        <f t="shared" si="50"/>
        <v>5.1400965992221677</v>
      </c>
      <c r="S164" s="157">
        <f t="shared" si="51"/>
        <v>0.21440579595333004</v>
      </c>
      <c r="T164" s="157">
        <v>0.05</v>
      </c>
      <c r="U164" s="157">
        <f t="shared" si="45"/>
        <v>0.21440579595333004</v>
      </c>
      <c r="V164" s="157">
        <f t="shared" si="46"/>
        <v>0.17695410546694212</v>
      </c>
      <c r="W164" s="157">
        <f t="shared" si="47"/>
        <v>0.20915717348249876</v>
      </c>
      <c r="Y164" s="157">
        <f t="shared" si="48"/>
        <v>-0.16876830404196827</v>
      </c>
      <c r="Z164" s="157">
        <f t="shared" si="52"/>
        <v>0.05</v>
      </c>
      <c r="AB164" s="2">
        <f>'Price Deck'!P158/'Price Deck'!M158</f>
        <v>16.714025999999997</v>
      </c>
      <c r="AC164" s="161">
        <f t="shared" si="53"/>
        <v>5.1400965992221677</v>
      </c>
      <c r="AE164" s="161">
        <f t="shared" si="54"/>
        <v>1436.3279944873136</v>
      </c>
      <c r="AF164">
        <f t="shared" si="55"/>
        <v>0.05</v>
      </c>
      <c r="AG164" s="165">
        <f t="shared" si="56"/>
        <v>71.816399724365681</v>
      </c>
      <c r="AH164" s="165">
        <f t="shared" si="57"/>
        <v>0.36770857199999996</v>
      </c>
    </row>
    <row r="165" spans="1:34">
      <c r="A165" t="str">
        <f>'Price Deck'!A159</f>
        <v>01/2032</v>
      </c>
      <c r="B165" s="39">
        <f>'Liquids Type Curve'!A172</f>
        <v>12.505224132120007</v>
      </c>
      <c r="C165" s="39">
        <f>'Liquids Type Curve'!B172</f>
        <v>150.0626895854401</v>
      </c>
      <c r="D165" s="39">
        <f>'Liquids Type Curve'!C172</f>
        <v>6.3811904388517071</v>
      </c>
      <c r="E165" s="39">
        <f>'Liquids Type Curve'!D172</f>
        <v>194.09454251507276</v>
      </c>
      <c r="F165" s="39">
        <f>'Liquids Type Curve'!E172</f>
        <v>107721.3115700335</v>
      </c>
      <c r="H165" s="39">
        <f t="shared" si="58"/>
        <v>12.505224132120007</v>
      </c>
      <c r="I165" s="39">
        <f t="shared" si="59"/>
        <v>150.0626895854401</v>
      </c>
      <c r="J165" s="39">
        <f t="shared" si="42"/>
        <v>2.807723793094751</v>
      </c>
      <c r="K165" s="39">
        <f t="shared" si="60"/>
        <v>85.401598706632015</v>
      </c>
      <c r="L165" s="39">
        <f t="shared" si="61"/>
        <v>48337.91332269882</v>
      </c>
      <c r="N165">
        <f t="shared" si="43"/>
        <v>13.577792410987952</v>
      </c>
      <c r="O165">
        <f t="shared" si="44"/>
        <v>3633.4449589608071</v>
      </c>
      <c r="P165">
        <f t="shared" si="49"/>
        <v>3.6334449589608071</v>
      </c>
      <c r="Q165" s="161">
        <f t="shared" si="50"/>
        <v>5.1400965992221677</v>
      </c>
      <c r="S165" s="157">
        <f t="shared" si="51"/>
        <v>0.21440579595333004</v>
      </c>
      <c r="T165" s="157">
        <v>0.05</v>
      </c>
      <c r="U165" s="157">
        <f t="shared" si="45"/>
        <v>0.21440579595333004</v>
      </c>
      <c r="V165" s="157">
        <f t="shared" si="46"/>
        <v>0.17695410546694212</v>
      </c>
      <c r="W165" s="157">
        <f t="shared" si="47"/>
        <v>0.20915717348249876</v>
      </c>
      <c r="Y165" s="157">
        <f t="shared" si="48"/>
        <v>-0.16877951822376105</v>
      </c>
      <c r="Z165" s="157">
        <f t="shared" si="52"/>
        <v>0.05</v>
      </c>
      <c r="AB165" s="2">
        <f>'Price Deck'!P159/'Price Deck'!M159</f>
        <v>16.714025999999997</v>
      </c>
      <c r="AC165" s="161">
        <f t="shared" si="53"/>
        <v>5.1400965992221677</v>
      </c>
      <c r="AE165" s="161">
        <f t="shared" si="54"/>
        <v>1427.4045412242135</v>
      </c>
      <c r="AF165">
        <f t="shared" si="55"/>
        <v>0.05</v>
      </c>
      <c r="AG165" s="165">
        <f t="shared" si="56"/>
        <v>71.370227061210684</v>
      </c>
      <c r="AH165" s="165">
        <f t="shared" si="57"/>
        <v>0.36770857199999996</v>
      </c>
    </row>
    <row r="166" spans="1:34">
      <c r="A166" t="str">
        <f>'Price Deck'!A160</f>
        <v>02/2032</v>
      </c>
      <c r="B166" s="39">
        <f>'Liquids Type Curve'!A173</f>
        <v>12.588557465453341</v>
      </c>
      <c r="C166" s="39">
        <f>'Liquids Type Curve'!B173</f>
        <v>151.0626895854401</v>
      </c>
      <c r="D166" s="39">
        <f>'Liquids Type Curve'!C173</f>
        <v>6.3418086087906271</v>
      </c>
      <c r="E166" s="39">
        <f>'Liquids Type Curve'!D173</f>
        <v>192.89667851738159</v>
      </c>
      <c r="F166" s="39">
        <f>'Liquids Type Curve'!E173</f>
        <v>107914.20824855089</v>
      </c>
      <c r="H166" s="39">
        <f t="shared" si="58"/>
        <v>12.588557465453341</v>
      </c>
      <c r="I166" s="39">
        <f t="shared" si="59"/>
        <v>151.0626895854401</v>
      </c>
      <c r="J166" s="39">
        <f t="shared" si="42"/>
        <v>2.790395787867876</v>
      </c>
      <c r="K166" s="39">
        <f t="shared" si="60"/>
        <v>84.874538547647902</v>
      </c>
      <c r="L166" s="39">
        <f t="shared" si="61"/>
        <v>48422.78786124647</v>
      </c>
      <c r="N166">
        <f t="shared" si="43"/>
        <v>13.493996398557648</v>
      </c>
      <c r="O166">
        <f t="shared" si="44"/>
        <v>3611.0209750221875</v>
      </c>
      <c r="P166">
        <f t="shared" si="49"/>
        <v>3.6110209750221873</v>
      </c>
      <c r="Q166" s="161">
        <f t="shared" si="50"/>
        <v>5.1400965992221677</v>
      </c>
      <c r="S166" s="157">
        <f t="shared" si="51"/>
        <v>0.21440579595333004</v>
      </c>
      <c r="T166" s="157">
        <v>0.05</v>
      </c>
      <c r="U166" s="157">
        <f t="shared" si="45"/>
        <v>0.21440579595333004</v>
      </c>
      <c r="V166" s="157">
        <f t="shared" si="46"/>
        <v>0.17695410546694212</v>
      </c>
      <c r="W166" s="157">
        <f t="shared" si="47"/>
        <v>0.20915717348249876</v>
      </c>
      <c r="Y166" s="157">
        <f t="shared" si="48"/>
        <v>-0.16879058894463156</v>
      </c>
      <c r="Z166" s="157">
        <f t="shared" si="52"/>
        <v>0.05</v>
      </c>
      <c r="AB166" s="2">
        <f>'Price Deck'!P160/'Price Deck'!M160</f>
        <v>16.714025999999997</v>
      </c>
      <c r="AC166" s="161">
        <f t="shared" si="53"/>
        <v>5.1400965992221677</v>
      </c>
      <c r="AE166" s="161">
        <f t="shared" si="54"/>
        <v>1418.5952440233891</v>
      </c>
      <c r="AF166">
        <f t="shared" si="55"/>
        <v>0.05</v>
      </c>
      <c r="AG166" s="165">
        <f t="shared" si="56"/>
        <v>70.929762201169453</v>
      </c>
      <c r="AH166" s="165">
        <f t="shared" si="57"/>
        <v>0.36770857199999996</v>
      </c>
    </row>
    <row r="167" spans="1:34">
      <c r="A167" t="str">
        <f>'Price Deck'!A161</f>
        <v>03/2032</v>
      </c>
      <c r="B167" s="39">
        <f>'Liquids Type Curve'!A174</f>
        <v>12.671890798786675</v>
      </c>
      <c r="C167" s="39">
        <f>'Liquids Type Curve'!B174</f>
        <v>152.0626895854401</v>
      </c>
      <c r="D167" s="39">
        <f>'Liquids Type Curve'!C174</f>
        <v>6.3029272692070331</v>
      </c>
      <c r="E167" s="39">
        <f>'Liquids Type Curve'!D174</f>
        <v>191.71403777171392</v>
      </c>
      <c r="F167" s="39">
        <f>'Liquids Type Curve'!E174</f>
        <v>108105.9222863226</v>
      </c>
      <c r="H167" s="39">
        <f t="shared" si="58"/>
        <v>12.671890798786675</v>
      </c>
      <c r="I167" s="39">
        <f t="shared" si="59"/>
        <v>152.0626895854401</v>
      </c>
      <c r="J167" s="39">
        <f t="shared" si="42"/>
        <v>2.7732879984510945</v>
      </c>
      <c r="K167" s="39">
        <f t="shared" si="60"/>
        <v>84.354176619554124</v>
      </c>
      <c r="L167" s="39">
        <f t="shared" si="61"/>
        <v>48507.142037866026</v>
      </c>
      <c r="N167">
        <f t="shared" si="43"/>
        <v>13.411265321560959</v>
      </c>
      <c r="O167">
        <f t="shared" si="44"/>
        <v>3588.881969978941</v>
      </c>
      <c r="P167">
        <f t="shared" si="49"/>
        <v>3.5888819699789409</v>
      </c>
      <c r="Q167" s="161">
        <f t="shared" si="50"/>
        <v>5.1400965992221677</v>
      </c>
      <c r="S167" s="157">
        <f t="shared" si="51"/>
        <v>0.21440579595333004</v>
      </c>
      <c r="T167" s="157">
        <v>0.05</v>
      </c>
      <c r="U167" s="157">
        <f t="shared" si="45"/>
        <v>0.21440579595333004</v>
      </c>
      <c r="V167" s="157">
        <f t="shared" si="46"/>
        <v>0.17695410546694212</v>
      </c>
      <c r="W167" s="157">
        <f t="shared" si="47"/>
        <v>0.20915717348249876</v>
      </c>
      <c r="Y167" s="157">
        <f t="shared" si="48"/>
        <v>-0.1688015189714214</v>
      </c>
      <c r="Z167" s="157">
        <f t="shared" si="52"/>
        <v>0.05</v>
      </c>
      <c r="AB167" s="2">
        <f>'Price Deck'!P161/'Price Deck'!M161</f>
        <v>16.714025999999997</v>
      </c>
      <c r="AC167" s="161">
        <f t="shared" si="53"/>
        <v>5.1400965992221677</v>
      </c>
      <c r="AE167" s="161">
        <f t="shared" si="54"/>
        <v>1409.8979012278194</v>
      </c>
      <c r="AF167">
        <f t="shared" si="55"/>
        <v>0.05</v>
      </c>
      <c r="AG167" s="165">
        <f t="shared" si="56"/>
        <v>70.494895061390977</v>
      </c>
      <c r="AH167" s="165">
        <f t="shared" si="57"/>
        <v>0.36770857199999996</v>
      </c>
    </row>
    <row r="168" spans="1:34">
      <c r="A168" t="str">
        <f>'Price Deck'!A162</f>
        <v>04/2032</v>
      </c>
      <c r="B168" s="39">
        <f>'Liquids Type Curve'!A175</f>
        <v>12.755224132120009</v>
      </c>
      <c r="C168" s="39">
        <f>'Liquids Type Curve'!B175</f>
        <v>153.06268958544013</v>
      </c>
      <c r="D168" s="39">
        <f>'Liquids Type Curve'!C175</f>
        <v>6.2645368305296456</v>
      </c>
      <c r="E168" s="39">
        <f>'Liquids Type Curve'!D175</f>
        <v>190.54632859527672</v>
      </c>
      <c r="F168" s="39">
        <f>'Liquids Type Curve'!E175</f>
        <v>108296.46861491787</v>
      </c>
      <c r="H168" s="39">
        <f t="shared" si="58"/>
        <v>12.755224132120009</v>
      </c>
      <c r="I168" s="39">
        <f t="shared" si="59"/>
        <v>153.06268958544013</v>
      </c>
      <c r="J168" s="39">
        <f t="shared" si="42"/>
        <v>2.756396205433044</v>
      </c>
      <c r="K168" s="39">
        <f t="shared" si="60"/>
        <v>83.840384581921754</v>
      </c>
      <c r="L168" s="39">
        <f t="shared" si="61"/>
        <v>48590.982422447945</v>
      </c>
      <c r="N168">
        <f t="shared" si="43"/>
        <v>13.329578775465317</v>
      </c>
      <c r="O168">
        <f t="shared" si="44"/>
        <v>3567.0224835365098</v>
      </c>
      <c r="P168">
        <f t="shared" si="49"/>
        <v>3.5670224835365096</v>
      </c>
      <c r="Q168" s="161">
        <f t="shared" si="50"/>
        <v>5.1400965992221677</v>
      </c>
      <c r="S168" s="157">
        <f t="shared" si="51"/>
        <v>0.21440579595333004</v>
      </c>
      <c r="T168" s="157">
        <v>0.05</v>
      </c>
      <c r="U168" s="157">
        <f t="shared" si="45"/>
        <v>0.21440579595333004</v>
      </c>
      <c r="V168" s="157">
        <f t="shared" si="46"/>
        <v>0.17695410546694212</v>
      </c>
      <c r="W168" s="157">
        <f t="shared" si="47"/>
        <v>0.20915717348249876</v>
      </c>
      <c r="Y168" s="157">
        <f t="shared" si="48"/>
        <v>-0.16881231099987803</v>
      </c>
      <c r="Z168" s="157">
        <f t="shared" si="52"/>
        <v>0.05</v>
      </c>
      <c r="AB168" s="2">
        <f>'Price Deck'!P162/'Price Deck'!M162</f>
        <v>16.714025999999997</v>
      </c>
      <c r="AC168" s="161">
        <f t="shared" si="53"/>
        <v>5.1400965992221677</v>
      </c>
      <c r="AE168" s="161">
        <f t="shared" si="54"/>
        <v>1401.310367752239</v>
      </c>
      <c r="AF168">
        <f t="shared" si="55"/>
        <v>0.05</v>
      </c>
      <c r="AG168" s="165">
        <f t="shared" si="56"/>
        <v>70.065518387611959</v>
      </c>
      <c r="AH168" s="165">
        <f t="shared" si="57"/>
        <v>0.36770857199999996</v>
      </c>
    </row>
    <row r="169" spans="1:34">
      <c r="A169" t="str">
        <f>'Price Deck'!A163</f>
        <v>05/2032</v>
      </c>
      <c r="B169" s="39">
        <f>'Liquids Type Curve'!A176</f>
        <v>12.838557465453343</v>
      </c>
      <c r="C169" s="39">
        <f>'Liquids Type Curve'!B176</f>
        <v>154.06268958544013</v>
      </c>
      <c r="D169" s="39">
        <f>'Liquids Type Curve'!C176</f>
        <v>6.2266279479922417</v>
      </c>
      <c r="E169" s="39">
        <f>'Liquids Type Curve'!D176</f>
        <v>189.3932667514307</v>
      </c>
      <c r="F169" s="39">
        <f>'Liquids Type Curve'!E176</f>
        <v>108485.86188166931</v>
      </c>
      <c r="H169" s="39">
        <f t="shared" si="58"/>
        <v>12.838557465453343</v>
      </c>
      <c r="I169" s="39">
        <f t="shared" si="59"/>
        <v>154.06268958544013</v>
      </c>
      <c r="J169" s="39">
        <f t="shared" si="42"/>
        <v>2.7397162971165865</v>
      </c>
      <c r="K169" s="39">
        <f t="shared" si="60"/>
        <v>83.333037370629512</v>
      </c>
      <c r="L169" s="39">
        <f t="shared" si="61"/>
        <v>48674.315459818572</v>
      </c>
      <c r="N169">
        <f t="shared" si="43"/>
        <v>13.248916876630339</v>
      </c>
      <c r="O169">
        <f t="shared" si="44"/>
        <v>3545.43719479215</v>
      </c>
      <c r="P169">
        <f t="shared" si="49"/>
        <v>3.5454371947921501</v>
      </c>
      <c r="Q169" s="161">
        <f t="shared" si="50"/>
        <v>5.1400965992221677</v>
      </c>
      <c r="S169" s="157">
        <f t="shared" si="51"/>
        <v>0.21440579595333004</v>
      </c>
      <c r="T169" s="157">
        <v>0.05</v>
      </c>
      <c r="U169" s="157">
        <f t="shared" si="45"/>
        <v>0.21440579595333004</v>
      </c>
      <c r="V169" s="157">
        <f t="shared" si="46"/>
        <v>0.17695410546694212</v>
      </c>
      <c r="W169" s="157">
        <f t="shared" si="47"/>
        <v>0.20915717348249876</v>
      </c>
      <c r="Y169" s="157">
        <f t="shared" si="48"/>
        <v>-0.16882296765693111</v>
      </c>
      <c r="Z169" s="157">
        <f t="shared" si="52"/>
        <v>0.05</v>
      </c>
      <c r="AB169" s="2">
        <f>'Price Deck'!P163/'Price Deck'!M163</f>
        <v>16.714025999999997</v>
      </c>
      <c r="AC169" s="161">
        <f t="shared" si="53"/>
        <v>5.1400965992221677</v>
      </c>
      <c r="AE169" s="161">
        <f t="shared" si="54"/>
        <v>1392.8305532716731</v>
      </c>
      <c r="AF169">
        <f t="shared" si="55"/>
        <v>0.05</v>
      </c>
      <c r="AG169" s="165">
        <f t="shared" si="56"/>
        <v>69.641527663583659</v>
      </c>
      <c r="AH169" s="165">
        <f t="shared" si="57"/>
        <v>0.36770857200000001</v>
      </c>
    </row>
    <row r="170" spans="1:34">
      <c r="A170" t="str">
        <f>'Price Deck'!A164</f>
        <v>06/2032</v>
      </c>
      <c r="B170" s="39">
        <f>'Liquids Type Curve'!A177</f>
        <v>12.921890798786677</v>
      </c>
      <c r="C170" s="39">
        <f>'Liquids Type Curve'!B177</f>
        <v>155.06268958544013</v>
      </c>
      <c r="D170" s="39">
        <f>'Liquids Type Curve'!C177</f>
        <v>6.1891915138454578</v>
      </c>
      <c r="E170" s="39">
        <f>'Liquids Type Curve'!D177</f>
        <v>188.25457521279935</v>
      </c>
      <c r="F170" s="39">
        <f>'Liquids Type Curve'!E177</f>
        <v>108674.11645688211</v>
      </c>
      <c r="H170" s="39">
        <f t="shared" si="58"/>
        <v>12.921890798786677</v>
      </c>
      <c r="I170" s="39">
        <f t="shared" si="59"/>
        <v>155.06268958544013</v>
      </c>
      <c r="J170" s="39">
        <f t="shared" si="42"/>
        <v>2.7232442660920015</v>
      </c>
      <c r="K170" s="39">
        <f t="shared" si="60"/>
        <v>82.832013093631716</v>
      </c>
      <c r="L170" s="39">
        <f t="shared" si="61"/>
        <v>48757.147472912206</v>
      </c>
      <c r="N170">
        <f t="shared" si="43"/>
        <v>13.169260245736226</v>
      </c>
      <c r="O170">
        <f t="shared" si="44"/>
        <v>3524.1209178003323</v>
      </c>
      <c r="P170">
        <f t="shared" si="49"/>
        <v>3.5241209178003325</v>
      </c>
      <c r="Q170" s="161">
        <f t="shared" si="50"/>
        <v>5.1400965992221677</v>
      </c>
      <c r="S170" s="157">
        <f t="shared" si="51"/>
        <v>0.21440579595333004</v>
      </c>
      <c r="T170" s="157">
        <v>0.05</v>
      </c>
      <c r="U170" s="157">
        <f t="shared" si="45"/>
        <v>0.21440579595333004</v>
      </c>
      <c r="V170" s="157">
        <f t="shared" si="46"/>
        <v>0.17695410546694212</v>
      </c>
      <c r="W170" s="157">
        <f t="shared" si="47"/>
        <v>0.20915717348249876</v>
      </c>
      <c r="Y170" s="157">
        <f t="shared" si="48"/>
        <v>-0.16883349150288196</v>
      </c>
      <c r="Z170" s="157">
        <f t="shared" si="52"/>
        <v>0.05</v>
      </c>
      <c r="AB170" s="2">
        <f>'Price Deck'!P164/'Price Deck'!M164</f>
        <v>16.714025999999997</v>
      </c>
      <c r="AC170" s="161">
        <f t="shared" si="53"/>
        <v>5.1400965992221677</v>
      </c>
      <c r="AE170" s="161">
        <f t="shared" si="54"/>
        <v>1384.4564204793007</v>
      </c>
      <c r="AF170">
        <f t="shared" si="55"/>
        <v>0.05</v>
      </c>
      <c r="AG170" s="165">
        <f t="shared" si="56"/>
        <v>69.222821023965039</v>
      </c>
      <c r="AH170" s="165">
        <f t="shared" si="57"/>
        <v>0.36770857199999996</v>
      </c>
    </row>
    <row r="171" spans="1:34">
      <c r="A171" t="str">
        <f>'Price Deck'!A165</f>
        <v>07/2032</v>
      </c>
      <c r="B171" s="39">
        <f>'Liquids Type Curve'!A178</f>
        <v>13.005224132120011</v>
      </c>
      <c r="C171" s="39">
        <f>'Liquids Type Curve'!B178</f>
        <v>156.06268958544013</v>
      </c>
      <c r="D171" s="39">
        <f>'Liquids Type Curve'!C178</f>
        <v>6.1522186498646008</v>
      </c>
      <c r="E171" s="39">
        <f>'Liquids Type Curve'!D178</f>
        <v>187.12998393338162</v>
      </c>
      <c r="F171" s="39">
        <f>'Liquids Type Curve'!E178</f>
        <v>108861.24644081549</v>
      </c>
      <c r="H171" s="39">
        <f t="shared" si="58"/>
        <v>13.005224132120011</v>
      </c>
      <c r="I171" s="39">
        <f t="shared" si="59"/>
        <v>156.06268958544013</v>
      </c>
      <c r="J171" s="39">
        <f t="shared" si="42"/>
        <v>2.7069762059404243</v>
      </c>
      <c r="K171" s="39">
        <f t="shared" si="60"/>
        <v>82.337192930687905</v>
      </c>
      <c r="L171" s="39">
        <f t="shared" si="61"/>
        <v>48839.484665842894</v>
      </c>
      <c r="N171">
        <f t="shared" si="43"/>
        <v>13.090589991842014</v>
      </c>
      <c r="O171">
        <f t="shared" si="44"/>
        <v>3503.0685973067029</v>
      </c>
      <c r="P171">
        <f t="shared" si="49"/>
        <v>3.5030685973067031</v>
      </c>
      <c r="Q171" s="161">
        <f t="shared" si="50"/>
        <v>5.1400965992221677</v>
      </c>
      <c r="S171" s="157">
        <f t="shared" si="51"/>
        <v>0.21440579595333004</v>
      </c>
      <c r="T171" s="157">
        <v>0.05</v>
      </c>
      <c r="U171" s="157">
        <f t="shared" si="45"/>
        <v>0.21440579595333004</v>
      </c>
      <c r="V171" s="157">
        <f t="shared" si="46"/>
        <v>0.17695410546694212</v>
      </c>
      <c r="W171" s="157">
        <f t="shared" si="47"/>
        <v>0.20915717348249876</v>
      </c>
      <c r="Y171" s="157">
        <f t="shared" si="48"/>
        <v>-0.16884388503350969</v>
      </c>
      <c r="Z171" s="157">
        <f t="shared" si="52"/>
        <v>0.05</v>
      </c>
      <c r="AB171" s="2">
        <f>'Price Deck'!P165/'Price Deck'!M165</f>
        <v>16.714025999999997</v>
      </c>
      <c r="AC171" s="161">
        <f t="shared" si="53"/>
        <v>5.1400965992221677</v>
      </c>
      <c r="AE171" s="161">
        <f t="shared" si="54"/>
        <v>1376.1859834105337</v>
      </c>
      <c r="AF171">
        <f t="shared" si="55"/>
        <v>0.05</v>
      </c>
      <c r="AG171" s="165">
        <f t="shared" si="56"/>
        <v>68.809299170526685</v>
      </c>
      <c r="AH171" s="165">
        <f t="shared" si="57"/>
        <v>0.3677085719999999</v>
      </c>
    </row>
    <row r="172" spans="1:34">
      <c r="A172" t="str">
        <f>'Price Deck'!A166</f>
        <v>08/2032</v>
      </c>
      <c r="B172" s="39">
        <f>'Liquids Type Curve'!A179</f>
        <v>13.088557465453345</v>
      </c>
      <c r="C172" s="39">
        <f>'Liquids Type Curve'!B179</f>
        <v>157.06268958544013</v>
      </c>
      <c r="D172" s="39">
        <f>'Liquids Type Curve'!C179</f>
        <v>6.1157007001406072</v>
      </c>
      <c r="E172" s="39">
        <f>'Liquids Type Curve'!D179</f>
        <v>186.01922962927682</v>
      </c>
      <c r="F172" s="39">
        <f>'Liquids Type Curve'!E179</f>
        <v>109047.26567044477</v>
      </c>
      <c r="H172" s="39">
        <f t="shared" si="58"/>
        <v>13.088557465453345</v>
      </c>
      <c r="I172" s="39">
        <f t="shared" si="59"/>
        <v>157.06268958544013</v>
      </c>
      <c r="J172" s="39">
        <f t="shared" si="42"/>
        <v>2.690908308061867</v>
      </c>
      <c r="K172" s="39">
        <f t="shared" si="60"/>
        <v>81.848461036881787</v>
      </c>
      <c r="L172" s="39">
        <f t="shared" si="61"/>
        <v>48921.333126879777</v>
      </c>
      <c r="N172">
        <f t="shared" si="43"/>
        <v>13.012887697046295</v>
      </c>
      <c r="O172">
        <f t="shared" si="44"/>
        <v>3482.2753046432567</v>
      </c>
      <c r="P172">
        <f t="shared" si="49"/>
        <v>3.4822753046432569</v>
      </c>
      <c r="Q172" s="161">
        <f t="shared" si="50"/>
        <v>5.1400965992221677</v>
      </c>
      <c r="S172" s="157">
        <f t="shared" si="51"/>
        <v>0.21440579595333004</v>
      </c>
      <c r="T172" s="157">
        <v>0.05</v>
      </c>
      <c r="U172" s="157">
        <f t="shared" si="45"/>
        <v>0.21440579595333004</v>
      </c>
      <c r="V172" s="157">
        <f t="shared" si="46"/>
        <v>0.17695410546694212</v>
      </c>
      <c r="W172" s="157">
        <f t="shared" si="47"/>
        <v>0.20915717348249876</v>
      </c>
      <c r="Y172" s="157">
        <f t="shared" si="48"/>
        <v>-0.16885415068209761</v>
      </c>
      <c r="Z172" s="157">
        <f t="shared" si="52"/>
        <v>0.05</v>
      </c>
      <c r="AB172" s="2">
        <f>'Price Deck'!P166/'Price Deck'!M166</f>
        <v>16.714025999999997</v>
      </c>
      <c r="AC172" s="161">
        <f t="shared" si="53"/>
        <v>5.1400965992221677</v>
      </c>
      <c r="AE172" s="161">
        <f t="shared" si="54"/>
        <v>1368.017305830429</v>
      </c>
      <c r="AF172">
        <f t="shared" si="55"/>
        <v>0.05</v>
      </c>
      <c r="AG172" s="165">
        <f t="shared" si="56"/>
        <v>68.400865291521455</v>
      </c>
      <c r="AH172" s="165">
        <f t="shared" si="57"/>
        <v>0.3677085719999999</v>
      </c>
    </row>
    <row r="173" spans="1:34">
      <c r="A173" t="str">
        <f>'Price Deck'!A167</f>
        <v>09/2032</v>
      </c>
      <c r="B173" s="39">
        <f>'Liquids Type Curve'!A180</f>
        <v>13.171890798786679</v>
      </c>
      <c r="C173" s="39">
        <f>'Liquids Type Curve'!B180</f>
        <v>158.06268958544015</v>
      </c>
      <c r="D173" s="39">
        <f>'Liquids Type Curve'!C180</f>
        <v>6.0796292241415051</v>
      </c>
      <c r="E173" s="39">
        <f>'Liquids Type Curve'!D180</f>
        <v>184.92205556763744</v>
      </c>
      <c r="F173" s="39">
        <f>'Liquids Type Curve'!E180</f>
        <v>109232.18772601242</v>
      </c>
      <c r="H173" s="39">
        <f t="shared" si="58"/>
        <v>13.171890798786679</v>
      </c>
      <c r="I173" s="39">
        <f t="shared" si="59"/>
        <v>158.06268958544015</v>
      </c>
      <c r="J173" s="39">
        <f t="shared" si="42"/>
        <v>2.6750368586222621</v>
      </c>
      <c r="K173" s="39">
        <f t="shared" si="60"/>
        <v>81.365704449760472</v>
      </c>
      <c r="L173" s="39">
        <f t="shared" si="61"/>
        <v>49002.698831329537</v>
      </c>
      <c r="N173">
        <f t="shared" si="43"/>
        <v>12.936135401723501</v>
      </c>
      <c r="O173">
        <f t="shared" si="44"/>
        <v>3461.7362337775394</v>
      </c>
      <c r="P173">
        <f t="shared" si="49"/>
        <v>3.4617362337775393</v>
      </c>
      <c r="Q173" s="161">
        <f t="shared" si="50"/>
        <v>5.1400965992221677</v>
      </c>
      <c r="S173" s="157">
        <f t="shared" si="51"/>
        <v>0.21440579595333004</v>
      </c>
      <c r="T173" s="157">
        <v>0.05</v>
      </c>
      <c r="U173" s="157">
        <f t="shared" si="45"/>
        <v>0.21440579595333004</v>
      </c>
      <c r="V173" s="157">
        <f t="shared" si="46"/>
        <v>0.17695410546694212</v>
      </c>
      <c r="W173" s="157">
        <f t="shared" si="47"/>
        <v>0.20915717348249876</v>
      </c>
      <c r="Y173" s="157">
        <f t="shared" si="48"/>
        <v>-0.16886429082138404</v>
      </c>
      <c r="Z173" s="157">
        <f t="shared" si="52"/>
        <v>0.05</v>
      </c>
      <c r="AB173" s="2">
        <f>'Price Deck'!P167/'Price Deck'!M167</f>
        <v>16.714025999999997</v>
      </c>
      <c r="AC173" s="161">
        <f t="shared" si="53"/>
        <v>5.1400965992221677</v>
      </c>
      <c r="AE173" s="161">
        <f t="shared" si="54"/>
        <v>1359.948499681612</v>
      </c>
      <c r="AF173">
        <f t="shared" si="55"/>
        <v>0.05</v>
      </c>
      <c r="AG173" s="165">
        <f t="shared" si="56"/>
        <v>67.99742498408061</v>
      </c>
      <c r="AH173" s="165">
        <f t="shared" si="57"/>
        <v>0.36770857199999996</v>
      </c>
    </row>
    <row r="174" spans="1:34">
      <c r="A174" t="str">
        <f>'Price Deck'!A168</f>
        <v>10/2032</v>
      </c>
      <c r="B174" s="39">
        <f>'Liquids Type Curve'!A181</f>
        <v>13.255224132120013</v>
      </c>
      <c r="C174" s="39">
        <f>'Liquids Type Curve'!B181</f>
        <v>159.06268958544015</v>
      </c>
      <c r="D174" s="39">
        <f>'Liquids Type Curve'!C181</f>
        <v>6.0439959900327933</v>
      </c>
      <c r="E174" s="39">
        <f>'Liquids Type Curve'!D181</f>
        <v>183.83821136349746</v>
      </c>
      <c r="F174" s="39">
        <f>'Liquids Type Curve'!E181</f>
        <v>109416.02593737592</v>
      </c>
      <c r="H174" s="39">
        <f t="shared" si="58"/>
        <v>13.255224132120013</v>
      </c>
      <c r="I174" s="39">
        <f t="shared" si="59"/>
        <v>159.06268958544015</v>
      </c>
      <c r="J174" s="39">
        <f t="shared" si="42"/>
        <v>2.659358235614429</v>
      </c>
      <c r="K174" s="39">
        <f t="shared" si="60"/>
        <v>80.888812999938878</v>
      </c>
      <c r="L174" s="39">
        <f t="shared" si="61"/>
        <v>49083.587644329476</v>
      </c>
      <c r="N174">
        <f t="shared" si="43"/>
        <v>12.860315590311119</v>
      </c>
      <c r="O174">
        <f t="shared" si="44"/>
        <v>3441.4466975092769</v>
      </c>
      <c r="P174">
        <f t="shared" si="49"/>
        <v>3.441446697509277</v>
      </c>
      <c r="Q174" s="161">
        <f t="shared" si="50"/>
        <v>5.1400965992221677</v>
      </c>
      <c r="S174" s="157">
        <f t="shared" si="51"/>
        <v>0.21440579595333004</v>
      </c>
      <c r="T174" s="157">
        <v>0.05</v>
      </c>
      <c r="U174" s="157">
        <f t="shared" si="45"/>
        <v>0.21440579595333004</v>
      </c>
      <c r="V174" s="157">
        <f t="shared" si="46"/>
        <v>0.17695410546694212</v>
      </c>
      <c r="W174" s="157">
        <f t="shared" si="47"/>
        <v>0.20915717348249876</v>
      </c>
      <c r="Y174" s="157">
        <f t="shared" si="48"/>
        <v>-0.16887430776543969</v>
      </c>
      <c r="Z174" s="157">
        <f t="shared" si="52"/>
        <v>0.05</v>
      </c>
      <c r="AB174" s="2">
        <f>'Price Deck'!P168/'Price Deck'!M168</f>
        <v>16.714025999999997</v>
      </c>
      <c r="AC174" s="161">
        <f t="shared" si="53"/>
        <v>5.1400965992221677</v>
      </c>
      <c r="AE174" s="161">
        <f t="shared" si="54"/>
        <v>1351.9777235901161</v>
      </c>
      <c r="AF174">
        <f t="shared" si="55"/>
        <v>0.05</v>
      </c>
      <c r="AG174" s="165">
        <f t="shared" si="56"/>
        <v>67.598886179505811</v>
      </c>
      <c r="AH174" s="165">
        <f t="shared" si="57"/>
        <v>0.3677085719999999</v>
      </c>
    </row>
    <row r="175" spans="1:34">
      <c r="A175" t="str">
        <f>'Price Deck'!A169</f>
        <v>11/2032</v>
      </c>
      <c r="B175" s="39">
        <f>'Liquids Type Curve'!A182</f>
        <v>13.338557465453347</v>
      </c>
      <c r="C175" s="39">
        <f>'Liquids Type Curve'!B182</f>
        <v>160.06268958544015</v>
      </c>
      <c r="D175" s="39">
        <f>'Liquids Type Curve'!C182</f>
        <v>6.0087929682453582</v>
      </c>
      <c r="E175" s="39">
        <f>'Liquids Type Curve'!D182</f>
        <v>182.76745278412966</v>
      </c>
      <c r="F175" s="39">
        <f>'Liquids Type Curve'!E182</f>
        <v>109598.79339016005</v>
      </c>
      <c r="H175" s="39">
        <f t="shared" si="58"/>
        <v>13.338557465453347</v>
      </c>
      <c r="I175" s="39">
        <f t="shared" si="59"/>
        <v>160.06268958544015</v>
      </c>
      <c r="J175" s="39">
        <f t="shared" si="42"/>
        <v>2.6438689060279574</v>
      </c>
      <c r="K175" s="39">
        <f t="shared" si="60"/>
        <v>80.417679225017039</v>
      </c>
      <c r="L175" s="39">
        <f t="shared" si="61"/>
        <v>49164.005323554491</v>
      </c>
      <c r="N175">
        <f t="shared" si="43"/>
        <v>12.785411177623619</v>
      </c>
      <c r="O175">
        <f t="shared" si="44"/>
        <v>3421.4021238079536</v>
      </c>
      <c r="P175">
        <f t="shared" si="49"/>
        <v>3.4214021238079537</v>
      </c>
      <c r="Q175" s="161">
        <f t="shared" si="50"/>
        <v>5.1400965992221677</v>
      </c>
      <c r="S175" s="157">
        <f t="shared" si="51"/>
        <v>0.21440579595333004</v>
      </c>
      <c r="T175" s="157">
        <v>0.05</v>
      </c>
      <c r="U175" s="157">
        <f t="shared" si="45"/>
        <v>0.21440579595333004</v>
      </c>
      <c r="V175" s="157">
        <f t="shared" si="46"/>
        <v>0.17695410546694212</v>
      </c>
      <c r="W175" s="157">
        <f t="shared" si="47"/>
        <v>0.20915717348249876</v>
      </c>
      <c r="Y175" s="157">
        <f t="shared" si="48"/>
        <v>-0.168884203771476</v>
      </c>
      <c r="Z175" s="157">
        <f t="shared" si="52"/>
        <v>0.05</v>
      </c>
      <c r="AB175" s="2">
        <f>'Price Deck'!P169/'Price Deck'!M169</f>
        <v>16.714025999999997</v>
      </c>
      <c r="AC175" s="161">
        <f t="shared" si="53"/>
        <v>5.1400965992221677</v>
      </c>
      <c r="AE175" s="161">
        <f t="shared" si="54"/>
        <v>1344.1031814265943</v>
      </c>
      <c r="AF175">
        <f t="shared" si="55"/>
        <v>0.05</v>
      </c>
      <c r="AG175" s="165">
        <f t="shared" si="56"/>
        <v>67.205159071329717</v>
      </c>
      <c r="AH175" s="165">
        <f t="shared" si="57"/>
        <v>0.36770857199999984</v>
      </c>
    </row>
    <row r="176" spans="1:34">
      <c r="A176" t="str">
        <f>'Price Deck'!A170</f>
        <v>01/2032</v>
      </c>
      <c r="B176" s="39">
        <f>'Liquids Type Curve'!A183</f>
        <v>13.421890798786681</v>
      </c>
      <c r="C176" s="39">
        <f>'Liquids Type Curve'!B183</f>
        <v>161.06268958544018</v>
      </c>
      <c r="D176" s="39">
        <f>'Liquids Type Curve'!C183</f>
        <v>5.9740123252803574</v>
      </c>
      <c r="E176" s="39">
        <f>'Liquids Type Curve'!D183</f>
        <v>181.70954156061089</v>
      </c>
      <c r="F176" s="39">
        <f>'Liquids Type Curve'!E183</f>
        <v>109780.50293172066</v>
      </c>
      <c r="H176" s="39">
        <f t="shared" si="58"/>
        <v>13.421890798786681</v>
      </c>
      <c r="I176" s="39">
        <f t="shared" si="59"/>
        <v>161.06268958544018</v>
      </c>
      <c r="J176" s="39">
        <f t="shared" si="42"/>
        <v>2.6285654231233573</v>
      </c>
      <c r="K176" s="39">
        <f t="shared" si="60"/>
        <v>79.952198286668789</v>
      </c>
      <c r="L176" s="39">
        <f t="shared" si="61"/>
        <v>49243.957521841163</v>
      </c>
      <c r="N176">
        <f t="shared" si="43"/>
        <v>12.711405495670576</v>
      </c>
      <c r="O176">
        <f t="shared" si="44"/>
        <v>3401.5980522853151</v>
      </c>
      <c r="P176">
        <f t="shared" si="49"/>
        <v>3.4015980522853151</v>
      </c>
      <c r="Q176" s="161">
        <f t="shared" si="50"/>
        <v>5.1400965992221677</v>
      </c>
      <c r="S176" s="157">
        <f t="shared" si="51"/>
        <v>0.21440579595333004</v>
      </c>
      <c r="T176" s="157">
        <v>0.05</v>
      </c>
      <c r="U176" s="157">
        <f t="shared" si="45"/>
        <v>0.21440579595333004</v>
      </c>
      <c r="V176" s="157">
        <f t="shared" si="46"/>
        <v>0.17695410546694212</v>
      </c>
      <c r="W176" s="157">
        <f t="shared" si="47"/>
        <v>0.20915717348249876</v>
      </c>
      <c r="Y176" s="157">
        <f t="shared" si="48"/>
        <v>-0.16889398104158676</v>
      </c>
      <c r="Z176" s="157">
        <f t="shared" si="52"/>
        <v>0.05</v>
      </c>
      <c r="AB176" s="2">
        <f>'Price Deck'!P170/'Price Deck'!M170</f>
        <v>16.714025999999997</v>
      </c>
      <c r="AC176" s="161">
        <f t="shared" si="53"/>
        <v>5.1400965992221677</v>
      </c>
      <c r="AE176" s="161">
        <f t="shared" si="54"/>
        <v>1336.3231209205373</v>
      </c>
      <c r="AF176">
        <f t="shared" si="55"/>
        <v>0.05</v>
      </c>
      <c r="AG176" s="165">
        <f t="shared" si="56"/>
        <v>66.816156046026876</v>
      </c>
      <c r="AH176" s="165">
        <f t="shared" si="57"/>
        <v>0.36770857199999996</v>
      </c>
    </row>
    <row r="177" spans="1:34">
      <c r="A177" t="str">
        <f>'Price Deck'!A171</f>
        <v>02/2032</v>
      </c>
      <c r="B177" s="39">
        <f>'Liquids Type Curve'!A184</f>
        <v>13.505224132120015</v>
      </c>
      <c r="C177" s="39">
        <f>'Liquids Type Curve'!B184</f>
        <v>162.06268958544018</v>
      </c>
      <c r="D177" s="39">
        <f>'Liquids Type Curve'!C184</f>
        <v>5.9396464177409607</v>
      </c>
      <c r="E177" s="39">
        <f>'Liquids Type Curve'!D184</f>
        <v>180.66424520628757</v>
      </c>
      <c r="F177" s="39">
        <f>'Liquids Type Curve'!E184</f>
        <v>109961.16717692695</v>
      </c>
      <c r="H177" s="39">
        <f t="shared" si="58"/>
        <v>13.505224132120015</v>
      </c>
      <c r="I177" s="39">
        <f t="shared" si="59"/>
        <v>162.06268958544018</v>
      </c>
      <c r="J177" s="39">
        <f t="shared" si="42"/>
        <v>2.6134444238060226</v>
      </c>
      <c r="K177" s="39">
        <f t="shared" si="60"/>
        <v>79.492267890766527</v>
      </c>
      <c r="L177" s="39">
        <f t="shared" si="61"/>
        <v>49323.449789731931</v>
      </c>
      <c r="N177">
        <f t="shared" si="43"/>
        <v>12.638282280957506</v>
      </c>
      <c r="O177">
        <f t="shared" si="44"/>
        <v>3382.0301307970476</v>
      </c>
      <c r="P177">
        <f t="shared" si="49"/>
        <v>3.3820301307970477</v>
      </c>
      <c r="Q177" s="161">
        <f t="shared" si="50"/>
        <v>5.2171980482104994</v>
      </c>
      <c r="S177" s="157">
        <f t="shared" si="51"/>
        <v>0.21903188289262998</v>
      </c>
      <c r="T177" s="157">
        <v>0.05</v>
      </c>
      <c r="U177" s="157">
        <f t="shared" si="45"/>
        <v>0.21903188289262998</v>
      </c>
      <c r="V177" s="157">
        <f t="shared" si="46"/>
        <v>0.18023091704894623</v>
      </c>
      <c r="W177" s="157">
        <f t="shared" si="47"/>
        <v>0.21089195608473621</v>
      </c>
      <c r="Y177" s="157">
        <f t="shared" si="48"/>
        <v>-0.16890364172442551</v>
      </c>
      <c r="Z177" s="157">
        <f t="shared" si="52"/>
        <v>5.0128241168204468E-2</v>
      </c>
      <c r="AB177" s="2">
        <f>'Price Deck'!P171/'Price Deck'!M171</f>
        <v>16.964736389999995</v>
      </c>
      <c r="AC177" s="161">
        <f t="shared" si="53"/>
        <v>5.2171980482104994</v>
      </c>
      <c r="AE177" s="161">
        <f t="shared" si="54"/>
        <v>1348.565369810115</v>
      </c>
      <c r="AF177">
        <f t="shared" si="55"/>
        <v>5.0128241168204468E-2</v>
      </c>
      <c r="AG177" s="165">
        <f t="shared" si="56"/>
        <v>67.601210088930287</v>
      </c>
      <c r="AH177" s="165">
        <f t="shared" si="57"/>
        <v>0.374181454729691</v>
      </c>
    </row>
    <row r="178" spans="1:34">
      <c r="A178" t="str">
        <f>'Price Deck'!A172</f>
        <v>03/2032</v>
      </c>
      <c r="B178" s="39">
        <f>'Liquids Type Curve'!A185</f>
        <v>13.588557465453349</v>
      </c>
      <c r="C178" s="39">
        <f>'Liquids Type Curve'!B185</f>
        <v>163.06268958544018</v>
      </c>
      <c r="D178" s="39">
        <f>'Liquids Type Curve'!C185</f>
        <v>5.905687786581165</v>
      </c>
      <c r="E178" s="39">
        <f>'Liquids Type Curve'!D185</f>
        <v>179.63133684184376</v>
      </c>
      <c r="F178" s="39">
        <f>'Liquids Type Curve'!E185</f>
        <v>110140.79851376879</v>
      </c>
      <c r="H178" s="39">
        <f t="shared" si="58"/>
        <v>13.588557465453349</v>
      </c>
      <c r="I178" s="39">
        <f t="shared" si="59"/>
        <v>163.06268958544018</v>
      </c>
      <c r="J178" s="39">
        <f t="shared" si="42"/>
        <v>2.5985026260957125</v>
      </c>
      <c r="K178" s="39">
        <f t="shared" si="60"/>
        <v>79.037788210411264</v>
      </c>
      <c r="L178" s="39">
        <f t="shared" si="61"/>
        <v>49402.487577942346</v>
      </c>
      <c r="N178">
        <f t="shared" si="43"/>
        <v>12.566025662248602</v>
      </c>
      <c r="O178">
        <f t="shared" si="44"/>
        <v>3362.6941121680575</v>
      </c>
      <c r="P178">
        <f t="shared" si="49"/>
        <v>3.3626941121680574</v>
      </c>
      <c r="Q178" s="161">
        <f t="shared" si="50"/>
        <v>5.2171980482104994</v>
      </c>
      <c r="S178" s="157">
        <f t="shared" si="51"/>
        <v>0.21903188289262998</v>
      </c>
      <c r="T178" s="157">
        <v>0.05</v>
      </c>
      <c r="U178" s="157">
        <f t="shared" si="45"/>
        <v>0.21903188289262998</v>
      </c>
      <c r="V178" s="157">
        <f t="shared" si="46"/>
        <v>0.18023091704894623</v>
      </c>
      <c r="W178" s="157">
        <f t="shared" si="47"/>
        <v>0.21089195608473621</v>
      </c>
      <c r="Y178" s="157">
        <f t="shared" si="48"/>
        <v>-0.16891318791682264</v>
      </c>
      <c r="Z178" s="157">
        <f t="shared" si="52"/>
        <v>5.0118694975807343E-2</v>
      </c>
      <c r="AB178" s="2">
        <f>'Price Deck'!P172/'Price Deck'!M172</f>
        <v>16.964736389999995</v>
      </c>
      <c r="AC178" s="161">
        <f t="shared" si="53"/>
        <v>5.2171980482104994</v>
      </c>
      <c r="AE178" s="161">
        <f t="shared" si="54"/>
        <v>1340.8552418382765</v>
      </c>
      <c r="AF178">
        <f t="shared" si="55"/>
        <v>5.0118694975807343E-2</v>
      </c>
      <c r="AG178" s="165">
        <f t="shared" si="56"/>
        <v>67.20191487240497</v>
      </c>
      <c r="AH178" s="165">
        <f t="shared" si="57"/>
        <v>0.37411019732917111</v>
      </c>
    </row>
    <row r="179" spans="1:34">
      <c r="A179" t="str">
        <f>'Price Deck'!A173</f>
        <v>04/2032</v>
      </c>
      <c r="B179" s="39">
        <f>'Liquids Type Curve'!A186</f>
        <v>13.671890798786682</v>
      </c>
      <c r="C179" s="39">
        <f>'Liquids Type Curve'!B186</f>
        <v>164.06268958544018</v>
      </c>
      <c r="D179" s="39">
        <f>'Liquids Type Curve'!C186</f>
        <v>5.8721291515626906</v>
      </c>
      <c r="E179" s="39">
        <f>'Liquids Type Curve'!D186</f>
        <v>178.61059502669852</v>
      </c>
      <c r="F179" s="39">
        <f>'Liquids Type Curve'!E186</f>
        <v>110319.40910879549</v>
      </c>
      <c r="H179" s="39">
        <f t="shared" si="58"/>
        <v>13.671890798786682</v>
      </c>
      <c r="I179" s="39">
        <f t="shared" si="59"/>
        <v>164.06268958544018</v>
      </c>
      <c r="J179" s="39">
        <f t="shared" si="42"/>
        <v>2.5837368266875838</v>
      </c>
      <c r="K179" s="39">
        <f t="shared" si="60"/>
        <v>78.588661811747343</v>
      </c>
      <c r="L179" s="39">
        <f t="shared" si="61"/>
        <v>49481.076239754089</v>
      </c>
      <c r="N179">
        <f t="shared" si="43"/>
        <v>12.494620148772194</v>
      </c>
      <c r="O179">
        <f t="shared" si="44"/>
        <v>3343.5858510362327</v>
      </c>
      <c r="P179">
        <f t="shared" si="49"/>
        <v>3.3435858510362326</v>
      </c>
      <c r="Q179" s="161">
        <f t="shared" si="50"/>
        <v>5.2171980482104994</v>
      </c>
      <c r="S179" s="157">
        <f t="shared" si="51"/>
        <v>0.21903188289262998</v>
      </c>
      <c r="T179" s="157">
        <v>0.05</v>
      </c>
      <c r="U179" s="157">
        <f t="shared" si="45"/>
        <v>0.21903188289262998</v>
      </c>
      <c r="V179" s="157">
        <f t="shared" si="46"/>
        <v>0.18023091704894623</v>
      </c>
      <c r="W179" s="157">
        <f t="shared" si="47"/>
        <v>0.21089195608473621</v>
      </c>
      <c r="Y179" s="157">
        <f t="shared" si="48"/>
        <v>-0.16892262166534344</v>
      </c>
      <c r="Z179" s="157">
        <f t="shared" si="52"/>
        <v>5.0109261227286539E-2</v>
      </c>
      <c r="AB179" s="2">
        <f>'Price Deck'!P173/'Price Deck'!M173</f>
        <v>16.964736389999995</v>
      </c>
      <c r="AC179" s="161">
        <f t="shared" si="53"/>
        <v>5.2171980482104994</v>
      </c>
      <c r="AE179" s="161">
        <f t="shared" si="54"/>
        <v>1333.2359308791531</v>
      </c>
      <c r="AF179">
        <f t="shared" si="55"/>
        <v>5.0109261227286539E-2</v>
      </c>
      <c r="AG179" s="165">
        <f t="shared" si="56"/>
        <v>66.807467538028021</v>
      </c>
      <c r="AH179" s="165">
        <f t="shared" si="57"/>
        <v>0.37403977926416804</v>
      </c>
    </row>
    <row r="180" spans="1:34">
      <c r="A180" t="str">
        <f>'Price Deck'!A174</f>
        <v>05/2032</v>
      </c>
      <c r="B180" s="39">
        <f>'Liquids Type Curve'!A187</f>
        <v>13.755224132120016</v>
      </c>
      <c r="C180" s="39">
        <f>'Liquids Type Curve'!B187</f>
        <v>165.06268958544018</v>
      </c>
      <c r="D180" s="39">
        <f>'Liquids Type Curve'!C187</f>
        <v>5.8389634059110893</v>
      </c>
      <c r="E180" s="39">
        <f>'Liquids Type Curve'!D187</f>
        <v>177.6018035964623</v>
      </c>
      <c r="F180" s="39">
        <f>'Liquids Type Curve'!E187</f>
        <v>110497.01091239195</v>
      </c>
      <c r="H180" s="39">
        <f t="shared" si="58"/>
        <v>13.755224132120016</v>
      </c>
      <c r="I180" s="39">
        <f t="shared" si="59"/>
        <v>165.06268958544018</v>
      </c>
      <c r="J180" s="39">
        <f t="shared" si="42"/>
        <v>2.5691438986008794</v>
      </c>
      <c r="K180" s="39">
        <f t="shared" si="60"/>
        <v>78.144793582443413</v>
      </c>
      <c r="L180" s="39">
        <f t="shared" si="61"/>
        <v>49559.221033336529</v>
      </c>
      <c r="N180">
        <f t="shared" si="43"/>
        <v>12.424050618850108</v>
      </c>
      <c r="O180">
        <f t="shared" si="44"/>
        <v>3324.7013008096342</v>
      </c>
      <c r="P180">
        <f t="shared" si="49"/>
        <v>3.3247013008096342</v>
      </c>
      <c r="Q180" s="161">
        <f t="shared" si="50"/>
        <v>5.2171980482104994</v>
      </c>
      <c r="S180" s="157">
        <f t="shared" si="51"/>
        <v>0.21903188289262998</v>
      </c>
      <c r="T180" s="157">
        <v>0.05</v>
      </c>
      <c r="U180" s="157">
        <f t="shared" si="45"/>
        <v>0.21903188289262998</v>
      </c>
      <c r="V180" s="157">
        <f t="shared" si="46"/>
        <v>0.18023091704894623</v>
      </c>
      <c r="W180" s="157">
        <f t="shared" si="47"/>
        <v>0.21089195608473621</v>
      </c>
      <c r="Y180" s="157">
        <f t="shared" si="48"/>
        <v>-0.16893194496779029</v>
      </c>
      <c r="Z180" s="157">
        <f t="shared" si="52"/>
        <v>5.0099937924839688E-2</v>
      </c>
      <c r="AB180" s="2">
        <f>'Price Deck'!P174/'Price Deck'!M174</f>
        <v>16.964736389999995</v>
      </c>
      <c r="AC180" s="161">
        <f t="shared" si="53"/>
        <v>5.2171980482104994</v>
      </c>
      <c r="AE180" s="161">
        <f t="shared" si="54"/>
        <v>1325.7058233771158</v>
      </c>
      <c r="AF180">
        <f t="shared" si="55"/>
        <v>5.0099937924839688E-2</v>
      </c>
      <c r="AG180" s="165">
        <f t="shared" si="56"/>
        <v>66.417779457791994</v>
      </c>
      <c r="AH180" s="165">
        <f t="shared" si="57"/>
        <v>0.37397018562211826</v>
      </c>
    </row>
    <row r="181" spans="1:34">
      <c r="A181" t="str">
        <f>'Price Deck'!A175</f>
        <v>06/2032</v>
      </c>
      <c r="B181" s="39">
        <f>'Liquids Type Curve'!A188</f>
        <v>13.83855746545335</v>
      </c>
      <c r="C181" s="39">
        <f>'Liquids Type Curve'!B188</f>
        <v>166.06268958544021</v>
      </c>
      <c r="D181" s="39">
        <f>'Liquids Type Curve'!C188</f>
        <v>5.8061836111627709</v>
      </c>
      <c r="E181" s="39">
        <f>'Liquids Type Curve'!D188</f>
        <v>176.60475150620096</v>
      </c>
      <c r="F181" s="39">
        <f>'Liquids Type Curve'!E188</f>
        <v>110673.61566389815</v>
      </c>
      <c r="H181" s="39">
        <f t="shared" si="58"/>
        <v>13.83855746545335</v>
      </c>
      <c r="I181" s="39">
        <f t="shared" si="59"/>
        <v>166.06268958544021</v>
      </c>
      <c r="J181" s="39">
        <f t="shared" si="42"/>
        <v>2.5547207889116192</v>
      </c>
      <c r="K181" s="39">
        <f t="shared" si="60"/>
        <v>77.706090662728428</v>
      </c>
      <c r="L181" s="39">
        <f t="shared" si="61"/>
        <v>49636.927123999259</v>
      </c>
      <c r="N181">
        <f t="shared" si="43"/>
        <v>12.354302308933262</v>
      </c>
      <c r="O181">
        <f t="shared" si="44"/>
        <v>3306.0365107323964</v>
      </c>
      <c r="P181">
        <f t="shared" si="49"/>
        <v>3.3060365107323966</v>
      </c>
      <c r="Q181" s="161">
        <f t="shared" si="50"/>
        <v>5.2171980482104994</v>
      </c>
      <c r="S181" s="157">
        <f t="shared" si="51"/>
        <v>0.21903188289262998</v>
      </c>
      <c r="T181" s="157">
        <v>0.05</v>
      </c>
      <c r="U181" s="157">
        <f t="shared" si="45"/>
        <v>0.21903188289262998</v>
      </c>
      <c r="V181" s="157">
        <f t="shared" si="46"/>
        <v>0.18023091704894623</v>
      </c>
      <c r="W181" s="157">
        <f t="shared" si="47"/>
        <v>0.21089195608473621</v>
      </c>
      <c r="Y181" s="157">
        <f t="shared" si="48"/>
        <v>-0.16894115977465143</v>
      </c>
      <c r="Z181" s="157">
        <f t="shared" si="52"/>
        <v>5.0090723117978547E-2</v>
      </c>
      <c r="AB181" s="2">
        <f>'Price Deck'!P175/'Price Deck'!M175</f>
        <v>16.964736389999995</v>
      </c>
      <c r="AC181" s="161">
        <f t="shared" si="53"/>
        <v>5.2171980482104994</v>
      </c>
      <c r="AE181" s="161">
        <f t="shared" si="54"/>
        <v>1318.2633439906278</v>
      </c>
      <c r="AF181">
        <f t="shared" si="55"/>
        <v>5.0090723117978547E-2</v>
      </c>
      <c r="AG181" s="165">
        <f t="shared" si="56"/>
        <v>66.032764160415041</v>
      </c>
      <c r="AH181" s="165">
        <f t="shared" si="57"/>
        <v>0.3739014018436333</v>
      </c>
    </row>
    <row r="182" spans="1:34">
      <c r="A182" t="str">
        <f>'Price Deck'!A176</f>
        <v>07/2032</v>
      </c>
      <c r="B182" s="39">
        <f>'Liquids Type Curve'!A189</f>
        <v>13.921890798786684</v>
      </c>
      <c r="C182" s="39">
        <f>'Liquids Type Curve'!B189</f>
        <v>167.06268958544021</v>
      </c>
      <c r="D182" s="39">
        <f>'Liquids Type Curve'!C189</f>
        <v>5.7737829921950734</v>
      </c>
      <c r="E182" s="39">
        <f>'Liquids Type Curve'!D189</f>
        <v>175.61923267926682</v>
      </c>
      <c r="F182" s="39">
        <f>'Liquids Type Curve'!E189</f>
        <v>110849.23489657741</v>
      </c>
      <c r="H182" s="39">
        <f t="shared" si="58"/>
        <v>13.921890798786684</v>
      </c>
      <c r="I182" s="39">
        <f t="shared" si="59"/>
        <v>167.06268958544021</v>
      </c>
      <c r="J182" s="39">
        <f t="shared" si="42"/>
        <v>2.5404645165658324</v>
      </c>
      <c r="K182" s="39">
        <f t="shared" si="60"/>
        <v>77.272462378877407</v>
      </c>
      <c r="L182" s="39">
        <f t="shared" si="61"/>
        <v>49714.199586378134</v>
      </c>
      <c r="N182">
        <f t="shared" si="43"/>
        <v>12.285360803026711</v>
      </c>
      <c r="O182">
        <f t="shared" si="44"/>
        <v>3287.5876230548524</v>
      </c>
      <c r="P182">
        <f t="shared" si="49"/>
        <v>3.2875876230548524</v>
      </c>
      <c r="Q182" s="161">
        <f t="shared" si="50"/>
        <v>5.2171980482104994</v>
      </c>
      <c r="S182" s="157">
        <f t="shared" si="51"/>
        <v>0.21903188289262998</v>
      </c>
      <c r="T182" s="157">
        <v>0.05</v>
      </c>
      <c r="U182" s="157">
        <f t="shared" si="45"/>
        <v>0.21903188289262998</v>
      </c>
      <c r="V182" s="157">
        <f t="shared" si="46"/>
        <v>0.18023091704894623</v>
      </c>
      <c r="W182" s="157">
        <f t="shared" si="47"/>
        <v>0.21089195608473621</v>
      </c>
      <c r="Y182" s="157">
        <f t="shared" si="48"/>
        <v>-0.16895026799049784</v>
      </c>
      <c r="Z182" s="157">
        <f t="shared" si="52"/>
        <v>5.0081614902132143E-2</v>
      </c>
      <c r="AB182" s="2">
        <f>'Price Deck'!P176/'Price Deck'!M176</f>
        <v>16.964736389999995</v>
      </c>
      <c r="AC182" s="161">
        <f t="shared" si="53"/>
        <v>5.2171980482104994</v>
      </c>
      <c r="AE182" s="161">
        <f t="shared" si="54"/>
        <v>1310.9069544638471</v>
      </c>
      <c r="AF182">
        <f t="shared" si="55"/>
        <v>5.0081614902132143E-2</v>
      </c>
      <c r="AG182" s="165">
        <f t="shared" si="56"/>
        <v>65.652337265985267</v>
      </c>
      <c r="AH182" s="165">
        <f t="shared" si="57"/>
        <v>0.37383341371207363</v>
      </c>
    </row>
    <row r="183" spans="1:34">
      <c r="A183" t="str">
        <f>'Price Deck'!A177</f>
        <v>08/2032</v>
      </c>
      <c r="B183" s="39">
        <f>'Liquids Type Curve'!A190</f>
        <v>14.005224132120018</v>
      </c>
      <c r="C183" s="39">
        <f>'Liquids Type Curve'!B190</f>
        <v>168.06268958544021</v>
      </c>
      <c r="D183" s="39">
        <f>'Liquids Type Curve'!C190</f>
        <v>5.7417549324317809</v>
      </c>
      <c r="E183" s="39">
        <f>'Liquids Type Curve'!D190</f>
        <v>174.64504586146668</v>
      </c>
      <c r="F183" s="39">
        <f>'Liquids Type Curve'!E190</f>
        <v>111023.87994243889</v>
      </c>
      <c r="H183" s="39">
        <f t="shared" si="58"/>
        <v>14.005224132120018</v>
      </c>
      <c r="I183" s="39">
        <f t="shared" si="59"/>
        <v>168.06268958544021</v>
      </c>
      <c r="J183" s="39">
        <f t="shared" si="42"/>
        <v>2.5263721702699837</v>
      </c>
      <c r="K183" s="39">
        <f t="shared" si="60"/>
        <v>76.843820179045338</v>
      </c>
      <c r="L183" s="39">
        <f t="shared" si="61"/>
        <v>49791.043406557183</v>
      </c>
      <c r="N183">
        <f t="shared" si="43"/>
        <v>12.21721202248805</v>
      </c>
      <c r="O183">
        <f t="shared" si="44"/>
        <v>3269.3508703035627</v>
      </c>
      <c r="P183">
        <f t="shared" si="49"/>
        <v>3.2693508703035628</v>
      </c>
      <c r="Q183" s="161">
        <f t="shared" si="50"/>
        <v>5.2171980482104994</v>
      </c>
      <c r="S183" s="157">
        <f t="shared" si="51"/>
        <v>0.21903188289262998</v>
      </c>
      <c r="T183" s="157">
        <v>0.05</v>
      </c>
      <c r="U183" s="157">
        <f t="shared" si="45"/>
        <v>0.21903188289262998</v>
      </c>
      <c r="V183" s="157">
        <f t="shared" si="46"/>
        <v>0.18023091704894623</v>
      </c>
      <c r="W183" s="157">
        <f t="shared" si="47"/>
        <v>0.21089195608473621</v>
      </c>
      <c r="Y183" s="157">
        <f t="shared" si="48"/>
        <v>-0.16895927147533113</v>
      </c>
      <c r="Z183" s="157">
        <f t="shared" si="52"/>
        <v>5.0072611417298851E-2</v>
      </c>
      <c r="AB183" s="2">
        <f>'Price Deck'!P177/'Price Deck'!M177</f>
        <v>16.964736389999995</v>
      </c>
      <c r="AC183" s="161">
        <f t="shared" si="53"/>
        <v>5.2171980482104994</v>
      </c>
      <c r="AE183" s="161">
        <f t="shared" si="54"/>
        <v>1303.6351525380664</v>
      </c>
      <c r="AF183">
        <f t="shared" si="55"/>
        <v>5.0072611417298851E-2</v>
      </c>
      <c r="AG183" s="165">
        <f t="shared" si="56"/>
        <v>65.276416422969717</v>
      </c>
      <c r="AH183" s="165">
        <f t="shared" si="57"/>
        <v>0.37376620734348681</v>
      </c>
    </row>
    <row r="184" spans="1:34">
      <c r="A184" t="str">
        <f>'Price Deck'!A178</f>
        <v>09/2032</v>
      </c>
      <c r="B184" s="39">
        <f>'Liquids Type Curve'!A191</f>
        <v>14.088557465453352</v>
      </c>
      <c r="C184" s="39">
        <f>'Liquids Type Curve'!B191</f>
        <v>169.06268958544024</v>
      </c>
      <c r="D184" s="39">
        <f>'Liquids Type Curve'!C191</f>
        <v>5.710092969216868</v>
      </c>
      <c r="E184" s="39">
        <f>'Liquids Type Curve'!D191</f>
        <v>173.68199448034642</v>
      </c>
      <c r="F184" s="39">
        <f>'Liquids Type Curve'!E191</f>
        <v>111197.56193691923</v>
      </c>
      <c r="H184" s="39">
        <f t="shared" si="58"/>
        <v>14.088557465453352</v>
      </c>
      <c r="I184" s="39">
        <f t="shared" si="59"/>
        <v>169.06268958544024</v>
      </c>
      <c r="J184" s="39">
        <f t="shared" si="42"/>
        <v>2.5124409064554221</v>
      </c>
      <c r="K184" s="39">
        <f t="shared" si="60"/>
        <v>76.420077571352422</v>
      </c>
      <c r="L184" s="39">
        <f t="shared" si="61"/>
        <v>49867.463484128537</v>
      </c>
      <c r="N184">
        <f t="shared" si="43"/>
        <v>12.14984221618373</v>
      </c>
      <c r="O184">
        <f t="shared" si="44"/>
        <v>3251.322572647126</v>
      </c>
      <c r="P184">
        <f t="shared" si="49"/>
        <v>3.2513225726471258</v>
      </c>
      <c r="Q184" s="161">
        <f t="shared" si="50"/>
        <v>5.2171980482104994</v>
      </c>
      <c r="S184" s="157">
        <f t="shared" si="51"/>
        <v>0.21903188289262998</v>
      </c>
      <c r="T184" s="157">
        <v>0.05</v>
      </c>
      <c r="U184" s="157">
        <f t="shared" si="45"/>
        <v>0.21903188289262998</v>
      </c>
      <c r="V184" s="157">
        <f t="shared" si="46"/>
        <v>0.18023091704894623</v>
      </c>
      <c r="W184" s="157">
        <f t="shared" si="47"/>
        <v>0.21089195608473621</v>
      </c>
      <c r="Y184" s="157">
        <f t="shared" si="48"/>
        <v>-0.16896817204588413</v>
      </c>
      <c r="Z184" s="157">
        <f t="shared" si="52"/>
        <v>5.0063710846745851E-2</v>
      </c>
      <c r="AB184" s="2">
        <f>'Price Deck'!P178/'Price Deck'!M178</f>
        <v>16.964736389999995</v>
      </c>
      <c r="AC184" s="161">
        <f t="shared" si="53"/>
        <v>5.2171980482104994</v>
      </c>
      <c r="AE184" s="161">
        <f t="shared" si="54"/>
        <v>1296.4464709013448</v>
      </c>
      <c r="AF184">
        <f t="shared" si="55"/>
        <v>5.0063710846745851E-2</v>
      </c>
      <c r="AG184" s="165">
        <f t="shared" si="56"/>
        <v>64.904921247489042</v>
      </c>
      <c r="AH184" s="165">
        <f t="shared" si="57"/>
        <v>0.37369976917689979</v>
      </c>
    </row>
    <row r="185" spans="1:34">
      <c r="A185" t="str">
        <f>'Price Deck'!A179</f>
        <v>10/2032</v>
      </c>
      <c r="B185" s="39">
        <f>'Liquids Type Curve'!A192</f>
        <v>14.171890798786686</v>
      </c>
      <c r="C185" s="39">
        <f>'Liquids Type Curve'!B192</f>
        <v>170.06268958544024</v>
      </c>
      <c r="D185" s="39">
        <f>'Liquids Type Curve'!C192</f>
        <v>5.6787907893497112</v>
      </c>
      <c r="E185" s="39">
        <f>'Liquids Type Curve'!D192</f>
        <v>172.72988650938706</v>
      </c>
      <c r="F185" s="39">
        <f>'Liquids Type Curve'!E192</f>
        <v>111370.29182342862</v>
      </c>
      <c r="H185" s="39">
        <f t="shared" si="58"/>
        <v>14.171890798786686</v>
      </c>
      <c r="I185" s="39">
        <f t="shared" si="59"/>
        <v>170.06268958544024</v>
      </c>
      <c r="J185" s="39">
        <f t="shared" si="42"/>
        <v>2.4986679473138729</v>
      </c>
      <c r="K185" s="39">
        <f t="shared" si="60"/>
        <v>76.0011500641303</v>
      </c>
      <c r="L185" s="39">
        <f t="shared" si="61"/>
        <v>49943.464634192664</v>
      </c>
      <c r="N185">
        <f t="shared" si="43"/>
        <v>12.08323795098895</v>
      </c>
      <c r="O185">
        <f t="shared" si="44"/>
        <v>3233.4991353539313</v>
      </c>
      <c r="P185">
        <f t="shared" si="49"/>
        <v>3.2334991353539313</v>
      </c>
      <c r="Q185" s="161">
        <f t="shared" si="50"/>
        <v>5.2171980482104994</v>
      </c>
      <c r="S185" s="157">
        <f t="shared" si="51"/>
        <v>0.21903188289262998</v>
      </c>
      <c r="T185" s="157">
        <v>0.05</v>
      </c>
      <c r="U185" s="157">
        <f t="shared" si="45"/>
        <v>0.21903188289262998</v>
      </c>
      <c r="V185" s="157">
        <f t="shared" si="46"/>
        <v>0.18023091704894623</v>
      </c>
      <c r="W185" s="157">
        <f t="shared" si="47"/>
        <v>0.21089195608473621</v>
      </c>
      <c r="Y185" s="157">
        <f t="shared" si="48"/>
        <v>-0.16897697147687576</v>
      </c>
      <c r="Z185" s="157">
        <f t="shared" si="52"/>
        <v>5.0054911415754216E-2</v>
      </c>
      <c r="AB185" s="2">
        <f>'Price Deck'!P179/'Price Deck'!M179</f>
        <v>16.964736389999995</v>
      </c>
      <c r="AC185" s="161">
        <f t="shared" si="53"/>
        <v>5.2171980482104994</v>
      </c>
      <c r="AE185" s="161">
        <f t="shared" si="54"/>
        <v>1289.3394761748018</v>
      </c>
      <c r="AF185">
        <f t="shared" si="55"/>
        <v>5.0054911415754216E-2</v>
      </c>
      <c r="AG185" s="165">
        <f t="shared" si="56"/>
        <v>64.537773264764652</v>
      </c>
      <c r="AH185" s="165">
        <f t="shared" si="57"/>
        <v>0.37363408596495157</v>
      </c>
    </row>
    <row r="186" spans="1:34">
      <c r="A186" t="str">
        <f>'Price Deck'!A180</f>
        <v>11/2032</v>
      </c>
      <c r="B186" s="39">
        <f>'Liquids Type Curve'!A193</f>
        <v>14.25522413212002</v>
      </c>
      <c r="C186" s="39">
        <f>'Liquids Type Curve'!B193</f>
        <v>171.06268958544024</v>
      </c>
      <c r="D186" s="39">
        <f>'Liquids Type Curve'!C193</f>
        <v>5.6478422247751228</v>
      </c>
      <c r="E186" s="39">
        <f>'Liquids Type Curve'!D193</f>
        <v>171.78853433691</v>
      </c>
      <c r="F186" s="39">
        <f>'Liquids Type Curve'!E193</f>
        <v>111542.08035776553</v>
      </c>
      <c r="H186" s="39">
        <f t="shared" si="58"/>
        <v>14.25522413212002</v>
      </c>
      <c r="I186" s="39">
        <f t="shared" si="59"/>
        <v>171.06268958544024</v>
      </c>
      <c r="J186" s="39">
        <f t="shared" si="42"/>
        <v>2.485050578901054</v>
      </c>
      <c r="K186" s="39">
        <f t="shared" si="60"/>
        <v>75.586955108240389</v>
      </c>
      <c r="L186" s="39">
        <f t="shared" si="61"/>
        <v>50019.051589300907</v>
      </c>
      <c r="N186">
        <f t="shared" si="43"/>
        <v>12.017386102616998</v>
      </c>
      <c r="O186">
        <f t="shared" si="44"/>
        <v>3215.8770463380692</v>
      </c>
      <c r="P186">
        <f t="shared" si="49"/>
        <v>3.2158770463380693</v>
      </c>
      <c r="Q186" s="161">
        <f t="shared" si="50"/>
        <v>5.2171980482104994</v>
      </c>
      <c r="S186" s="157">
        <f t="shared" si="51"/>
        <v>0.21903188289262998</v>
      </c>
      <c r="T186" s="157">
        <v>0.05</v>
      </c>
      <c r="U186" s="157">
        <f t="shared" si="45"/>
        <v>0.21903188289262998</v>
      </c>
      <c r="V186" s="157">
        <f t="shared" si="46"/>
        <v>0.18023091704894623</v>
      </c>
      <c r="W186" s="157">
        <f t="shared" si="47"/>
        <v>0.21089195608473621</v>
      </c>
      <c r="Y186" s="157">
        <f t="shared" si="48"/>
        <v>-0.16898567150222291</v>
      </c>
      <c r="Z186" s="157">
        <f t="shared" si="52"/>
        <v>5.0046211390407075E-2</v>
      </c>
      <c r="AB186" s="2">
        <f>'Price Deck'!P180/'Price Deck'!M180</f>
        <v>16.964736389999995</v>
      </c>
      <c r="AC186" s="161">
        <f t="shared" si="53"/>
        <v>5.2171980482104994</v>
      </c>
      <c r="AE186" s="161">
        <f t="shared" si="54"/>
        <v>1282.3127679340616</v>
      </c>
      <c r="AF186">
        <f t="shared" si="55"/>
        <v>5.0046211390407075E-2</v>
      </c>
      <c r="AG186" s="165">
        <f t="shared" si="56"/>
        <v>64.17489585264606</v>
      </c>
      <c r="AH186" s="165">
        <f t="shared" si="57"/>
        <v>0.37356914476484721</v>
      </c>
    </row>
    <row r="187" spans="1:34">
      <c r="A187" t="str">
        <f>'Price Deck'!A181</f>
        <v>12/2032</v>
      </c>
      <c r="B187" s="39">
        <f>'Liquids Type Curve'!A194</f>
        <v>14.338557465453354</v>
      </c>
      <c r="C187" s="39">
        <f>'Liquids Type Curve'!B194</f>
        <v>172.06268958544024</v>
      </c>
      <c r="D187" s="39">
        <f>'Liquids Type Curve'!C194</f>
        <v>5.6172412484219976</v>
      </c>
      <c r="E187" s="39">
        <f>'Liquids Type Curve'!D194</f>
        <v>170.85775463950245</v>
      </c>
      <c r="F187" s="39">
        <f>'Liquids Type Curve'!E194</f>
        <v>111712.93811240503</v>
      </c>
      <c r="H187" s="39">
        <f t="shared" si="58"/>
        <v>14.338557465453354</v>
      </c>
      <c r="I187" s="39">
        <f t="shared" si="59"/>
        <v>172.06268958544024</v>
      </c>
      <c r="J187" s="39">
        <f t="shared" si="42"/>
        <v>2.4715861493056788</v>
      </c>
      <c r="K187" s="39">
        <f t="shared" si="60"/>
        <v>75.177412041381061</v>
      </c>
      <c r="L187" s="39">
        <f t="shared" si="61"/>
        <v>50094.22900134229</v>
      </c>
      <c r="N187">
        <f t="shared" si="43"/>
        <v>11.952273846764772</v>
      </c>
      <c r="O187">
        <f t="shared" si="44"/>
        <v>3198.452873789859</v>
      </c>
      <c r="P187">
        <f t="shared" si="49"/>
        <v>3.1984528737898592</v>
      </c>
      <c r="Q187" s="161">
        <f t="shared" si="50"/>
        <v>5.2171980482104994</v>
      </c>
      <c r="S187" s="157">
        <f t="shared" si="51"/>
        <v>0.21903188289262998</v>
      </c>
      <c r="T187" s="157">
        <v>0.05</v>
      </c>
      <c r="U187" s="157">
        <f t="shared" si="45"/>
        <v>0.21903188289262998</v>
      </c>
      <c r="V187" s="157">
        <f t="shared" si="46"/>
        <v>0.18023091704894623</v>
      </c>
      <c r="W187" s="157">
        <f t="shared" si="47"/>
        <v>0.21089195608473621</v>
      </c>
      <c r="Y187" s="157">
        <f t="shared" si="48"/>
        <v>-0.16899427381620996</v>
      </c>
      <c r="Z187" s="157">
        <f t="shared" si="52"/>
        <v>5.003760907642002E-2</v>
      </c>
      <c r="AB187" s="2">
        <f>'Price Deck'!P181/'Price Deck'!M181</f>
        <v>16.964736389999995</v>
      </c>
      <c r="AC187" s="161">
        <f t="shared" si="53"/>
        <v>5.2171980482104994</v>
      </c>
      <c r="AE187" s="161">
        <f t="shared" si="54"/>
        <v>1275.3649777644412</v>
      </c>
      <c r="AF187">
        <f t="shared" si="55"/>
        <v>5.003760907642002E-2</v>
      </c>
      <c r="AG187" s="165">
        <f t="shared" si="56"/>
        <v>63.816214187134221</v>
      </c>
      <c r="AH187" s="165">
        <f t="shared" si="57"/>
        <v>0.37350493292962816</v>
      </c>
    </row>
    <row r="188" spans="1:34">
      <c r="A188" t="str">
        <f>'Price Deck'!A182</f>
        <v>01/2033</v>
      </c>
      <c r="B188" s="39">
        <f>'Liquids Type Curve'!A195</f>
        <v>14.421890798786688</v>
      </c>
      <c r="C188" s="39">
        <f>'Liquids Type Curve'!B195</f>
        <v>173.06268958544024</v>
      </c>
      <c r="D188" s="39">
        <f>'Liquids Type Curve'!C195</f>
        <v>5.5869819701846577</v>
      </c>
      <c r="E188" s="39">
        <f>'Liquids Type Curve'!D195</f>
        <v>169.93736825978334</v>
      </c>
      <c r="F188" s="39">
        <f>'Liquids Type Curve'!E195</f>
        <v>111882.87548066481</v>
      </c>
      <c r="H188" s="39">
        <f t="shared" si="58"/>
        <v>14.421890798786688</v>
      </c>
      <c r="I188" s="39">
        <f t="shared" si="59"/>
        <v>173.06268958544024</v>
      </c>
      <c r="J188" s="39">
        <f t="shared" si="42"/>
        <v>2.4582720668812494</v>
      </c>
      <c r="K188" s="39">
        <f t="shared" si="60"/>
        <v>74.772442034304675</v>
      </c>
      <c r="L188" s="39">
        <f t="shared" si="61"/>
        <v>50169.001443376597</v>
      </c>
      <c r="N188">
        <f t="shared" si="43"/>
        <v>11.887888650561969</v>
      </c>
      <c r="O188">
        <f t="shared" si="44"/>
        <v>3181.2232638876294</v>
      </c>
      <c r="P188">
        <f t="shared" si="49"/>
        <v>3.1812232638876292</v>
      </c>
      <c r="Q188" s="161">
        <f t="shared" si="50"/>
        <v>5.2171980482104994</v>
      </c>
      <c r="S188" s="157">
        <f t="shared" si="51"/>
        <v>0.21903188289262998</v>
      </c>
      <c r="T188" s="157">
        <v>0.05</v>
      </c>
      <c r="U188" s="157">
        <f t="shared" si="45"/>
        <v>0.21903188289262998</v>
      </c>
      <c r="V188" s="157">
        <f t="shared" si="46"/>
        <v>0.18023091704894623</v>
      </c>
      <c r="W188" s="157">
        <f t="shared" si="47"/>
        <v>0.21089195608473621</v>
      </c>
      <c r="Y188" s="157">
        <f t="shared" si="48"/>
        <v>-0.16900278007461869</v>
      </c>
      <c r="Z188" s="157">
        <f t="shared" si="52"/>
        <v>5.002910281801129E-2</v>
      </c>
      <c r="AB188" s="2">
        <f>'Price Deck'!P182/'Price Deck'!M182</f>
        <v>16.964736389999995</v>
      </c>
      <c r="AC188" s="161">
        <f t="shared" si="53"/>
        <v>5.2171980482104994</v>
      </c>
      <c r="AE188" s="161">
        <f t="shared" si="54"/>
        <v>1268.4947683485339</v>
      </c>
      <c r="AF188">
        <f t="shared" si="55"/>
        <v>5.002910281801129E-2</v>
      </c>
      <c r="AG188" s="165">
        <f t="shared" si="56"/>
        <v>63.46165518981821</v>
      </c>
      <c r="AH188" s="165">
        <f t="shared" si="57"/>
        <v>0.37344143809973768</v>
      </c>
    </row>
    <row r="189" spans="1:34">
      <c r="A189" t="str">
        <f>'Price Deck'!A183</f>
        <v>02/2033</v>
      </c>
      <c r="B189" s="39">
        <f>'Liquids Type Curve'!A196</f>
        <v>14.505224132120022</v>
      </c>
      <c r="C189" s="39">
        <f>'Liquids Type Curve'!B196</f>
        <v>174.06268958544027</v>
      </c>
      <c r="D189" s="39">
        <f>'Liquids Type Curve'!C196</f>
        <v>5.5570586330411542</v>
      </c>
      <c r="E189" s="39">
        <f>'Liquids Type Curve'!D196</f>
        <v>169.02720008833512</v>
      </c>
      <c r="F189" s="39">
        <f>'Liquids Type Curve'!E196</f>
        <v>112051.90268075315</v>
      </c>
      <c r="H189" s="39">
        <f t="shared" si="58"/>
        <v>14.505224132120022</v>
      </c>
      <c r="I189" s="39">
        <f t="shared" si="59"/>
        <v>174.06268958544027</v>
      </c>
      <c r="J189" s="39">
        <f t="shared" si="42"/>
        <v>2.4451057985381079</v>
      </c>
      <c r="K189" s="39">
        <f t="shared" si="60"/>
        <v>74.37196803886745</v>
      </c>
      <c r="L189" s="39">
        <f t="shared" si="61"/>
        <v>50243.373411415465</v>
      </c>
      <c r="N189">
        <f t="shared" si="43"/>
        <v>11.824218264311655</v>
      </c>
      <c r="O189">
        <f t="shared" si="44"/>
        <v>3164.1849385874816</v>
      </c>
      <c r="P189">
        <f t="shared" si="49"/>
        <v>3.1641849385874816</v>
      </c>
      <c r="Q189" s="161">
        <f t="shared" si="50"/>
        <v>5.295456018933657</v>
      </c>
      <c r="S189" s="157">
        <f t="shared" si="51"/>
        <v>0.22372736113601943</v>
      </c>
      <c r="T189" s="157">
        <v>0.05</v>
      </c>
      <c r="U189" s="157">
        <f t="shared" si="45"/>
        <v>0.22372736113601943</v>
      </c>
      <c r="V189" s="157">
        <f t="shared" si="46"/>
        <v>0.18355688080468041</v>
      </c>
      <c r="W189" s="157">
        <f t="shared" si="47"/>
        <v>0.21265276042600728</v>
      </c>
      <c r="Y189" s="157">
        <f t="shared" si="48"/>
        <v>-0.16901119189581937</v>
      </c>
      <c r="Z189" s="157">
        <f t="shared" si="52"/>
        <v>5.4716169240200063E-2</v>
      </c>
      <c r="AB189" s="2">
        <f>'Price Deck'!P183/'Price Deck'!M183</f>
        <v>17.219207435849995</v>
      </c>
      <c r="AC189" s="161">
        <f t="shared" si="53"/>
        <v>5.295456018933657</v>
      </c>
      <c r="AE189" s="161">
        <f t="shared" si="54"/>
        <v>1280.6263450736647</v>
      </c>
      <c r="AF189">
        <f t="shared" si="55"/>
        <v>5.4716169240200063E-2</v>
      </c>
      <c r="AG189" s="165">
        <f t="shared" si="56"/>
        <v>70.070967830509488</v>
      </c>
      <c r="AH189" s="165">
        <f t="shared" si="57"/>
        <v>0.41455439002651512</v>
      </c>
    </row>
    <row r="190" spans="1:34">
      <c r="A190" t="str">
        <f>'Price Deck'!A184</f>
        <v>03/2033</v>
      </c>
      <c r="B190" s="39">
        <f>'Liquids Type Curve'!A197</f>
        <v>14.588557465453356</v>
      </c>
      <c r="C190" s="39">
        <f>'Liquids Type Curve'!B197</f>
        <v>175.06268958544027</v>
      </c>
      <c r="D190" s="39">
        <f>'Liquids Type Curve'!C197</f>
        <v>5.5274656093031451</v>
      </c>
      <c r="E190" s="39">
        <f>'Liquids Type Curve'!D197</f>
        <v>168.12707894963734</v>
      </c>
      <c r="F190" s="39">
        <f>'Liquids Type Curve'!E197</f>
        <v>112220.02975970278</v>
      </c>
      <c r="H190" s="39">
        <f t="shared" si="58"/>
        <v>14.588557465453356</v>
      </c>
      <c r="I190" s="39">
        <f t="shared" si="59"/>
        <v>175.06268958544027</v>
      </c>
      <c r="J190" s="39">
        <f t="shared" si="42"/>
        <v>2.432084868093384</v>
      </c>
      <c r="K190" s="39">
        <f t="shared" si="60"/>
        <v>73.975914737840426</v>
      </c>
      <c r="L190" s="39">
        <f t="shared" si="61"/>
        <v>50317.349326153308</v>
      </c>
      <c r="N190">
        <f t="shared" si="43"/>
        <v>11.761250713510831</v>
      </c>
      <c r="O190">
        <f t="shared" si="44"/>
        <v>3147.3346934879755</v>
      </c>
      <c r="P190">
        <f t="shared" si="49"/>
        <v>3.1473346934879753</v>
      </c>
      <c r="Q190" s="161">
        <f t="shared" si="50"/>
        <v>5.295456018933657</v>
      </c>
      <c r="S190" s="157">
        <f t="shared" si="51"/>
        <v>0.22372736113601943</v>
      </c>
      <c r="T190" s="157">
        <v>0.05</v>
      </c>
      <c r="U190" s="157">
        <f t="shared" si="45"/>
        <v>0.22372736113601943</v>
      </c>
      <c r="V190" s="157">
        <f t="shared" si="46"/>
        <v>0.18355688080468041</v>
      </c>
      <c r="W190" s="157">
        <f t="shared" si="47"/>
        <v>0.21265276042600728</v>
      </c>
      <c r="Y190" s="157">
        <f t="shared" si="48"/>
        <v>-0.16901951086182501</v>
      </c>
      <c r="Z190" s="157">
        <f t="shared" si="52"/>
        <v>5.4707850274194419E-2</v>
      </c>
      <c r="AB190" s="2">
        <f>'Price Deck'!P184/'Price Deck'!M184</f>
        <v>17.219207435849995</v>
      </c>
      <c r="AC190" s="161">
        <f t="shared" si="53"/>
        <v>5.295456018933657</v>
      </c>
      <c r="AE190" s="161">
        <f t="shared" si="54"/>
        <v>1273.8066211276271</v>
      </c>
      <c r="AF190">
        <f t="shared" si="55"/>
        <v>5.4707850274194419E-2</v>
      </c>
      <c r="AG190" s="165">
        <f t="shared" si="56"/>
        <v>69.687221906927718</v>
      </c>
      <c r="AH190" s="165">
        <f t="shared" si="57"/>
        <v>0.41449136178594176</v>
      </c>
    </row>
    <row r="191" spans="1:34">
      <c r="A191" t="str">
        <f>'Price Deck'!A185</f>
        <v>04/2033</v>
      </c>
      <c r="B191" s="39">
        <f>'Liquids Type Curve'!A198</f>
        <v>14.67189079878669</v>
      </c>
      <c r="C191" s="39">
        <f>'Liquids Type Curve'!B198</f>
        <v>176.06268958544027</v>
      </c>
      <c r="D191" s="39">
        <f>'Liquids Type Curve'!C198</f>
        <v>5.4981973969921292</v>
      </c>
      <c r="E191" s="39">
        <f>'Liquids Type Curve'!D198</f>
        <v>167.23683749184394</v>
      </c>
      <c r="F191" s="39">
        <f>'Liquids Type Curve'!E198</f>
        <v>112387.26659719463</v>
      </c>
      <c r="H191" s="39">
        <f t="shared" si="58"/>
        <v>14.67189079878669</v>
      </c>
      <c r="I191" s="39">
        <f t="shared" si="59"/>
        <v>176.06268958544027</v>
      </c>
      <c r="J191" s="39">
        <f t="shared" si="42"/>
        <v>2.4192068546765371</v>
      </c>
      <c r="K191" s="39">
        <f t="shared" si="60"/>
        <v>73.584208496411335</v>
      </c>
      <c r="L191" s="39">
        <f t="shared" si="61"/>
        <v>50390.933534649717</v>
      </c>
      <c r="N191">
        <f t="shared" si="43"/>
        <v>11.698974291139836</v>
      </c>
      <c r="O191">
        <f t="shared" si="44"/>
        <v>3130.6693957667576</v>
      </c>
      <c r="P191">
        <f t="shared" si="49"/>
        <v>3.1306693957667577</v>
      </c>
      <c r="Q191" s="161">
        <f t="shared" si="50"/>
        <v>5.295456018933657</v>
      </c>
      <c r="S191" s="157">
        <f t="shared" si="51"/>
        <v>0.22372736113601943</v>
      </c>
      <c r="T191" s="157">
        <v>0.05</v>
      </c>
      <c r="U191" s="157">
        <f t="shared" si="45"/>
        <v>0.22372736113601943</v>
      </c>
      <c r="V191" s="157">
        <f t="shared" si="46"/>
        <v>0.18355688080468041</v>
      </c>
      <c r="W191" s="157">
        <f t="shared" si="47"/>
        <v>0.21265276042600728</v>
      </c>
      <c r="Y191" s="157">
        <f t="shared" si="48"/>
        <v>-0.16902773851930997</v>
      </c>
      <c r="Z191" s="157">
        <f t="shared" si="52"/>
        <v>5.4699622616709465E-2</v>
      </c>
      <c r="AB191" s="2">
        <f>'Price Deck'!P185/'Price Deck'!M185</f>
        <v>17.219207435849995</v>
      </c>
      <c r="AC191" s="161">
        <f t="shared" si="53"/>
        <v>5.295456018933657</v>
      </c>
      <c r="AE191" s="161">
        <f t="shared" si="54"/>
        <v>1267.0617501025424</v>
      </c>
      <c r="AF191">
        <f t="shared" si="55"/>
        <v>5.4699622616709465E-2</v>
      </c>
      <c r="AG191" s="165">
        <f t="shared" si="56"/>
        <v>69.307799562676507</v>
      </c>
      <c r="AH191" s="165">
        <f t="shared" si="57"/>
        <v>0.41442902533992615</v>
      </c>
    </row>
    <row r="192" spans="1:34">
      <c r="A192" t="str">
        <f>'Price Deck'!A186</f>
        <v>05/2033</v>
      </c>
      <c r="B192" s="39">
        <f>'Liquids Type Curve'!A199</f>
        <v>14.755224132120023</v>
      </c>
      <c r="C192" s="39">
        <f>'Liquids Type Curve'!B199</f>
        <v>177.0626895854403</v>
      </c>
      <c r="D192" s="39">
        <f>'Liquids Type Curve'!C199</f>
        <v>5.4692486163371408</v>
      </c>
      <c r="E192" s="39">
        <f>'Liquids Type Curve'!D199</f>
        <v>166.3563120802547</v>
      </c>
      <c r="F192" s="39">
        <f>'Liquids Type Curve'!E199</f>
        <v>112553.62290927488</v>
      </c>
      <c r="H192" s="39">
        <f t="shared" si="58"/>
        <v>14.755224132120023</v>
      </c>
      <c r="I192" s="39">
        <f t="shared" si="59"/>
        <v>177.0626895854403</v>
      </c>
      <c r="J192" s="39">
        <f t="shared" si="42"/>
        <v>2.4064693911883421</v>
      </c>
      <c r="K192" s="39">
        <f t="shared" si="60"/>
        <v>73.196777315312076</v>
      </c>
      <c r="L192" s="39">
        <f t="shared" si="61"/>
        <v>50464.130311965033</v>
      </c>
      <c r="N192">
        <f t="shared" si="43"/>
        <v>11.637377550210193</v>
      </c>
      <c r="O192">
        <f t="shared" si="44"/>
        <v>3114.1859821863504</v>
      </c>
      <c r="P192">
        <f t="shared" si="49"/>
        <v>3.1141859821863505</v>
      </c>
      <c r="Q192" s="161">
        <f t="shared" si="50"/>
        <v>5.295456018933657</v>
      </c>
      <c r="S192" s="157">
        <f t="shared" si="51"/>
        <v>0.22372736113601943</v>
      </c>
      <c r="T192" s="157">
        <v>0.05</v>
      </c>
      <c r="U192" s="157">
        <f t="shared" si="45"/>
        <v>0.22372736113601943</v>
      </c>
      <c r="V192" s="157">
        <f t="shared" si="46"/>
        <v>0.18355688080468041</v>
      </c>
      <c r="W192" s="157">
        <f t="shared" si="47"/>
        <v>0.21265276042600728</v>
      </c>
      <c r="Y192" s="157">
        <f t="shared" si="48"/>
        <v>-0.16903587638059459</v>
      </c>
      <c r="Z192" s="157">
        <f t="shared" si="52"/>
        <v>5.4691484755424846E-2</v>
      </c>
      <c r="AB192" s="2">
        <f>'Price Deck'!P186/'Price Deck'!M186</f>
        <v>17.219207435849995</v>
      </c>
      <c r="AC192" s="161">
        <f t="shared" si="53"/>
        <v>5.295456018933657</v>
      </c>
      <c r="AE192" s="161">
        <f t="shared" si="54"/>
        <v>1260.3904922280778</v>
      </c>
      <c r="AF192">
        <f t="shared" si="55"/>
        <v>5.4691484755424846E-2</v>
      </c>
      <c r="AG192" s="165">
        <f t="shared" si="56"/>
        <v>68.932627391574343</v>
      </c>
      <c r="AH192" s="165">
        <f t="shared" si="57"/>
        <v>0.41436736923044687</v>
      </c>
    </row>
    <row r="193" spans="1:34">
      <c r="A193" t="str">
        <f>'Price Deck'!A187</f>
        <v>06/2033</v>
      </c>
      <c r="B193" s="39">
        <f>'Liquids Type Curve'!A200</f>
        <v>14.838557465453357</v>
      </c>
      <c r="C193" s="39">
        <f>'Liquids Type Curve'!B200</f>
        <v>178.0626895854403</v>
      </c>
      <c r="D193" s="39">
        <f>'Liquids Type Curve'!C200</f>
        <v>5.4406140063891186</v>
      </c>
      <c r="E193" s="39">
        <f>'Liquids Type Curve'!D200</f>
        <v>165.48534269433569</v>
      </c>
      <c r="F193" s="39">
        <f>'Liquids Type Curve'!E200</f>
        <v>112719.10825196921</v>
      </c>
      <c r="H193" s="39">
        <f t="shared" si="58"/>
        <v>14.838557465453357</v>
      </c>
      <c r="I193" s="39">
        <f t="shared" si="59"/>
        <v>178.0626895854403</v>
      </c>
      <c r="J193" s="39">
        <f t="shared" si="42"/>
        <v>2.3938701628112122</v>
      </c>
      <c r="K193" s="39">
        <f t="shared" si="60"/>
        <v>72.813550785507715</v>
      </c>
      <c r="L193" s="39">
        <f t="shared" si="61"/>
        <v>50536.943862750544</v>
      </c>
      <c r="N193">
        <f t="shared" si="43"/>
        <v>11.576449296560735</v>
      </c>
      <c r="O193">
        <f t="shared" si="44"/>
        <v>3097.8814571663806</v>
      </c>
      <c r="P193">
        <f t="shared" si="49"/>
        <v>3.0978814571663809</v>
      </c>
      <c r="Q193" s="161">
        <f t="shared" si="50"/>
        <v>5.295456018933657</v>
      </c>
      <c r="S193" s="157">
        <f t="shared" si="51"/>
        <v>0.22372736113601943</v>
      </c>
      <c r="T193" s="157">
        <v>0.05</v>
      </c>
      <c r="U193" s="157">
        <f t="shared" si="45"/>
        <v>0.22372736113601943</v>
      </c>
      <c r="V193" s="157">
        <f t="shared" si="46"/>
        <v>0.18355688080468041</v>
      </c>
      <c r="W193" s="157">
        <f t="shared" si="47"/>
        <v>0.21265276042600728</v>
      </c>
      <c r="Y193" s="157">
        <f t="shared" si="48"/>
        <v>-0.16904392592459694</v>
      </c>
      <c r="Z193" s="157">
        <f t="shared" si="52"/>
        <v>5.4683435211422493E-2</v>
      </c>
      <c r="AB193" s="2">
        <f>'Price Deck'!P187/'Price Deck'!M187</f>
        <v>17.219207435849995</v>
      </c>
      <c r="AC193" s="161">
        <f t="shared" si="53"/>
        <v>5.295456018933657</v>
      </c>
      <c r="AE193" s="161">
        <f t="shared" si="54"/>
        <v>1253.7916351164556</v>
      </c>
      <c r="AF193">
        <f t="shared" si="55"/>
        <v>5.4683435211422493E-2</v>
      </c>
      <c r="AG193" s="165">
        <f t="shared" si="56"/>
        <v>68.561633647514171</v>
      </c>
      <c r="AH193" s="165">
        <f t="shared" si="57"/>
        <v>0.41430638225255301</v>
      </c>
    </row>
    <row r="194" spans="1:34">
      <c r="A194" t="str">
        <f>'Price Deck'!A188</f>
        <v>07/2033</v>
      </c>
      <c r="B194" s="39">
        <f>'Liquids Type Curve'!A201</f>
        <v>14.921890798786691</v>
      </c>
      <c r="C194" s="39">
        <f>'Liquids Type Curve'!B201</f>
        <v>179.0626895854403</v>
      </c>
      <c r="D194" s="39">
        <f>'Liquids Type Curve'!C201</f>
        <v>5.4122884217474665</v>
      </c>
      <c r="E194" s="39">
        <f>'Liquids Type Curve'!D201</f>
        <v>164.62377282815211</v>
      </c>
      <c r="F194" s="39">
        <f>'Liquids Type Curve'!E201</f>
        <v>112883.73202479737</v>
      </c>
      <c r="H194" s="39">
        <f t="shared" si="58"/>
        <v>14.921890798786691</v>
      </c>
      <c r="I194" s="39">
        <f t="shared" si="59"/>
        <v>179.0626895854403</v>
      </c>
      <c r="J194" s="39">
        <f t="shared" si="42"/>
        <v>2.3814069055688853</v>
      </c>
      <c r="K194" s="39">
        <f t="shared" si="60"/>
        <v>72.434460044386938</v>
      </c>
      <c r="L194" s="39">
        <f t="shared" si="61"/>
        <v>50609.378322794932</v>
      </c>
      <c r="N194">
        <f t="shared" si="43"/>
        <v>11.516178581892419</v>
      </c>
      <c r="O194">
        <f t="shared" si="44"/>
        <v>3081.7528909196808</v>
      </c>
      <c r="P194">
        <f t="shared" si="49"/>
        <v>3.081752890919681</v>
      </c>
      <c r="Q194" s="161">
        <f t="shared" si="50"/>
        <v>5.295456018933657</v>
      </c>
      <c r="S194" s="157">
        <f t="shared" si="51"/>
        <v>0.22372736113601943</v>
      </c>
      <c r="T194" s="157">
        <v>0.05</v>
      </c>
      <c r="U194" s="157">
        <f t="shared" si="45"/>
        <v>0.22372736113601943</v>
      </c>
      <c r="V194" s="157">
        <f t="shared" si="46"/>
        <v>0.18355688080468041</v>
      </c>
      <c r="W194" s="157">
        <f t="shared" si="47"/>
        <v>0.21265276042600728</v>
      </c>
      <c r="Y194" s="157">
        <f t="shared" si="48"/>
        <v>-0.16905188859775297</v>
      </c>
      <c r="Z194" s="157">
        <f t="shared" si="52"/>
        <v>5.4675472538266462E-2</v>
      </c>
      <c r="AB194" s="2">
        <f>'Price Deck'!P188/'Price Deck'!M188</f>
        <v>17.219207435849995</v>
      </c>
      <c r="AC194" s="161">
        <f t="shared" si="53"/>
        <v>5.295456018933657</v>
      </c>
      <c r="AE194" s="161">
        <f t="shared" si="54"/>
        <v>1247.263993008087</v>
      </c>
      <c r="AF194">
        <f t="shared" si="55"/>
        <v>5.4675472538266462E-2</v>
      </c>
      <c r="AG194" s="165">
        <f t="shared" si="56"/>
        <v>68.19474819768223</v>
      </c>
      <c r="AH194" s="165">
        <f t="shared" si="57"/>
        <v>0.41424605344739329</v>
      </c>
    </row>
    <row r="195" spans="1:34">
      <c r="A195" t="str">
        <f>'Price Deck'!A189</f>
        <v>08/2033</v>
      </c>
      <c r="B195" s="39">
        <f>'Liquids Type Curve'!A202</f>
        <v>15.005224132120025</v>
      </c>
      <c r="C195" s="39">
        <f>'Liquids Type Curve'!B202</f>
        <v>180.0626895854403</v>
      </c>
      <c r="D195" s="39">
        <f>'Liquids Type Curve'!C202</f>
        <v>5.384266829394468</v>
      </c>
      <c r="E195" s="39">
        <f>'Liquids Type Curve'!D202</f>
        <v>163.77144939408174</v>
      </c>
      <c r="F195" s="39">
        <f>'Liquids Type Curve'!E202</f>
        <v>113047.50347419146</v>
      </c>
      <c r="H195" s="39">
        <f t="shared" si="58"/>
        <v>15.005224132120025</v>
      </c>
      <c r="I195" s="39">
        <f t="shared" si="59"/>
        <v>180.0626895854403</v>
      </c>
      <c r="J195" s="39">
        <f t="shared" si="42"/>
        <v>2.3690774049335661</v>
      </c>
      <c r="K195" s="39">
        <f t="shared" si="60"/>
        <v>72.059437733395967</v>
      </c>
      <c r="L195" s="39">
        <f t="shared" si="61"/>
        <v>50681.43776052833</v>
      </c>
      <c r="N195">
        <f t="shared" si="43"/>
        <v>11.456554697032651</v>
      </c>
      <c r="O195">
        <f t="shared" si="44"/>
        <v>3065.7974176498092</v>
      </c>
      <c r="P195">
        <f t="shared" si="49"/>
        <v>3.0657974176498093</v>
      </c>
      <c r="Q195" s="161">
        <f t="shared" si="50"/>
        <v>5.295456018933657</v>
      </c>
      <c r="S195" s="157">
        <f t="shared" si="51"/>
        <v>0.22372736113601943</v>
      </c>
      <c r="T195" s="157">
        <v>0.05</v>
      </c>
      <c r="U195" s="157">
        <f t="shared" si="45"/>
        <v>0.22372736113601943</v>
      </c>
      <c r="V195" s="157">
        <f t="shared" si="46"/>
        <v>0.18355688080468041</v>
      </c>
      <c r="W195" s="157">
        <f t="shared" si="47"/>
        <v>0.21265276042600728</v>
      </c>
      <c r="Y195" s="157">
        <f t="shared" si="48"/>
        <v>-0.16905976581490628</v>
      </c>
      <c r="Z195" s="157">
        <f t="shared" si="52"/>
        <v>5.4667595321113149E-2</v>
      </c>
      <c r="AB195" s="2">
        <f>'Price Deck'!P189/'Price Deck'!M189</f>
        <v>17.219207435849995</v>
      </c>
      <c r="AC195" s="161">
        <f t="shared" si="53"/>
        <v>5.295456018933657</v>
      </c>
      <c r="AE195" s="161">
        <f t="shared" si="54"/>
        <v>1240.8064060420616</v>
      </c>
      <c r="AF195">
        <f t="shared" si="55"/>
        <v>5.4667595321113149E-2</v>
      </c>
      <c r="AG195" s="165">
        <f t="shared" si="56"/>
        <v>67.83190247735223</v>
      </c>
      <c r="AH195" s="165">
        <f t="shared" si="57"/>
        <v>0.41418637209547399</v>
      </c>
    </row>
    <row r="196" spans="1:34">
      <c r="A196" t="str">
        <f>'Price Deck'!A190</f>
        <v>09/2033</v>
      </c>
      <c r="B196" s="39">
        <f>'Liquids Type Curve'!A203</f>
        <v>15.088557465453359</v>
      </c>
      <c r="C196" s="39">
        <f>'Liquids Type Curve'!B203</f>
        <v>181.0626895854403</v>
      </c>
      <c r="D196" s="39">
        <f>'Liquids Type Curve'!C203</f>
        <v>5.3565443056334558</v>
      </c>
      <c r="E196" s="39">
        <f>'Liquids Type Curve'!D203</f>
        <v>162.92822262968429</v>
      </c>
      <c r="F196" s="39">
        <f>'Liquids Type Curve'!E203</f>
        <v>113210.43169682114</v>
      </c>
      <c r="H196" s="39">
        <f t="shared" si="58"/>
        <v>15.088557465453359</v>
      </c>
      <c r="I196" s="39">
        <f t="shared" si="59"/>
        <v>181.0626895854403</v>
      </c>
      <c r="J196" s="39">
        <f t="shared" si="42"/>
        <v>2.3568794944787208</v>
      </c>
      <c r="K196" s="39">
        <f t="shared" si="60"/>
        <v>71.688417957061091</v>
      </c>
      <c r="L196" s="39">
        <f t="shared" si="61"/>
        <v>50753.126178485392</v>
      </c>
      <c r="N196">
        <f t="shared" si="43"/>
        <v>11.397567165420378</v>
      </c>
      <c r="O196">
        <f t="shared" si="44"/>
        <v>3050.0122338076476</v>
      </c>
      <c r="P196">
        <f t="shared" si="49"/>
        <v>3.0500122338076476</v>
      </c>
      <c r="Q196" s="161">
        <f t="shared" si="50"/>
        <v>5.295456018933657</v>
      </c>
      <c r="S196" s="157">
        <f t="shared" si="51"/>
        <v>0.22372736113601943</v>
      </c>
      <c r="T196" s="157">
        <v>0.05</v>
      </c>
      <c r="U196" s="157">
        <f t="shared" si="45"/>
        <v>0.22372736113601943</v>
      </c>
      <c r="V196" s="157">
        <f t="shared" si="46"/>
        <v>0.18355688080468041</v>
      </c>
      <c r="W196" s="157">
        <f t="shared" si="47"/>
        <v>0.21265276042600728</v>
      </c>
      <c r="Y196" s="157">
        <f t="shared" si="48"/>
        <v>-0.16906755896016917</v>
      </c>
      <c r="Z196" s="157">
        <f t="shared" si="52"/>
        <v>5.4659802175850258E-2</v>
      </c>
      <c r="AB196" s="2">
        <f>'Price Deck'!P190/'Price Deck'!M190</f>
        <v>17.219207435849995</v>
      </c>
      <c r="AC196" s="161">
        <f t="shared" si="53"/>
        <v>5.295456018933657</v>
      </c>
      <c r="AE196" s="161">
        <f t="shared" si="54"/>
        <v>1234.4177395505487</v>
      </c>
      <c r="AF196">
        <f t="shared" si="55"/>
        <v>5.4659802175850258E-2</v>
      </c>
      <c r="AG196" s="165">
        <f t="shared" si="56"/>
        <v>67.473029446193237</v>
      </c>
      <c r="AH196" s="165">
        <f t="shared" si="57"/>
        <v>0.41412732771013588</v>
      </c>
    </row>
    <row r="197" spans="1:34">
      <c r="A197" t="str">
        <f>'Price Deck'!A191</f>
        <v>10/2033</v>
      </c>
      <c r="B197" s="39">
        <f>'Liquids Type Curve'!A204</f>
        <v>15.171890798786693</v>
      </c>
      <c r="C197" s="39">
        <f>'Liquids Type Curve'!B204</f>
        <v>182.06268958544032</v>
      </c>
      <c r="D197" s="39">
        <f>'Liquids Type Curve'!C204</f>
        <v>5.3291160331267351</v>
      </c>
      <c r="E197" s="39">
        <f>'Liquids Type Curve'!D204</f>
        <v>162.09394600760487</v>
      </c>
      <c r="F197" s="39">
        <f>'Liquids Type Curve'!E204</f>
        <v>113372.52564282874</v>
      </c>
      <c r="H197" s="39">
        <f t="shared" si="58"/>
        <v>15.171890798786693</v>
      </c>
      <c r="I197" s="39">
        <f t="shared" si="59"/>
        <v>182.06268958544032</v>
      </c>
      <c r="J197" s="39">
        <f t="shared" si="42"/>
        <v>2.3448110545757634</v>
      </c>
      <c r="K197" s="39">
        <f t="shared" si="60"/>
        <v>71.321336243346138</v>
      </c>
      <c r="L197" s="39">
        <f t="shared" si="61"/>
        <v>50824.447514728738</v>
      </c>
      <c r="N197">
        <f t="shared" si="43"/>
        <v>11.339205736803418</v>
      </c>
      <c r="O197">
        <f t="shared" si="44"/>
        <v>3034.3945964047925</v>
      </c>
      <c r="P197">
        <f t="shared" si="49"/>
        <v>3.0343945964047925</v>
      </c>
      <c r="Q197" s="161">
        <f t="shared" si="50"/>
        <v>5.295456018933657</v>
      </c>
      <c r="S197" s="157">
        <f t="shared" si="51"/>
        <v>0.22372736113601943</v>
      </c>
      <c r="T197" s="157">
        <v>0.05</v>
      </c>
      <c r="U197" s="157">
        <f t="shared" si="45"/>
        <v>0.22372736113601943</v>
      </c>
      <c r="V197" s="157">
        <f t="shared" si="46"/>
        <v>0.18355688080468041</v>
      </c>
      <c r="W197" s="157">
        <f t="shared" si="47"/>
        <v>0.21265276042600728</v>
      </c>
      <c r="Y197" s="157">
        <f t="shared" si="48"/>
        <v>-0.16907526938775494</v>
      </c>
      <c r="Z197" s="157">
        <f t="shared" si="52"/>
        <v>5.4652091748264492E-2</v>
      </c>
      <c r="AB197" s="2">
        <f>'Price Deck'!P191/'Price Deck'!M191</f>
        <v>17.219207435849995</v>
      </c>
      <c r="AC197" s="161">
        <f t="shared" si="53"/>
        <v>5.295456018933657</v>
      </c>
      <c r="AE197" s="161">
        <f t="shared" si="54"/>
        <v>1228.0968833761835</v>
      </c>
      <c r="AF197">
        <f t="shared" si="55"/>
        <v>5.4652091748264492E-2</v>
      </c>
      <c r="AG197" s="165">
        <f t="shared" si="56"/>
        <v>67.118063546032857</v>
      </c>
      <c r="AH197" s="165">
        <f t="shared" si="57"/>
        <v>0.41406891003124768</v>
      </c>
    </row>
    <row r="198" spans="1:34">
      <c r="A198" t="str">
        <f>'Price Deck'!A192</f>
        <v>11/2033</v>
      </c>
      <c r="B198" s="39">
        <f>'Liquids Type Curve'!A205</f>
        <v>15.255224132120027</v>
      </c>
      <c r="C198" s="39">
        <f>'Liquids Type Curve'!B205</f>
        <v>183.06268958544032</v>
      </c>
      <c r="D198" s="39">
        <f>'Liquids Type Curve'!C205</f>
        <v>5.3019772980295237</v>
      </c>
      <c r="E198" s="39">
        <f>'Liquids Type Curve'!D205</f>
        <v>161.26847614839801</v>
      </c>
      <c r="F198" s="39">
        <f>'Liquids Type Curve'!E205</f>
        <v>113533.79411897714</v>
      </c>
      <c r="H198" s="39">
        <f t="shared" si="58"/>
        <v>15.255224132120027</v>
      </c>
      <c r="I198" s="39">
        <f t="shared" si="59"/>
        <v>183.06268958544032</v>
      </c>
      <c r="J198" s="39">
        <f t="shared" si="42"/>
        <v>2.3328700111329903</v>
      </c>
      <c r="K198" s="39">
        <f t="shared" si="60"/>
        <v>70.958129505295119</v>
      </c>
      <c r="L198" s="39">
        <f t="shared" si="61"/>
        <v>50895.40564423403</v>
      </c>
      <c r="N198">
        <f t="shared" si="43"/>
        <v>11.28146038114012</v>
      </c>
      <c r="O198">
        <f t="shared" si="44"/>
        <v>3018.9418213816293</v>
      </c>
      <c r="P198">
        <f t="shared" si="49"/>
        <v>3.0189418213816293</v>
      </c>
      <c r="Q198" s="161">
        <f t="shared" si="50"/>
        <v>5.295456018933657</v>
      </c>
      <c r="S198" s="157">
        <f t="shared" si="51"/>
        <v>0.22372736113601943</v>
      </c>
      <c r="T198" s="157">
        <v>0.05</v>
      </c>
      <c r="U198" s="157">
        <f t="shared" si="45"/>
        <v>0.22372736113601943</v>
      </c>
      <c r="V198" s="157">
        <f t="shared" si="46"/>
        <v>0.18355688080468041</v>
      </c>
      <c r="W198" s="157">
        <f t="shared" si="47"/>
        <v>0.21265276042600728</v>
      </c>
      <c r="Y198" s="157">
        <f t="shared" si="48"/>
        <v>-0.1690828984227839</v>
      </c>
      <c r="Z198" s="157">
        <f t="shared" si="52"/>
        <v>5.4644462713235531E-2</v>
      </c>
      <c r="AB198" s="2">
        <f>'Price Deck'!P192/'Price Deck'!M192</f>
        <v>17.219207435849995</v>
      </c>
      <c r="AC198" s="161">
        <f t="shared" si="53"/>
        <v>5.295456018933657</v>
      </c>
      <c r="AE198" s="161">
        <f t="shared" si="54"/>
        <v>1221.8427512115848</v>
      </c>
      <c r="AF198">
        <f t="shared" si="55"/>
        <v>5.4644462713235531E-2</v>
      </c>
      <c r="AG198" s="165">
        <f t="shared" si="56"/>
        <v>66.766940660018562</v>
      </c>
      <c r="AH198" s="165">
        <f t="shared" si="57"/>
        <v>0.41401110901910015</v>
      </c>
    </row>
    <row r="199" spans="1:34">
      <c r="A199" t="str">
        <f>'Price Deck'!A193</f>
        <v>01/2033</v>
      </c>
      <c r="B199" s="39">
        <f>'Liquids Type Curve'!A206</f>
        <v>15.338557465453361</v>
      </c>
      <c r="C199" s="39">
        <f>'Liquids Type Curve'!B206</f>
        <v>184.06268958544032</v>
      </c>
      <c r="D199" s="39">
        <f>'Liquids Type Curve'!C206</f>
        <v>5.2751234872163</v>
      </c>
      <c r="E199" s="39">
        <f>'Liquids Type Curve'!D206</f>
        <v>160.45167273616246</v>
      </c>
      <c r="F199" s="39">
        <f>'Liquids Type Curve'!E206</f>
        <v>113694.2457917133</v>
      </c>
      <c r="H199" s="39">
        <f t="shared" si="58"/>
        <v>15.338557465453361</v>
      </c>
      <c r="I199" s="39">
        <f t="shared" si="59"/>
        <v>184.06268958544032</v>
      </c>
      <c r="J199" s="39">
        <f t="shared" si="42"/>
        <v>2.3210543343751722</v>
      </c>
      <c r="K199" s="39">
        <f t="shared" si="60"/>
        <v>70.598736003911483</v>
      </c>
      <c r="L199" s="39">
        <f t="shared" si="61"/>
        <v>50966.004380237944</v>
      </c>
      <c r="N199">
        <f t="shared" si="43"/>
        <v>11.224321282697618</v>
      </c>
      <c r="O199">
        <f t="shared" si="44"/>
        <v>3003.6512820280109</v>
      </c>
      <c r="P199">
        <f t="shared" si="49"/>
        <v>3.0036512820280108</v>
      </c>
      <c r="Q199" s="161">
        <f t="shared" si="50"/>
        <v>5.295456018933657</v>
      </c>
      <c r="S199" s="157">
        <f t="shared" si="51"/>
        <v>0.22372736113601943</v>
      </c>
      <c r="T199" s="157">
        <v>0.05</v>
      </c>
      <c r="U199" s="157">
        <f t="shared" si="45"/>
        <v>0.22372736113601943</v>
      </c>
      <c r="V199" s="157">
        <f t="shared" si="46"/>
        <v>0.18355688080468041</v>
      </c>
      <c r="W199" s="157">
        <f t="shared" si="47"/>
        <v>0.21265276042600728</v>
      </c>
      <c r="Y199" s="157">
        <f t="shared" si="48"/>
        <v>-0.1690904473620628</v>
      </c>
      <c r="Z199" s="157">
        <f t="shared" si="52"/>
        <v>5.463691377395663E-2</v>
      </c>
      <c r="AB199" s="2">
        <f>'Price Deck'!P193/'Price Deck'!M193</f>
        <v>17.219207435849995</v>
      </c>
      <c r="AC199" s="161">
        <f t="shared" si="53"/>
        <v>5.295456018933657</v>
      </c>
      <c r="AE199" s="161">
        <f t="shared" si="54"/>
        <v>1215.6542799601634</v>
      </c>
      <c r="AF199">
        <f t="shared" si="55"/>
        <v>5.463691377395663E-2</v>
      </c>
      <c r="AG199" s="165">
        <f t="shared" si="56"/>
        <v>66.419598073124789</v>
      </c>
      <c r="AH199" s="165">
        <f t="shared" si="57"/>
        <v>0.41395391484850003</v>
      </c>
    </row>
    <row r="200" spans="1:34">
      <c r="A200" t="str">
        <f>'Price Deck'!A194</f>
        <v>02/2033</v>
      </c>
      <c r="B200" s="39">
        <f>'Liquids Type Curve'!A207</f>
        <v>15.421890798786695</v>
      </c>
      <c r="C200" s="39">
        <f>'Liquids Type Curve'!B207</f>
        <v>185.06268958544035</v>
      </c>
      <c r="D200" s="39">
        <f>'Liquids Type Curve'!C207</f>
        <v>5.2485500855959932</v>
      </c>
      <c r="E200" s="39">
        <f>'Liquids Type Curve'!D207</f>
        <v>159.64339843687813</v>
      </c>
      <c r="F200" s="39">
        <f>'Liquids Type Curve'!E207</f>
        <v>113853.88919015018</v>
      </c>
      <c r="H200" s="39">
        <f t="shared" si="58"/>
        <v>15.421890798786695</v>
      </c>
      <c r="I200" s="39">
        <f t="shared" si="59"/>
        <v>185.06268958544035</v>
      </c>
      <c r="J200" s="39">
        <f t="shared" si="42"/>
        <v>2.309362037662237</v>
      </c>
      <c r="K200" s="39">
        <f t="shared" si="60"/>
        <v>70.243095312226373</v>
      </c>
      <c r="L200" s="39">
        <f t="shared" si="61"/>
        <v>51036.247475550168</v>
      </c>
      <c r="N200">
        <f t="shared" si="43"/>
        <v>11.167778834339147</v>
      </c>
      <c r="O200">
        <f t="shared" si="44"/>
        <v>2988.5204074545322</v>
      </c>
      <c r="P200">
        <f t="shared" si="49"/>
        <v>2.9885204074545322</v>
      </c>
      <c r="Q200" s="161">
        <f t="shared" si="50"/>
        <v>5.295456018933657</v>
      </c>
      <c r="S200" s="157">
        <f t="shared" si="51"/>
        <v>0.22372736113601943</v>
      </c>
      <c r="T200" s="157">
        <v>0.05</v>
      </c>
      <c r="U200" s="157">
        <f t="shared" si="45"/>
        <v>0.22372736113601943</v>
      </c>
      <c r="V200" s="157">
        <f t="shared" si="46"/>
        <v>0.18355688080468041</v>
      </c>
      <c r="W200" s="157">
        <f t="shared" si="47"/>
        <v>0.21265276042600728</v>
      </c>
      <c r="Y200" s="157">
        <f t="shared" si="48"/>
        <v>-0.16909791747483971</v>
      </c>
      <c r="Z200" s="157">
        <f t="shared" si="52"/>
        <v>5.4629443661179722E-2</v>
      </c>
      <c r="AB200" s="2">
        <f>'Price Deck'!P194/'Price Deck'!M194</f>
        <v>17.219207435849995</v>
      </c>
      <c r="AC200" s="161">
        <f t="shared" si="53"/>
        <v>5.295456018933657</v>
      </c>
      <c r="AE200" s="161">
        <f t="shared" si="54"/>
        <v>1209.5304291174084</v>
      </c>
      <c r="AF200">
        <f t="shared" si="55"/>
        <v>5.4629443661179722E-2</v>
      </c>
      <c r="AG200" s="165">
        <f t="shared" si="56"/>
        <v>66.075974433951998</v>
      </c>
      <c r="AH200" s="165">
        <f t="shared" si="57"/>
        <v>0.41389731790305112</v>
      </c>
    </row>
    <row r="201" spans="1:34">
      <c r="A201" t="str">
        <f>'Price Deck'!A195</f>
        <v>03/2033</v>
      </c>
      <c r="B201" s="39">
        <f>'Liquids Type Curve'!A208</f>
        <v>15.505224132120029</v>
      </c>
      <c r="C201" s="39">
        <f>'Liquids Type Curve'!B208</f>
        <v>186.06268958544035</v>
      </c>
      <c r="D201" s="39">
        <f>'Liquids Type Curve'!C208</f>
        <v>5.2222526735129309</v>
      </c>
      <c r="E201" s="39">
        <f>'Liquids Type Curve'!D208</f>
        <v>158.84351881935166</v>
      </c>
      <c r="F201" s="39">
        <f>'Liquids Type Curve'!E208</f>
        <v>114012.73270896953</v>
      </c>
      <c r="H201" s="39">
        <f t="shared" si="58"/>
        <v>15.505224132120029</v>
      </c>
      <c r="I201" s="39">
        <f t="shared" si="59"/>
        <v>186.06268958544035</v>
      </c>
      <c r="J201" s="39">
        <f t="shared" si="42"/>
        <v>2.2977911763456897</v>
      </c>
      <c r="K201" s="39">
        <f t="shared" si="60"/>
        <v>69.891148280514727</v>
      </c>
      <c r="L201" s="39">
        <f t="shared" si="61"/>
        <v>51106.13862383068</v>
      </c>
      <c r="N201">
        <f t="shared" si="43"/>
        <v>11.11182363199382</v>
      </c>
      <c r="O201">
        <f t="shared" si="44"/>
        <v>2973.5466811126325</v>
      </c>
      <c r="P201">
        <f t="shared" si="49"/>
        <v>2.9735466811126328</v>
      </c>
      <c r="Q201" s="161">
        <f t="shared" si="50"/>
        <v>5.3748878592176599</v>
      </c>
      <c r="S201" s="157">
        <f t="shared" si="51"/>
        <v>0.2284932715530596</v>
      </c>
      <c r="T201" s="157">
        <v>0.05</v>
      </c>
      <c r="U201" s="157">
        <f t="shared" si="45"/>
        <v>0.2284932715530596</v>
      </c>
      <c r="V201" s="157">
        <f t="shared" si="46"/>
        <v>0.18693273401675053</v>
      </c>
      <c r="W201" s="157">
        <f t="shared" si="47"/>
        <v>0.21443997683239735</v>
      </c>
      <c r="Y201" s="157">
        <f t="shared" si="48"/>
        <v>-0.16910531000353471</v>
      </c>
      <c r="Z201" s="157">
        <f t="shared" si="52"/>
        <v>5.9387961549524887E-2</v>
      </c>
      <c r="AB201" s="2">
        <f>'Price Deck'!P195/'Price Deck'!M195</f>
        <v>17.47749554738774</v>
      </c>
      <c r="AC201" s="161">
        <f t="shared" si="53"/>
        <v>5.3748878592176599</v>
      </c>
      <c r="AE201" s="161">
        <f t="shared" si="54"/>
        <v>1221.5222328745124</v>
      </c>
      <c r="AF201">
        <f t="shared" si="55"/>
        <v>5.9387961549524887E-2</v>
      </c>
      <c r="AG201" s="165">
        <f t="shared" si="56"/>
        <v>72.543715397841325</v>
      </c>
      <c r="AH201" s="165">
        <f t="shared" si="57"/>
        <v>0.45669924676211238</v>
      </c>
    </row>
    <row r="202" spans="1:34">
      <c r="A202" t="str">
        <f>'Price Deck'!A196</f>
        <v>04/2033</v>
      </c>
      <c r="B202" s="39">
        <f>'Liquids Type Curve'!A209</f>
        <v>15.588557465453363</v>
      </c>
      <c r="C202" s="39">
        <f>'Liquids Type Curve'!B209</f>
        <v>187.06268958544035</v>
      </c>
      <c r="D202" s="39">
        <f>'Liquids Type Curve'!C209</f>
        <v>5.1962269242300438</v>
      </c>
      <c r="E202" s="39">
        <f>'Liquids Type Curve'!D209</f>
        <v>158.05190227866385</v>
      </c>
      <c r="F202" s="39">
        <f>'Liquids Type Curve'!E209</f>
        <v>114170.78461124819</v>
      </c>
      <c r="H202" s="39">
        <f t="shared" si="58"/>
        <v>15.588557465453363</v>
      </c>
      <c r="I202" s="39">
        <f t="shared" si="59"/>
        <v>187.06268958544035</v>
      </c>
      <c r="J202" s="39">
        <f t="shared" si="42"/>
        <v>2.2863398466612193</v>
      </c>
      <c r="K202" s="39">
        <f t="shared" si="60"/>
        <v>69.542837002612089</v>
      </c>
      <c r="L202" s="39">
        <f t="shared" si="61"/>
        <v>51175.681460833293</v>
      </c>
      <c r="N202">
        <f t="shared" si="43"/>
        <v>11.056446469301422</v>
      </c>
      <c r="O202">
        <f t="shared" si="44"/>
        <v>2958.7276393615289</v>
      </c>
      <c r="P202">
        <f t="shared" si="49"/>
        <v>2.9587276393615287</v>
      </c>
      <c r="Q202" s="161">
        <f t="shared" si="50"/>
        <v>5.3748878592176599</v>
      </c>
      <c r="S202" s="157">
        <f t="shared" si="51"/>
        <v>0.2284932715530596</v>
      </c>
      <c r="T202" s="157">
        <v>0.05</v>
      </c>
      <c r="U202" s="157">
        <f t="shared" si="45"/>
        <v>0.2284932715530596</v>
      </c>
      <c r="V202" s="157">
        <f t="shared" si="46"/>
        <v>0.18693273401675053</v>
      </c>
      <c r="W202" s="157">
        <f t="shared" si="47"/>
        <v>0.21443997683239735</v>
      </c>
      <c r="Y202" s="157">
        <f t="shared" si="48"/>
        <v>-0.16911262616444722</v>
      </c>
      <c r="Z202" s="157">
        <f t="shared" si="52"/>
        <v>5.9380645388612374E-2</v>
      </c>
      <c r="AB202" s="2">
        <f>'Price Deck'!P196/'Price Deck'!M196</f>
        <v>17.47749554738774</v>
      </c>
      <c r="AC202" s="161">
        <f t="shared" si="53"/>
        <v>5.3748878592176599</v>
      </c>
      <c r="AE202" s="161">
        <f t="shared" si="54"/>
        <v>1215.4346240658642</v>
      </c>
      <c r="AF202">
        <f t="shared" si="55"/>
        <v>5.9380645388612374E-2</v>
      </c>
      <c r="AG202" s="165">
        <f t="shared" si="56"/>
        <v>72.173292404696468</v>
      </c>
      <c r="AH202" s="165">
        <f t="shared" si="57"/>
        <v>0.45664298476741255</v>
      </c>
    </row>
    <row r="203" spans="1:34">
      <c r="A203" t="str">
        <f>'Price Deck'!A197</f>
        <v>05/2033</v>
      </c>
      <c r="B203" s="39">
        <f>'Liquids Type Curve'!A210</f>
        <v>15.671890798786697</v>
      </c>
      <c r="C203" s="39">
        <f>'Liquids Type Curve'!B210</f>
        <v>188.06268958544035</v>
      </c>
      <c r="D203" s="39">
        <f>'Liquids Type Curve'!C210</f>
        <v>5.1704686014916517</v>
      </c>
      <c r="E203" s="39">
        <f>'Liquids Type Curve'!D210</f>
        <v>157.26841996203774</v>
      </c>
      <c r="F203" s="39">
        <f>'Liquids Type Curve'!E210</f>
        <v>114328.05303121023</v>
      </c>
      <c r="H203" s="39">
        <f t="shared" si="58"/>
        <v>15.671890798786697</v>
      </c>
      <c r="I203" s="39">
        <f t="shared" si="59"/>
        <v>188.06268958544035</v>
      </c>
      <c r="J203" s="39">
        <f t="shared" ref="J203:J255" si="62">D203*$C$2</f>
        <v>2.2750061846563265</v>
      </c>
      <c r="K203" s="39">
        <f t="shared" si="60"/>
        <v>69.1981047832966</v>
      </c>
      <c r="L203" s="39">
        <f t="shared" si="61"/>
        <v>51244.879565616589</v>
      </c>
      <c r="N203">
        <f t="shared" ref="N203:N255" si="63">K203*$B$2</f>
        <v>11.001638332426564</v>
      </c>
      <c r="O203">
        <f t="shared" ref="O203:O255" si="64">N203*$N$7</f>
        <v>2944.0608700804764</v>
      </c>
      <c r="P203">
        <f t="shared" si="49"/>
        <v>2.9440608700804765</v>
      </c>
      <c r="Q203" s="161">
        <f t="shared" si="50"/>
        <v>5.3748878592176599</v>
      </c>
      <c r="S203" s="157">
        <f t="shared" si="51"/>
        <v>0.2284932715530596</v>
      </c>
      <c r="T203" s="157">
        <v>0.05</v>
      </c>
      <c r="U203" s="157">
        <f t="shared" ref="U203:U255" si="65">+(Q203-$U$4)*0.06+0.05</f>
        <v>0.2284932715530596</v>
      </c>
      <c r="V203" s="157">
        <f t="shared" ref="V203:V255" si="66">(Q203-$V$4)*0.0425+0.086</f>
        <v>0.18693273401675053</v>
      </c>
      <c r="W203" s="157">
        <f t="shared" ref="W203:W255" si="67">(Q203-$W$4)*0.0225+0.24538</f>
        <v>0.21443997683239735</v>
      </c>
      <c r="Y203" s="157">
        <f t="shared" ref="Y203:Y255" si="68">IF(P203&gt;$D$2,0,(P203-$D$2)*0.0004937)</f>
        <v>-0.16911986714844127</v>
      </c>
      <c r="Z203" s="157">
        <f t="shared" si="52"/>
        <v>5.937340440461833E-2</v>
      </c>
      <c r="AB203" s="2">
        <f>'Price Deck'!P197/'Price Deck'!M197</f>
        <v>17.47749554738774</v>
      </c>
      <c r="AC203" s="161">
        <f t="shared" si="53"/>
        <v>5.3748878592176599</v>
      </c>
      <c r="AE203" s="161">
        <f t="shared" si="54"/>
        <v>1209.4095682377365</v>
      </c>
      <c r="AF203">
        <f t="shared" si="55"/>
        <v>5.937340440461833E-2</v>
      </c>
      <c r="AG203" s="165">
        <f t="shared" si="56"/>
        <v>71.806763385793971</v>
      </c>
      <c r="AH203" s="165">
        <f t="shared" si="57"/>
        <v>0.45658730089058602</v>
      </c>
    </row>
    <row r="204" spans="1:34">
      <c r="A204" t="str">
        <f>'Price Deck'!A198</f>
        <v>06/2033</v>
      </c>
      <c r="B204" s="39">
        <f>'Liquids Type Curve'!A211</f>
        <v>15.755224132120031</v>
      </c>
      <c r="C204" s="39">
        <f>'Liquids Type Curve'!B211</f>
        <v>189.06268958544035</v>
      </c>
      <c r="D204" s="39">
        <f>'Liquids Type Curve'!C211</f>
        <v>5.1449735571625812</v>
      </c>
      <c r="E204" s="39">
        <f>'Liquids Type Curve'!D211</f>
        <v>156.49294569702852</v>
      </c>
      <c r="F204" s="39">
        <f>'Liquids Type Curve'!E211</f>
        <v>114484.54597690726</v>
      </c>
      <c r="H204" s="39">
        <f t="shared" si="58"/>
        <v>15.755224132120031</v>
      </c>
      <c r="I204" s="39">
        <f t="shared" si="59"/>
        <v>189.06268958544035</v>
      </c>
      <c r="J204" s="39">
        <f t="shared" si="62"/>
        <v>2.2637883651515356</v>
      </c>
      <c r="K204" s="39">
        <f t="shared" si="60"/>
        <v>68.856896106692545</v>
      </c>
      <c r="L204" s="39">
        <f t="shared" si="61"/>
        <v>51313.736461723282</v>
      </c>
      <c r="N204">
        <f t="shared" si="63"/>
        <v>10.947390395035223</v>
      </c>
      <c r="O204">
        <f t="shared" si="64"/>
        <v>2929.5440113244772</v>
      </c>
      <c r="P204">
        <f t="shared" ref="P204:P255" si="69">O204/1000</f>
        <v>2.9295440113244773</v>
      </c>
      <c r="Q204" s="161">
        <f t="shared" ref="Q204:Q255" si="70">AC204</f>
        <v>5.3748878592176599</v>
      </c>
      <c r="S204" s="157">
        <f t="shared" ref="S204:S255" si="71">MIN(IF(Q204&gt;$U$4,U204,IF(Q204&gt;$V$4,V204,IF(Q204&gt;$W$4,W204,T204))),0.36)</f>
        <v>0.2284932715530596</v>
      </c>
      <c r="T204" s="157">
        <v>0.05</v>
      </c>
      <c r="U204" s="157">
        <f t="shared" si="65"/>
        <v>0.2284932715530596</v>
      </c>
      <c r="V204" s="157">
        <f t="shared" si="66"/>
        <v>0.18693273401675053</v>
      </c>
      <c r="W204" s="157">
        <f t="shared" si="67"/>
        <v>0.21443997683239735</v>
      </c>
      <c r="Y204" s="157">
        <f t="shared" si="68"/>
        <v>-0.16912703412160912</v>
      </c>
      <c r="Z204" s="157">
        <f t="shared" ref="Z204:Z255" si="72">MAX(Y204+S204,0.05)</f>
        <v>5.9366237431450475E-2</v>
      </c>
      <c r="AB204" s="2">
        <f>'Price Deck'!P198/'Price Deck'!M198</f>
        <v>17.47749554738774</v>
      </c>
      <c r="AC204" s="161">
        <f t="shared" ref="AC204:AC255" si="73">AB204/$AB$7</f>
        <v>5.3748878592176599</v>
      </c>
      <c r="AE204" s="161">
        <f t="shared" ref="AE204:AE255" si="74">AB204*K204</f>
        <v>1203.4460951116591</v>
      </c>
      <c r="AF204">
        <f t="shared" ref="AF204:AF255" si="75">IF(I204&lt;$A$5, 0.05,Z204)</f>
        <v>5.9366237431450475E-2</v>
      </c>
      <c r="AG204" s="165">
        <f t="shared" ref="AG204:AG255" si="76">+AE204*AF204</f>
        <v>71.444066618350689</v>
      </c>
      <c r="AH204" s="165">
        <f t="shared" ref="AH204:AH255" si="77">AG204/E204</f>
        <v>0.45653218616426916</v>
      </c>
    </row>
    <row r="205" spans="1:34">
      <c r="A205" t="str">
        <f>'Price Deck'!A199</f>
        <v>07/2033</v>
      </c>
      <c r="B205" s="39">
        <f>'Liquids Type Curve'!A212</f>
        <v>15.838557465453365</v>
      </c>
      <c r="C205" s="39">
        <f>'Liquids Type Curve'!B212</f>
        <v>190.06268958544038</v>
      </c>
      <c r="D205" s="39">
        <f>'Liquids Type Curve'!C212</f>
        <v>5.1197377289410921</v>
      </c>
      <c r="E205" s="39">
        <f>'Liquids Type Curve'!D212</f>
        <v>155.72535592195823</v>
      </c>
      <c r="F205" s="39">
        <f>'Liquids Type Curve'!E212</f>
        <v>114640.27133282922</v>
      </c>
      <c r="H205" s="39">
        <f t="shared" ref="H205:H255" si="78">B205</f>
        <v>15.838557465453365</v>
      </c>
      <c r="I205" s="39">
        <f t="shared" ref="I205:I255" si="79">C205</f>
        <v>190.06268958544038</v>
      </c>
      <c r="J205" s="39">
        <f t="shared" si="62"/>
        <v>2.2526846007340806</v>
      </c>
      <c r="K205" s="39">
        <f t="shared" ref="K205:K255" si="80">J205*(365/12)</f>
        <v>68.519156605661621</v>
      </c>
      <c r="L205" s="39">
        <f t="shared" ref="L205:L255" si="81">+L204+K205</f>
        <v>51382.255618328942</v>
      </c>
      <c r="N205">
        <f t="shared" si="63"/>
        <v>10.893694013428348</v>
      </c>
      <c r="O205">
        <f t="shared" si="64"/>
        <v>2915.1747500220254</v>
      </c>
      <c r="P205">
        <f t="shared" si="69"/>
        <v>2.9151747500220253</v>
      </c>
      <c r="Q205" s="161">
        <f t="shared" si="70"/>
        <v>5.3748878592176599</v>
      </c>
      <c r="S205" s="157">
        <f t="shared" si="71"/>
        <v>0.2284932715530596</v>
      </c>
      <c r="T205" s="157">
        <v>0.05</v>
      </c>
      <c r="U205" s="157">
        <f t="shared" si="65"/>
        <v>0.2284932715530596</v>
      </c>
      <c r="V205" s="157">
        <f t="shared" si="66"/>
        <v>0.18693273401675053</v>
      </c>
      <c r="W205" s="157">
        <f t="shared" si="67"/>
        <v>0.21443997683239735</v>
      </c>
      <c r="Y205" s="157">
        <f t="shared" si="68"/>
        <v>-0.16913412822591414</v>
      </c>
      <c r="Z205" s="157">
        <f t="shared" si="72"/>
        <v>5.9359143327145453E-2</v>
      </c>
      <c r="AB205" s="2">
        <f>'Price Deck'!P199/'Price Deck'!M199</f>
        <v>17.47749554738774</v>
      </c>
      <c r="AC205" s="161">
        <f t="shared" si="73"/>
        <v>5.3748878592176599</v>
      </c>
      <c r="AE205" s="161">
        <f t="shared" si="74"/>
        <v>1197.5432544862142</v>
      </c>
      <c r="AF205">
        <f t="shared" si="75"/>
        <v>5.9359143327145453E-2</v>
      </c>
      <c r="AG205" s="165">
        <f t="shared" si="76"/>
        <v>71.085141683503409</v>
      </c>
      <c r="AH205" s="165">
        <f t="shared" si="77"/>
        <v>0.45647763180665152</v>
      </c>
    </row>
    <row r="206" spans="1:34">
      <c r="A206" t="str">
        <f>'Price Deck'!A200</f>
        <v>08/2033</v>
      </c>
      <c r="B206" s="39">
        <f>'Liquids Type Curve'!A213</f>
        <v>15.921890798786698</v>
      </c>
      <c r="C206" s="39">
        <f>'Liquids Type Curve'!B213</f>
        <v>191.06268958544038</v>
      </c>
      <c r="D206" s="39">
        <f>'Liquids Type Curve'!C213</f>
        <v>5.0947571381427599</v>
      </c>
      <c r="E206" s="39">
        <f>'Liquids Type Curve'!D213</f>
        <v>154.96552961850895</v>
      </c>
      <c r="F206" s="39">
        <f>'Liquids Type Curve'!E213</f>
        <v>114795.23686244772</v>
      </c>
      <c r="H206" s="39">
        <f t="shared" si="78"/>
        <v>15.921890798786698</v>
      </c>
      <c r="I206" s="39">
        <f t="shared" si="79"/>
        <v>191.06268958544038</v>
      </c>
      <c r="J206" s="39">
        <f t="shared" si="62"/>
        <v>2.2416931407828145</v>
      </c>
      <c r="K206" s="39">
        <f t="shared" si="80"/>
        <v>68.184833032143942</v>
      </c>
      <c r="L206" s="39">
        <f t="shared" si="81"/>
        <v>51450.440451361086</v>
      </c>
      <c r="N206">
        <f t="shared" si="63"/>
        <v>10.840540721826439</v>
      </c>
      <c r="O206">
        <f t="shared" si="64"/>
        <v>2900.950820713249</v>
      </c>
      <c r="P206">
        <f t="shared" si="69"/>
        <v>2.9009508207132488</v>
      </c>
      <c r="Q206" s="161">
        <f t="shared" si="70"/>
        <v>5.3748878592176599</v>
      </c>
      <c r="S206" s="157">
        <f t="shared" si="71"/>
        <v>0.2284932715530596</v>
      </c>
      <c r="T206" s="157">
        <v>0.05</v>
      </c>
      <c r="U206" s="157">
        <f t="shared" si="65"/>
        <v>0.2284932715530596</v>
      </c>
      <c r="V206" s="157">
        <f t="shared" si="66"/>
        <v>0.18693273401675053</v>
      </c>
      <c r="W206" s="157">
        <f t="shared" si="67"/>
        <v>0.21443997683239735</v>
      </c>
      <c r="Y206" s="157">
        <f t="shared" si="68"/>
        <v>-0.16914115057981388</v>
      </c>
      <c r="Z206" s="157">
        <f t="shared" si="72"/>
        <v>5.9352120973245714E-2</v>
      </c>
      <c r="AB206" s="2">
        <f>'Price Deck'!P200/'Price Deck'!M200</f>
        <v>17.47749554738774</v>
      </c>
      <c r="AC206" s="161">
        <f t="shared" si="73"/>
        <v>5.3748878592176599</v>
      </c>
      <c r="AE206" s="161">
        <f t="shared" si="74"/>
        <v>1191.7001157186721</v>
      </c>
      <c r="AF206">
        <f t="shared" si="75"/>
        <v>5.9352120973245714E-2</v>
      </c>
      <c r="AG206" s="165">
        <f t="shared" si="76"/>
        <v>70.729929431965544</v>
      </c>
      <c r="AH206" s="165">
        <f t="shared" si="77"/>
        <v>0.456423629216685</v>
      </c>
    </row>
    <row r="207" spans="1:34">
      <c r="A207" t="str">
        <f>'Price Deck'!A201</f>
        <v>09/2033</v>
      </c>
      <c r="B207" s="39">
        <f>'Liquids Type Curve'!A214</f>
        <v>16.005224132120031</v>
      </c>
      <c r="C207" s="39">
        <f>'Liquids Type Curve'!B214</f>
        <v>192.06268958544035</v>
      </c>
      <c r="D207" s="39">
        <f>'Liquids Type Curve'!C214</f>
        <v>5.0700278875528531</v>
      </c>
      <c r="E207" s="39">
        <f>'Liquids Type Curve'!D214</f>
        <v>154.21334824639928</v>
      </c>
      <c r="F207" s="39">
        <f>'Liquids Type Curve'!E214</f>
        <v>114949.45021069412</v>
      </c>
      <c r="H207" s="39">
        <f t="shared" si="78"/>
        <v>16.005224132120031</v>
      </c>
      <c r="I207" s="39">
        <f t="shared" si="79"/>
        <v>192.06268958544035</v>
      </c>
      <c r="J207" s="39">
        <f t="shared" si="62"/>
        <v>2.2308122705232551</v>
      </c>
      <c r="K207" s="39">
        <f t="shared" si="80"/>
        <v>67.853873228415679</v>
      </c>
      <c r="L207" s="39">
        <f t="shared" si="81"/>
        <v>51518.2943245895</v>
      </c>
      <c r="N207">
        <f t="shared" si="63"/>
        <v>10.787922227799879</v>
      </c>
      <c r="O207">
        <f t="shared" si="64"/>
        <v>2886.8700043270596</v>
      </c>
      <c r="P207">
        <f t="shared" si="69"/>
        <v>2.8868700043270596</v>
      </c>
      <c r="Q207" s="161">
        <f t="shared" si="70"/>
        <v>5.3748878592176599</v>
      </c>
      <c r="S207" s="157">
        <f t="shared" si="71"/>
        <v>0.2284932715530596</v>
      </c>
      <c r="T207" s="157">
        <v>0.05</v>
      </c>
      <c r="U207" s="157">
        <f t="shared" si="65"/>
        <v>0.2284932715530596</v>
      </c>
      <c r="V207" s="157">
        <f t="shared" si="66"/>
        <v>0.18693273401675053</v>
      </c>
      <c r="W207" s="157">
        <f t="shared" si="67"/>
        <v>0.21443997683239735</v>
      </c>
      <c r="Y207" s="157">
        <f t="shared" si="68"/>
        <v>-0.16914810227886373</v>
      </c>
      <c r="Z207" s="157">
        <f t="shared" si="72"/>
        <v>5.9345169274195864E-2</v>
      </c>
      <c r="AB207" s="2">
        <f>'Price Deck'!P201/'Price Deck'!M201</f>
        <v>17.47749554738774</v>
      </c>
      <c r="AC207" s="161">
        <f t="shared" si="73"/>
        <v>5.3748878592176599</v>
      </c>
      <c r="AE207" s="161">
        <f t="shared" si="74"/>
        <v>1185.9157672226472</v>
      </c>
      <c r="AF207">
        <f t="shared" si="75"/>
        <v>5.9345169274195864E-2</v>
      </c>
      <c r="AG207" s="165">
        <f t="shared" si="76"/>
        <v>70.378371950765853</v>
      </c>
      <c r="AH207" s="165">
        <f t="shared" si="77"/>
        <v>0.45637016996944113</v>
      </c>
    </row>
    <row r="208" spans="1:34">
      <c r="A208" t="str">
        <f>'Price Deck'!A202</f>
        <v>10/2033</v>
      </c>
      <c r="B208" s="39">
        <f>'Liquids Type Curve'!A215</f>
        <v>16.088557465453363</v>
      </c>
      <c r="C208" s="39">
        <f>'Liquids Type Curve'!B215</f>
        <v>193.06268958544035</v>
      </c>
      <c r="D208" s="39">
        <f>'Liquids Type Curve'!C215</f>
        <v>5.0455461593446884</v>
      </c>
      <c r="E208" s="39">
        <f>'Liquids Type Curve'!D215</f>
        <v>153.46869568006761</v>
      </c>
      <c r="F208" s="39">
        <f>'Liquids Type Curve'!E215</f>
        <v>115102.91890637419</v>
      </c>
      <c r="H208" s="39">
        <f t="shared" si="78"/>
        <v>16.088557465453363</v>
      </c>
      <c r="I208" s="39">
        <f t="shared" si="79"/>
        <v>193.06268958544035</v>
      </c>
      <c r="J208" s="39">
        <f t="shared" si="62"/>
        <v>2.220040310111663</v>
      </c>
      <c r="K208" s="39">
        <f t="shared" si="80"/>
        <v>67.52622609922976</v>
      </c>
      <c r="L208" s="39">
        <f t="shared" si="81"/>
        <v>51585.820550688732</v>
      </c>
      <c r="N208">
        <f t="shared" si="63"/>
        <v>10.735830407839639</v>
      </c>
      <c r="O208">
        <f t="shared" si="64"/>
        <v>2872.9301269958632</v>
      </c>
      <c r="P208">
        <f t="shared" si="69"/>
        <v>2.8729301269958634</v>
      </c>
      <c r="Q208" s="161">
        <f t="shared" si="70"/>
        <v>5.3748878592176599</v>
      </c>
      <c r="S208" s="157">
        <f t="shared" si="71"/>
        <v>0.2284932715530596</v>
      </c>
      <c r="T208" s="157">
        <v>0.05</v>
      </c>
      <c r="U208" s="157">
        <f t="shared" si="65"/>
        <v>0.2284932715530596</v>
      </c>
      <c r="V208" s="157">
        <f t="shared" si="66"/>
        <v>0.18693273401675053</v>
      </c>
      <c r="W208" s="157">
        <f t="shared" si="67"/>
        <v>0.21443997683239735</v>
      </c>
      <c r="Y208" s="157">
        <f t="shared" si="68"/>
        <v>-0.16915498439630214</v>
      </c>
      <c r="Z208" s="157">
        <f t="shared" si="72"/>
        <v>5.9338287156757458E-2</v>
      </c>
      <c r="AB208" s="2">
        <f>'Price Deck'!P202/'Price Deck'!M202</f>
        <v>17.47749554738774</v>
      </c>
      <c r="AC208" s="161">
        <f t="shared" si="73"/>
        <v>5.3748878592176599</v>
      </c>
      <c r="AE208" s="161">
        <f t="shared" si="74"/>
        <v>1180.1893159811859</v>
      </c>
      <c r="AF208">
        <f t="shared" si="75"/>
        <v>5.9338287156757458E-2</v>
      </c>
      <c r="AG208" s="165">
        <f t="shared" si="76"/>
        <v>70.030412531028773</v>
      </c>
      <c r="AH208" s="165">
        <f t="shared" si="77"/>
        <v>0.45631724581161126</v>
      </c>
    </row>
    <row r="209" spans="1:34">
      <c r="A209" t="str">
        <f>'Price Deck'!A203</f>
        <v>11/2033</v>
      </c>
      <c r="B209" s="39">
        <f>'Liquids Type Curve'!A216</f>
        <v>16.171890798786695</v>
      </c>
      <c r="C209" s="39">
        <f>'Liquids Type Curve'!B216</f>
        <v>194.06268958544035</v>
      </c>
      <c r="D209" s="39">
        <f>'Liquids Type Curve'!C216</f>
        <v>5.0213082130616256</v>
      </c>
      <c r="E209" s="39">
        <f>'Liquids Type Curve'!D216</f>
        <v>152.73145814729111</v>
      </c>
      <c r="F209" s="39">
        <f>'Liquids Type Curve'!E216</f>
        <v>115255.65036452148</v>
      </c>
      <c r="H209" s="39">
        <f t="shared" si="78"/>
        <v>16.171890798786695</v>
      </c>
      <c r="I209" s="39">
        <f t="shared" si="79"/>
        <v>194.06268958544035</v>
      </c>
      <c r="J209" s="39">
        <f t="shared" si="62"/>
        <v>2.2093756137471154</v>
      </c>
      <c r="K209" s="39">
        <f t="shared" si="80"/>
        <v>67.201841584808093</v>
      </c>
      <c r="L209" s="39">
        <f t="shared" si="81"/>
        <v>51653.022392273539</v>
      </c>
      <c r="N209">
        <f t="shared" si="63"/>
        <v>10.684257303063387</v>
      </c>
      <c r="O209">
        <f t="shared" si="64"/>
        <v>2859.1290589065034</v>
      </c>
      <c r="P209">
        <f t="shared" si="69"/>
        <v>2.8591290589065035</v>
      </c>
      <c r="Q209" s="161">
        <f t="shared" si="70"/>
        <v>5.3748878592176599</v>
      </c>
      <c r="S209" s="157">
        <f t="shared" si="71"/>
        <v>0.2284932715530596</v>
      </c>
      <c r="T209" s="157">
        <v>0.05</v>
      </c>
      <c r="U209" s="157">
        <f t="shared" si="65"/>
        <v>0.2284932715530596</v>
      </c>
      <c r="V209" s="157">
        <f t="shared" si="66"/>
        <v>0.18693273401675053</v>
      </c>
      <c r="W209" s="157">
        <f t="shared" si="67"/>
        <v>0.21443997683239735</v>
      </c>
      <c r="Y209" s="157">
        <f t="shared" si="68"/>
        <v>-0.16916179798361788</v>
      </c>
      <c r="Z209" s="157">
        <f t="shared" si="72"/>
        <v>5.9331473569441712E-2</v>
      </c>
      <c r="AB209" s="2">
        <f>'Price Deck'!P203/'Price Deck'!M203</f>
        <v>17.47749554738774</v>
      </c>
      <c r="AC209" s="161">
        <f t="shared" si="73"/>
        <v>5.3748878592176599</v>
      </c>
      <c r="AE209" s="161">
        <f t="shared" si="74"/>
        <v>1174.5198870747397</v>
      </c>
      <c r="AF209">
        <f t="shared" si="75"/>
        <v>5.9331473569441712E-2</v>
      </c>
      <c r="AG209" s="165">
        <f t="shared" si="76"/>
        <v>69.685995636758577</v>
      </c>
      <c r="AH209" s="165">
        <f t="shared" si="77"/>
        <v>0.45626484865714317</v>
      </c>
    </row>
    <row r="210" spans="1:34">
      <c r="A210" t="str">
        <f>'Price Deck'!A204</f>
        <v>12/2033</v>
      </c>
      <c r="B210" s="39">
        <f>'Liquids Type Curve'!A217</f>
        <v>16.255224132120027</v>
      </c>
      <c r="C210" s="39">
        <f>'Liquids Type Curve'!B217</f>
        <v>195.06268958544032</v>
      </c>
      <c r="D210" s="39">
        <f>'Liquids Type Curve'!C217</f>
        <v>4.9973103836605013</v>
      </c>
      <c r="E210" s="39">
        <f>'Liquids Type Curve'!D217</f>
        <v>152.00152416967359</v>
      </c>
      <c r="F210" s="39">
        <f>'Liquids Type Curve'!E217</f>
        <v>115407.65188869115</v>
      </c>
      <c r="H210" s="39">
        <f t="shared" si="78"/>
        <v>16.255224132120027</v>
      </c>
      <c r="I210" s="39">
        <f t="shared" si="79"/>
        <v>195.06268958544032</v>
      </c>
      <c r="J210" s="39">
        <f t="shared" si="62"/>
        <v>2.1988165688106207</v>
      </c>
      <c r="K210" s="39">
        <f t="shared" si="80"/>
        <v>66.880670634656383</v>
      </c>
      <c r="L210" s="39">
        <f t="shared" si="81"/>
        <v>51719.903062908197</v>
      </c>
      <c r="N210">
        <f t="shared" si="63"/>
        <v>10.633195115052368</v>
      </c>
      <c r="O210">
        <f t="shared" si="64"/>
        <v>2845.464713186208</v>
      </c>
      <c r="P210">
        <f t="shared" si="69"/>
        <v>2.8454647131862081</v>
      </c>
      <c r="Q210" s="161">
        <f t="shared" si="70"/>
        <v>5.3748878592176599</v>
      </c>
      <c r="S210" s="157">
        <f t="shared" si="71"/>
        <v>0.2284932715530596</v>
      </c>
      <c r="T210" s="157">
        <v>0.05</v>
      </c>
      <c r="U210" s="157">
        <f t="shared" si="65"/>
        <v>0.2284932715530596</v>
      </c>
      <c r="V210" s="157">
        <f t="shared" si="66"/>
        <v>0.18693273401675053</v>
      </c>
      <c r="W210" s="157">
        <f t="shared" si="67"/>
        <v>0.21443997683239735</v>
      </c>
      <c r="Y210" s="157">
        <f t="shared" si="68"/>
        <v>-0.16916854407109996</v>
      </c>
      <c r="Z210" s="157">
        <f t="shared" si="72"/>
        <v>5.9324727481959633E-2</v>
      </c>
      <c r="AB210" s="2">
        <f>'Price Deck'!P204/'Price Deck'!M204</f>
        <v>17.47749554738774</v>
      </c>
      <c r="AC210" s="161">
        <f t="shared" si="73"/>
        <v>5.3748878592176599</v>
      </c>
      <c r="AE210" s="161">
        <f t="shared" si="74"/>
        <v>1168.906623223513</v>
      </c>
      <c r="AF210">
        <f t="shared" si="75"/>
        <v>5.9324727481959633E-2</v>
      </c>
      <c r="AG210" s="165">
        <f t="shared" si="76"/>
        <v>69.345066874592575</v>
      </c>
      <c r="AH210" s="165">
        <f t="shared" si="77"/>
        <v>0.45621297058301391</v>
      </c>
    </row>
    <row r="211" spans="1:34">
      <c r="A211" t="str">
        <f>'Price Deck'!A205</f>
        <v>01/2034</v>
      </c>
      <c r="B211" s="39">
        <f>'Liquids Type Curve'!A218</f>
        <v>16.338557465453359</v>
      </c>
      <c r="C211" s="39">
        <f>'Liquids Type Curve'!B218</f>
        <v>196.0626895854403</v>
      </c>
      <c r="D211" s="39">
        <f>'Liquids Type Curve'!C218</f>
        <v>4.9735490796141626</v>
      </c>
      <c r="E211" s="39">
        <f>'Liquids Type Curve'!D218</f>
        <v>151.2787845049308</v>
      </c>
      <c r="F211" s="39">
        <f>'Liquids Type Curve'!E218</f>
        <v>115558.93067319608</v>
      </c>
      <c r="H211" s="39">
        <f t="shared" si="78"/>
        <v>16.338557465453359</v>
      </c>
      <c r="I211" s="39">
        <f t="shared" si="79"/>
        <v>196.0626895854403</v>
      </c>
      <c r="J211" s="39">
        <f t="shared" si="62"/>
        <v>2.1883615950302318</v>
      </c>
      <c r="K211" s="39">
        <f t="shared" si="80"/>
        <v>66.562665182169553</v>
      </c>
      <c r="L211" s="39">
        <f t="shared" si="81"/>
        <v>51786.46572809037</v>
      </c>
      <c r="N211">
        <f t="shared" si="63"/>
        <v>10.582636201813978</v>
      </c>
      <c r="O211">
        <f t="shared" si="64"/>
        <v>2831.9350448221594</v>
      </c>
      <c r="P211">
        <f t="shared" si="69"/>
        <v>2.8319350448221594</v>
      </c>
      <c r="Q211" s="161">
        <f t="shared" si="70"/>
        <v>5.3748878592176599</v>
      </c>
      <c r="S211" s="157">
        <f t="shared" si="71"/>
        <v>0.2284932715530596</v>
      </c>
      <c r="T211" s="157">
        <v>0.05</v>
      </c>
      <c r="U211" s="157">
        <f t="shared" si="65"/>
        <v>0.2284932715530596</v>
      </c>
      <c r="V211" s="157">
        <f t="shared" si="66"/>
        <v>0.18693273401675053</v>
      </c>
      <c r="W211" s="157">
        <f t="shared" si="67"/>
        <v>0.21443997683239735</v>
      </c>
      <c r="Y211" s="157">
        <f t="shared" si="68"/>
        <v>-0.16917522366837132</v>
      </c>
      <c r="Z211" s="157">
        <f t="shared" si="72"/>
        <v>5.931804788468828E-2</v>
      </c>
      <c r="AB211" s="2">
        <f>'Price Deck'!P205/'Price Deck'!M205</f>
        <v>17.47749554738774</v>
      </c>
      <c r="AC211" s="161">
        <f t="shared" si="73"/>
        <v>5.3748878592176599</v>
      </c>
      <c r="AE211" s="161">
        <f t="shared" si="74"/>
        <v>1163.3486843436292</v>
      </c>
      <c r="AF211">
        <f t="shared" si="75"/>
        <v>5.931804788468828E-2</v>
      </c>
      <c r="AG211" s="165">
        <f t="shared" si="76"/>
        <v>69.00757296448451</v>
      </c>
      <c r="AH211" s="165">
        <f t="shared" si="77"/>
        <v>0.45616160382512372</v>
      </c>
    </row>
    <row r="212" spans="1:34">
      <c r="A212" t="str">
        <f>'Price Deck'!A206</f>
        <v>02/2034</v>
      </c>
      <c r="B212" s="39">
        <f>'Liquids Type Curve'!A219</f>
        <v>16.421890798786691</v>
      </c>
      <c r="C212" s="39">
        <f>'Liquids Type Curve'!B219</f>
        <v>197.0626895854403</v>
      </c>
      <c r="D212" s="39">
        <f>'Liquids Type Curve'!C219</f>
        <v>4.950020781071248</v>
      </c>
      <c r="E212" s="39">
        <f>'Liquids Type Curve'!D219</f>
        <v>150.56313209091712</v>
      </c>
      <c r="F212" s="39">
        <f>'Liquids Type Curve'!E219</f>
        <v>115709.493805287</v>
      </c>
      <c r="H212" s="39">
        <f t="shared" si="78"/>
        <v>16.421890798786691</v>
      </c>
      <c r="I212" s="39">
        <f t="shared" si="79"/>
        <v>197.0626895854403</v>
      </c>
      <c r="J212" s="39">
        <f t="shared" si="62"/>
        <v>2.1780091436713493</v>
      </c>
      <c r="K212" s="39">
        <f t="shared" si="80"/>
        <v>66.247778120003545</v>
      </c>
      <c r="L212" s="39">
        <f t="shared" si="81"/>
        <v>51852.713506210377</v>
      </c>
      <c r="N212">
        <f t="shared" si="63"/>
        <v>10.532573073866187</v>
      </c>
      <c r="O212">
        <f t="shared" si="64"/>
        <v>2818.5380496136818</v>
      </c>
      <c r="P212">
        <f t="shared" si="69"/>
        <v>2.8185380496136818</v>
      </c>
      <c r="Q212" s="161">
        <f t="shared" si="70"/>
        <v>5.3748878592176599</v>
      </c>
      <c r="S212" s="157">
        <f t="shared" si="71"/>
        <v>0.2284932715530596</v>
      </c>
      <c r="T212" s="157">
        <v>0.05</v>
      </c>
      <c r="U212" s="157">
        <f t="shared" si="65"/>
        <v>0.2284932715530596</v>
      </c>
      <c r="V212" s="157">
        <f t="shared" si="66"/>
        <v>0.18693273401675053</v>
      </c>
      <c r="W212" s="157">
        <f t="shared" si="67"/>
        <v>0.21443997683239735</v>
      </c>
      <c r="Y212" s="157">
        <f t="shared" si="68"/>
        <v>-0.16918183776490575</v>
      </c>
      <c r="Z212" s="157">
        <f t="shared" si="72"/>
        <v>5.9311433788153844E-2</v>
      </c>
      <c r="AB212" s="2">
        <f>'Price Deck'!P206/'Price Deck'!M206</f>
        <v>17.47749554738774</v>
      </c>
      <c r="AC212" s="161">
        <f t="shared" si="73"/>
        <v>5.3748878592176599</v>
      </c>
      <c r="AE212" s="161">
        <f t="shared" si="74"/>
        <v>1157.8452471166929</v>
      </c>
      <c r="AF212">
        <f t="shared" si="75"/>
        <v>5.9311433788153844E-2</v>
      </c>
      <c r="AG212" s="165">
        <f t="shared" si="76"/>
        <v>68.673461711290358</v>
      </c>
      <c r="AH212" s="165">
        <f t="shared" si="77"/>
        <v>0.4561107407743224</v>
      </c>
    </row>
    <row r="213" spans="1:34">
      <c r="A213" t="str">
        <f>'Price Deck'!A207</f>
        <v>03/2034</v>
      </c>
      <c r="B213" s="39">
        <f>'Liquids Type Curve'!A220</f>
        <v>16.505224132120023</v>
      </c>
      <c r="C213" s="39">
        <f>'Liquids Type Curve'!B220</f>
        <v>198.0626895854403</v>
      </c>
      <c r="D213" s="39">
        <f>'Liquids Type Curve'!C220</f>
        <v>4.9267220380709889</v>
      </c>
      <c r="E213" s="39">
        <f>'Liquids Type Curve'!D220</f>
        <v>149.85446199132591</v>
      </c>
      <c r="F213" s="39">
        <f>'Liquids Type Curve'!E220</f>
        <v>115859.34826727833</v>
      </c>
      <c r="H213" s="39">
        <f t="shared" si="78"/>
        <v>16.505224132120023</v>
      </c>
      <c r="I213" s="39">
        <f t="shared" si="79"/>
        <v>198.0626895854403</v>
      </c>
      <c r="J213" s="39">
        <f t="shared" si="62"/>
        <v>2.1677576967512353</v>
      </c>
      <c r="K213" s="39">
        <f t="shared" si="80"/>
        <v>65.935963276183415</v>
      </c>
      <c r="L213" s="39">
        <f t="shared" si="81"/>
        <v>51918.649469486561</v>
      </c>
      <c r="N213">
        <f t="shared" si="63"/>
        <v>10.482998390439031</v>
      </c>
      <c r="O213">
        <f t="shared" si="64"/>
        <v>2805.2717631557512</v>
      </c>
      <c r="P213">
        <f t="shared" si="69"/>
        <v>2.8052717631557513</v>
      </c>
      <c r="Q213" s="161">
        <f t="shared" si="70"/>
        <v>5.455511177105925</v>
      </c>
      <c r="S213" s="157">
        <f t="shared" si="71"/>
        <v>0.23333067062635549</v>
      </c>
      <c r="T213" s="157">
        <v>0.05</v>
      </c>
      <c r="U213" s="157">
        <f t="shared" si="65"/>
        <v>0.23333067062635549</v>
      </c>
      <c r="V213" s="157">
        <f t="shared" si="66"/>
        <v>0.19035922502700181</v>
      </c>
      <c r="W213" s="157">
        <f t="shared" si="67"/>
        <v>0.2162540014848833</v>
      </c>
      <c r="Y213" s="157">
        <f t="shared" si="68"/>
        <v>-0.16918838733053002</v>
      </c>
      <c r="Z213" s="157">
        <f t="shared" si="72"/>
        <v>6.414228329582547E-2</v>
      </c>
      <c r="AB213" s="2">
        <f>'Price Deck'!P207/'Price Deck'!M207</f>
        <v>17.739657980598555</v>
      </c>
      <c r="AC213" s="161">
        <f t="shared" si="73"/>
        <v>5.455511177105925</v>
      </c>
      <c r="AE213" s="161">
        <f t="shared" si="74"/>
        <v>1169.6814371408004</v>
      </c>
      <c r="AF213">
        <f t="shared" si="75"/>
        <v>6.414228329582547E-2</v>
      </c>
      <c r="AG213" s="165">
        <f t="shared" si="76"/>
        <v>75.026038106953493</v>
      </c>
      <c r="AH213" s="165">
        <f t="shared" si="77"/>
        <v>0.50065935381554583</v>
      </c>
    </row>
    <row r="214" spans="1:34">
      <c r="A214" t="str">
        <f>'Price Deck'!A208</f>
        <v>04/2034</v>
      </c>
      <c r="B214" s="39">
        <f>'Liquids Type Curve'!A221</f>
        <v>16.588557465453356</v>
      </c>
      <c r="C214" s="39">
        <f>'Liquids Type Curve'!B221</f>
        <v>199.06268958544027</v>
      </c>
      <c r="D214" s="39">
        <f>'Liquids Type Curve'!C221</f>
        <v>4.9036494688113113</v>
      </c>
      <c r="E214" s="39">
        <f>'Liquids Type Curve'!D221</f>
        <v>149.15267134301072</v>
      </c>
      <c r="F214" s="39">
        <f>'Liquids Type Curve'!E221</f>
        <v>116008.50093862134</v>
      </c>
      <c r="H214" s="39">
        <f t="shared" si="78"/>
        <v>16.588557465453356</v>
      </c>
      <c r="I214" s="39">
        <f t="shared" si="79"/>
        <v>199.06268958544027</v>
      </c>
      <c r="J214" s="39">
        <f t="shared" si="62"/>
        <v>2.1576057662769768</v>
      </c>
      <c r="K214" s="39">
        <f t="shared" si="80"/>
        <v>65.627175390924705</v>
      </c>
      <c r="L214" s="39">
        <f t="shared" si="81"/>
        <v>51984.276644877486</v>
      </c>
      <c r="N214">
        <f t="shared" si="63"/>
        <v>10.433904955789485</v>
      </c>
      <c r="O214">
        <f t="shared" si="64"/>
        <v>2792.1342598528499</v>
      </c>
      <c r="P214">
        <f t="shared" si="69"/>
        <v>2.7921342598528498</v>
      </c>
      <c r="Q214" s="161">
        <f t="shared" si="70"/>
        <v>5.455511177105925</v>
      </c>
      <c r="S214" s="157">
        <f t="shared" si="71"/>
        <v>0.23333067062635549</v>
      </c>
      <c r="T214" s="157">
        <v>0.05</v>
      </c>
      <c r="U214" s="157">
        <f t="shared" si="65"/>
        <v>0.23333067062635549</v>
      </c>
      <c r="V214" s="157">
        <f t="shared" si="66"/>
        <v>0.19035922502700181</v>
      </c>
      <c r="W214" s="157">
        <f t="shared" si="67"/>
        <v>0.2162540014848833</v>
      </c>
      <c r="Y214" s="157">
        <f t="shared" si="68"/>
        <v>-0.16919487331591065</v>
      </c>
      <c r="Z214" s="157">
        <f t="shared" si="72"/>
        <v>6.4135797310444831E-2</v>
      </c>
      <c r="AB214" s="2">
        <f>'Price Deck'!P208/'Price Deck'!M208</f>
        <v>17.739657980598555</v>
      </c>
      <c r="AC214" s="161">
        <f t="shared" si="73"/>
        <v>5.455511177105925</v>
      </c>
      <c r="AE214" s="161">
        <f t="shared" si="74"/>
        <v>1164.2036456677586</v>
      </c>
      <c r="AF214">
        <f t="shared" si="75"/>
        <v>6.4135797310444831E-2</v>
      </c>
      <c r="AG214" s="165">
        <f t="shared" si="76"/>
        <v>74.66712904662829</v>
      </c>
      <c r="AH214" s="165">
        <f t="shared" si="77"/>
        <v>0.5006087277841248</v>
      </c>
    </row>
    <row r="215" spans="1:34">
      <c r="A215" t="str">
        <f>'Price Deck'!A209</f>
        <v>05/2034</v>
      </c>
      <c r="B215" s="39">
        <f>'Liquids Type Curve'!A222</f>
        <v>16.671890798786688</v>
      </c>
      <c r="C215" s="39">
        <f>'Liquids Type Curve'!B222</f>
        <v>200.06268958544024</v>
      </c>
      <c r="D215" s="39">
        <f>'Liquids Type Curve'!C222</f>
        <v>4.8807997579682105</v>
      </c>
      <c r="E215" s="39">
        <f>'Liquids Type Curve'!D222</f>
        <v>148.45765930486641</v>
      </c>
      <c r="F215" s="39">
        <f>'Liquids Type Curve'!E222</f>
        <v>116156.9585979262</v>
      </c>
      <c r="H215" s="39">
        <f t="shared" si="78"/>
        <v>16.671890798786688</v>
      </c>
      <c r="I215" s="39">
        <f t="shared" si="79"/>
        <v>200.06268958544024</v>
      </c>
      <c r="J215" s="39">
        <f t="shared" si="62"/>
        <v>2.1475518935060127</v>
      </c>
      <c r="K215" s="39">
        <f t="shared" si="80"/>
        <v>65.32137009414123</v>
      </c>
      <c r="L215" s="39">
        <f t="shared" si="81"/>
        <v>52049.598014971627</v>
      </c>
      <c r="N215">
        <f t="shared" si="63"/>
        <v>10.385285715625493</v>
      </c>
      <c r="O215">
        <f t="shared" si="64"/>
        <v>2779.1236519620265</v>
      </c>
      <c r="P215">
        <f t="shared" si="69"/>
        <v>2.7791236519620264</v>
      </c>
      <c r="Q215" s="161">
        <f t="shared" si="70"/>
        <v>5.455511177105925</v>
      </c>
      <c r="S215" s="157">
        <f t="shared" si="71"/>
        <v>0.23333067062635549</v>
      </c>
      <c r="T215" s="157">
        <v>0.05</v>
      </c>
      <c r="U215" s="157">
        <f t="shared" si="65"/>
        <v>0.23333067062635549</v>
      </c>
      <c r="V215" s="157">
        <f t="shared" si="66"/>
        <v>0.19035922502700181</v>
      </c>
      <c r="W215" s="157">
        <f t="shared" si="67"/>
        <v>0.2162540014848833</v>
      </c>
      <c r="Y215" s="157">
        <f t="shared" si="68"/>
        <v>-0.16920129665302636</v>
      </c>
      <c r="Z215" s="157">
        <f t="shared" si="72"/>
        <v>6.4129373973329129E-2</v>
      </c>
      <c r="AB215" s="2">
        <f>'Price Deck'!P209/'Price Deck'!M209</f>
        <v>17.739657980598555</v>
      </c>
      <c r="AC215" s="161">
        <f t="shared" si="73"/>
        <v>5.455511177105925</v>
      </c>
      <c r="AE215" s="161">
        <f t="shared" si="74"/>
        <v>1158.7787642941641</v>
      </c>
      <c r="AF215">
        <f t="shared" si="75"/>
        <v>6.4129373973329129E-2</v>
      </c>
      <c r="AG215" s="165">
        <f t="shared" si="76"/>
        <v>74.311756727772661</v>
      </c>
      <c r="AH215" s="165">
        <f t="shared" si="77"/>
        <v>0.5005585907505733</v>
      </c>
    </row>
    <row r="216" spans="1:34">
      <c r="A216" t="str">
        <f>'Price Deck'!A210</f>
        <v>06/2034</v>
      </c>
      <c r="B216" s="39">
        <f>'Liquids Type Curve'!A223</f>
        <v>16.75522413212002</v>
      </c>
      <c r="C216" s="39">
        <f>'Liquids Type Curve'!B223</f>
        <v>201.06268958544024</v>
      </c>
      <c r="D216" s="39">
        <f>'Liquids Type Curve'!C223</f>
        <v>4.858169655064815</v>
      </c>
      <c r="E216" s="39">
        <f>'Liquids Type Curve'!D223</f>
        <v>147.76932700822147</v>
      </c>
      <c r="F216" s="39">
        <f>'Liquids Type Curve'!E223</f>
        <v>116304.72792493443</v>
      </c>
      <c r="H216" s="39">
        <f t="shared" si="78"/>
        <v>16.75522413212002</v>
      </c>
      <c r="I216" s="39">
        <f t="shared" si="79"/>
        <v>201.06268958544024</v>
      </c>
      <c r="J216" s="39">
        <f t="shared" si="62"/>
        <v>2.1375946482285184</v>
      </c>
      <c r="K216" s="39">
        <f t="shared" si="80"/>
        <v>65.018503883617441</v>
      </c>
      <c r="L216" s="39">
        <f t="shared" si="81"/>
        <v>52114.616518855248</v>
      </c>
      <c r="N216">
        <f t="shared" si="63"/>
        <v>10.337133753635639</v>
      </c>
      <c r="O216">
        <f t="shared" si="64"/>
        <v>2766.2380886642313</v>
      </c>
      <c r="P216">
        <f t="shared" si="69"/>
        <v>2.7662380886642315</v>
      </c>
      <c r="Q216" s="161">
        <f t="shared" si="70"/>
        <v>5.455511177105925</v>
      </c>
      <c r="S216" s="157">
        <f t="shared" si="71"/>
        <v>0.23333067062635549</v>
      </c>
      <c r="T216" s="157">
        <v>0.05</v>
      </c>
      <c r="U216" s="157">
        <f t="shared" si="65"/>
        <v>0.23333067062635549</v>
      </c>
      <c r="V216" s="157">
        <f t="shared" si="66"/>
        <v>0.19035922502700181</v>
      </c>
      <c r="W216" s="157">
        <f t="shared" si="67"/>
        <v>0.2162540014848833</v>
      </c>
      <c r="Y216" s="157">
        <f t="shared" si="68"/>
        <v>-0.16920765825562648</v>
      </c>
      <c r="Z216" s="157">
        <f t="shared" si="72"/>
        <v>6.412301237072901E-2</v>
      </c>
      <c r="AB216" s="2">
        <f>'Price Deck'!P210/'Price Deck'!M210</f>
        <v>17.739657980598555</v>
      </c>
      <c r="AC216" s="161">
        <f t="shared" si="73"/>
        <v>5.455511177105925</v>
      </c>
      <c r="AE216" s="161">
        <f t="shared" si="74"/>
        <v>1153.4060213055923</v>
      </c>
      <c r="AF216">
        <f t="shared" si="75"/>
        <v>6.412301237072901E-2</v>
      </c>
      <c r="AG216" s="165">
        <f t="shared" si="76"/>
        <v>73.959868572651828</v>
      </c>
      <c r="AH216" s="165">
        <f t="shared" si="77"/>
        <v>0.50050893558266607</v>
      </c>
    </row>
    <row r="217" spans="1:34">
      <c r="A217" t="str">
        <f>'Price Deck'!A211</f>
        <v>07/2034</v>
      </c>
      <c r="B217" s="39">
        <f>'Liquids Type Curve'!A224</f>
        <v>16.838557465453352</v>
      </c>
      <c r="C217" s="39">
        <f>'Liquids Type Curve'!B224</f>
        <v>202.06268958544024</v>
      </c>
      <c r="D217" s="39">
        <f>'Liquids Type Curve'!C224</f>
        <v>4.8357559728882196</v>
      </c>
      <c r="E217" s="39">
        <f>'Liquids Type Curve'!D224</f>
        <v>147.08757750868335</v>
      </c>
      <c r="F217" s="39">
        <f>'Liquids Type Curve'!E224</f>
        <v>116451.81550244312</v>
      </c>
      <c r="H217" s="39">
        <f t="shared" si="78"/>
        <v>16.838557465453352</v>
      </c>
      <c r="I217" s="39">
        <f t="shared" si="79"/>
        <v>202.06268958544024</v>
      </c>
      <c r="J217" s="39">
        <f t="shared" si="62"/>
        <v>2.1277326280708166</v>
      </c>
      <c r="K217" s="39">
        <f t="shared" si="80"/>
        <v>64.718534103820673</v>
      </c>
      <c r="L217" s="39">
        <f t="shared" si="81"/>
        <v>52179.335052959068</v>
      </c>
      <c r="N217">
        <f t="shared" si="63"/>
        <v>10.289442288120556</v>
      </c>
      <c r="O217">
        <f t="shared" si="64"/>
        <v>2753.4757551628736</v>
      </c>
      <c r="P217">
        <f t="shared" si="69"/>
        <v>2.7534757551628735</v>
      </c>
      <c r="Q217" s="161">
        <f t="shared" si="70"/>
        <v>5.455511177105925</v>
      </c>
      <c r="S217" s="157">
        <f t="shared" si="71"/>
        <v>0.23333067062635549</v>
      </c>
      <c r="T217" s="157">
        <v>0.05</v>
      </c>
      <c r="U217" s="157">
        <f t="shared" si="65"/>
        <v>0.23333067062635549</v>
      </c>
      <c r="V217" s="157">
        <f t="shared" si="66"/>
        <v>0.19035922502700181</v>
      </c>
      <c r="W217" s="157">
        <f t="shared" si="67"/>
        <v>0.2162540014848833</v>
      </c>
      <c r="Y217" s="157">
        <f t="shared" si="68"/>
        <v>-0.16921395901967609</v>
      </c>
      <c r="Z217" s="157">
        <f t="shared" si="72"/>
        <v>6.4116711606679394E-2</v>
      </c>
      <c r="AB217" s="2">
        <f>'Price Deck'!P211/'Price Deck'!M211</f>
        <v>17.739657980598555</v>
      </c>
      <c r="AC217" s="161">
        <f t="shared" si="73"/>
        <v>5.455511177105925</v>
      </c>
      <c r="AE217" s="161">
        <f t="shared" si="74"/>
        <v>1148.0846600074822</v>
      </c>
      <c r="AF217">
        <f t="shared" si="75"/>
        <v>6.4116711606679394E-2</v>
      </c>
      <c r="AG217" s="165">
        <f t="shared" si="76"/>
        <v>73.6114130457523</v>
      </c>
      <c r="AH217" s="165">
        <f t="shared" si="77"/>
        <v>0.50045975528699305</v>
      </c>
    </row>
    <row r="218" spans="1:34">
      <c r="A218" t="str">
        <f>'Price Deck'!A212</f>
        <v>08/2034</v>
      </c>
      <c r="B218" s="39">
        <f>'Liquids Type Curve'!A225</f>
        <v>16.921890798786684</v>
      </c>
      <c r="C218" s="39">
        <f>'Liquids Type Curve'!B225</f>
        <v>203.06268958544021</v>
      </c>
      <c r="D218" s="39">
        <f>'Liquids Type Curve'!C225</f>
        <v>4.8135555859527122</v>
      </c>
      <c r="E218" s="39">
        <f>'Liquids Type Curve'!D225</f>
        <v>146.41231573939501</v>
      </c>
      <c r="F218" s="39">
        <f>'Liquids Type Curve'!E225</f>
        <v>116598.22781818251</v>
      </c>
      <c r="H218" s="39">
        <f t="shared" si="78"/>
        <v>16.921890798786684</v>
      </c>
      <c r="I218" s="39">
        <f t="shared" si="79"/>
        <v>203.06268958544021</v>
      </c>
      <c r="J218" s="39">
        <f t="shared" si="62"/>
        <v>2.1179644578191934</v>
      </c>
      <c r="K218" s="39">
        <f t="shared" si="80"/>
        <v>64.421418925333796</v>
      </c>
      <c r="L218" s="39">
        <f t="shared" si="81"/>
        <v>52243.756471884401</v>
      </c>
      <c r="N218">
        <f t="shared" si="63"/>
        <v>10.24220466872298</v>
      </c>
      <c r="O218">
        <f t="shared" si="64"/>
        <v>2740.8348718087773</v>
      </c>
      <c r="P218">
        <f t="shared" si="69"/>
        <v>2.7408348718087772</v>
      </c>
      <c r="Q218" s="161">
        <f t="shared" si="70"/>
        <v>5.455511177105925</v>
      </c>
      <c r="S218" s="157">
        <f t="shared" si="71"/>
        <v>0.23333067062635549</v>
      </c>
      <c r="T218" s="157">
        <v>0.05</v>
      </c>
      <c r="U218" s="157">
        <f t="shared" si="65"/>
        <v>0.23333067062635549</v>
      </c>
      <c r="V218" s="157">
        <f t="shared" si="66"/>
        <v>0.19035922502700181</v>
      </c>
      <c r="W218" s="157">
        <f t="shared" si="67"/>
        <v>0.2162540014848833</v>
      </c>
      <c r="Y218" s="157">
        <f t="shared" si="68"/>
        <v>-0.16922019982378803</v>
      </c>
      <c r="Z218" s="157">
        <f t="shared" si="72"/>
        <v>6.411047080256746E-2</v>
      </c>
      <c r="AB218" s="2">
        <f>'Price Deck'!P212/'Price Deck'!M212</f>
        <v>17.739657980598555</v>
      </c>
      <c r="AC218" s="161">
        <f t="shared" si="73"/>
        <v>5.455511177105925</v>
      </c>
      <c r="AE218" s="161">
        <f t="shared" si="74"/>
        <v>1142.8139383602804</v>
      </c>
      <c r="AF218">
        <f t="shared" si="75"/>
        <v>6.411047080256746E-2</v>
      </c>
      <c r="AG218" s="165">
        <f t="shared" si="76"/>
        <v>73.266339628013881</v>
      </c>
      <c r="AH218" s="165">
        <f t="shared" si="77"/>
        <v>0.50041104300558636</v>
      </c>
    </row>
    <row r="219" spans="1:34">
      <c r="A219" t="str">
        <f>'Price Deck'!A213</f>
        <v>09/2034</v>
      </c>
      <c r="B219" s="39">
        <f>'Liquids Type Curve'!A226</f>
        <v>17.005224132120016</v>
      </c>
      <c r="C219" s="39">
        <f>'Liquids Type Curve'!B226</f>
        <v>204.06268958544018</v>
      </c>
      <c r="D219" s="39">
        <f>'Liquids Type Curve'!C226</f>
        <v>4.7915654290075684</v>
      </c>
      <c r="E219" s="39">
        <f>'Liquids Type Curve'!D226</f>
        <v>145.74344846564688</v>
      </c>
      <c r="F219" s="39">
        <f>'Liquids Type Curve'!E226</f>
        <v>116743.97126664815</v>
      </c>
      <c r="H219" s="39">
        <f t="shared" si="78"/>
        <v>17.005224132120016</v>
      </c>
      <c r="I219" s="39">
        <f t="shared" si="79"/>
        <v>204.06268958544018</v>
      </c>
      <c r="J219" s="39">
        <f t="shared" si="62"/>
        <v>2.1082887887633301</v>
      </c>
      <c r="K219" s="39">
        <f t="shared" si="80"/>
        <v>64.127117324884622</v>
      </c>
      <c r="L219" s="39">
        <f t="shared" si="81"/>
        <v>52307.883589209283</v>
      </c>
      <c r="N219">
        <f t="shared" si="63"/>
        <v>10.195414373252667</v>
      </c>
      <c r="O219">
        <f t="shared" si="64"/>
        <v>2728.3136932505226</v>
      </c>
      <c r="P219">
        <f t="shared" si="69"/>
        <v>2.7283136932505228</v>
      </c>
      <c r="Q219" s="161">
        <f t="shared" si="70"/>
        <v>5.455511177105925</v>
      </c>
      <c r="S219" s="157">
        <f t="shared" si="71"/>
        <v>0.23333067062635549</v>
      </c>
      <c r="T219" s="157">
        <v>0.05</v>
      </c>
      <c r="U219" s="157">
        <f t="shared" si="65"/>
        <v>0.23333067062635549</v>
      </c>
      <c r="V219" s="157">
        <f t="shared" si="66"/>
        <v>0.19035922502700181</v>
      </c>
      <c r="W219" s="157">
        <f t="shared" si="67"/>
        <v>0.2162540014848833</v>
      </c>
      <c r="Y219" s="157">
        <f t="shared" si="68"/>
        <v>-0.16922638152964223</v>
      </c>
      <c r="Z219" s="157">
        <f t="shared" si="72"/>
        <v>6.4104289096713257E-2</v>
      </c>
      <c r="AB219" s="2">
        <f>'Price Deck'!P213/'Price Deck'!M213</f>
        <v>17.739657980598555</v>
      </c>
      <c r="AC219" s="161">
        <f t="shared" si="73"/>
        <v>5.455511177105925</v>
      </c>
      <c r="AE219" s="161">
        <f t="shared" si="74"/>
        <v>1137.5931286251694</v>
      </c>
      <c r="AF219">
        <f t="shared" si="75"/>
        <v>6.4104289096713257E-2</v>
      </c>
      <c r="AG219" s="165">
        <f t="shared" si="76"/>
        <v>72.924598791822362</v>
      </c>
      <c r="AH219" s="165">
        <f t="shared" si="77"/>
        <v>0.50036279201264666</v>
      </c>
    </row>
    <row r="220" spans="1:34">
      <c r="A220" t="str">
        <f>'Price Deck'!A214</f>
        <v>10/2034</v>
      </c>
      <c r="B220" s="39">
        <f>'Liquids Type Curve'!A227</f>
        <v>17.088557465453349</v>
      </c>
      <c r="C220" s="39">
        <f>'Liquids Type Curve'!B227</f>
        <v>205.06268958544018</v>
      </c>
      <c r="D220" s="39">
        <f>'Liquids Type Curve'!C227</f>
        <v>4.7697824955880703</v>
      </c>
      <c r="E220" s="39">
        <f>'Liquids Type Curve'!D227</f>
        <v>145.08088424080381</v>
      </c>
      <c r="F220" s="39">
        <f>'Liquids Type Curve'!E227</f>
        <v>116889.05215088895</v>
      </c>
      <c r="H220" s="39">
        <f t="shared" si="78"/>
        <v>17.088557465453349</v>
      </c>
      <c r="I220" s="39">
        <f t="shared" si="79"/>
        <v>205.06268958544018</v>
      </c>
      <c r="J220" s="39">
        <f t="shared" si="62"/>
        <v>2.0987042980587511</v>
      </c>
      <c r="K220" s="39">
        <f t="shared" si="80"/>
        <v>63.835589065953684</v>
      </c>
      <c r="L220" s="39">
        <f t="shared" si="81"/>
        <v>52371.719178275234</v>
      </c>
      <c r="N220">
        <f t="shared" si="63"/>
        <v>10.149065004603276</v>
      </c>
      <c r="O220">
        <f t="shared" si="64"/>
        <v>2715.9105076093974</v>
      </c>
      <c r="P220">
        <f t="shared" si="69"/>
        <v>2.7159105076093972</v>
      </c>
      <c r="Q220" s="161">
        <f t="shared" si="70"/>
        <v>5.455511177105925</v>
      </c>
      <c r="S220" s="157">
        <f t="shared" si="71"/>
        <v>0.23333067062635549</v>
      </c>
      <c r="T220" s="157">
        <v>0.05</v>
      </c>
      <c r="U220" s="157">
        <f t="shared" si="65"/>
        <v>0.23333067062635549</v>
      </c>
      <c r="V220" s="157">
        <f t="shared" si="66"/>
        <v>0.19035922502700181</v>
      </c>
      <c r="W220" s="157">
        <f t="shared" si="67"/>
        <v>0.2162540014848833</v>
      </c>
      <c r="Y220" s="157">
        <f t="shared" si="68"/>
        <v>-0.16923250498239326</v>
      </c>
      <c r="Z220" s="157">
        <f t="shared" si="72"/>
        <v>6.4098165643962229E-2</v>
      </c>
      <c r="AB220" s="2">
        <f>'Price Deck'!P214/'Price Deck'!M214</f>
        <v>17.739657980598555</v>
      </c>
      <c r="AC220" s="161">
        <f t="shared" si="73"/>
        <v>5.455511177105925</v>
      </c>
      <c r="AE220" s="161">
        <f t="shared" si="74"/>
        <v>1132.421517020055</v>
      </c>
      <c r="AF220">
        <f t="shared" si="75"/>
        <v>6.4098165643962229E-2</v>
      </c>
      <c r="AG220" s="165">
        <f t="shared" si="76"/>
        <v>72.586141976738475</v>
      </c>
      <c r="AH220" s="165">
        <f t="shared" si="77"/>
        <v>0.50031499571136273</v>
      </c>
    </row>
    <row r="221" spans="1:34">
      <c r="A221" t="str">
        <f>'Price Deck'!A215</f>
        <v>11/2034</v>
      </c>
      <c r="B221" s="39">
        <f>'Liquids Type Curve'!A228</f>
        <v>17.171890798786681</v>
      </c>
      <c r="C221" s="39">
        <f>'Liquids Type Curve'!B228</f>
        <v>206.06268958544018</v>
      </c>
      <c r="D221" s="39">
        <f>'Liquids Type Curve'!C228</f>
        <v>4.7482038366082584</v>
      </c>
      <c r="E221" s="39">
        <f>'Liquids Type Curve'!D228</f>
        <v>144.42453336350121</v>
      </c>
      <c r="F221" s="39">
        <f>'Liquids Type Curve'!E228</f>
        <v>117033.47668425246</v>
      </c>
      <c r="H221" s="39">
        <f t="shared" si="78"/>
        <v>17.171890798786681</v>
      </c>
      <c r="I221" s="39">
        <f t="shared" si="79"/>
        <v>206.06268958544018</v>
      </c>
      <c r="J221" s="39">
        <f t="shared" si="62"/>
        <v>2.0892096881076339</v>
      </c>
      <c r="K221" s="39">
        <f t="shared" si="80"/>
        <v>63.546794679940533</v>
      </c>
      <c r="L221" s="39">
        <f t="shared" si="81"/>
        <v>52435.265972955174</v>
      </c>
      <c r="N221">
        <f t="shared" si="63"/>
        <v>10.103150287758043</v>
      </c>
      <c r="O221">
        <f t="shared" si="64"/>
        <v>2703.6236356781092</v>
      </c>
      <c r="P221">
        <f t="shared" si="69"/>
        <v>2.7036236356781091</v>
      </c>
      <c r="Q221" s="161">
        <f t="shared" si="70"/>
        <v>5.455511177105925</v>
      </c>
      <c r="S221" s="157">
        <f t="shared" si="71"/>
        <v>0.23333067062635549</v>
      </c>
      <c r="T221" s="157">
        <v>0.05</v>
      </c>
      <c r="U221" s="157">
        <f t="shared" si="65"/>
        <v>0.23333067062635549</v>
      </c>
      <c r="V221" s="157">
        <f t="shared" si="66"/>
        <v>0.19035922502700181</v>
      </c>
      <c r="W221" s="157">
        <f t="shared" si="67"/>
        <v>0.2162540014848833</v>
      </c>
      <c r="Y221" s="157">
        <f t="shared" si="68"/>
        <v>-0.16923857101106571</v>
      </c>
      <c r="Z221" s="157">
        <f t="shared" si="72"/>
        <v>6.4092099615289777E-2</v>
      </c>
      <c r="AB221" s="2">
        <f>'Price Deck'!P215/'Price Deck'!M215</f>
        <v>17.739657980598555</v>
      </c>
      <c r="AC221" s="161">
        <f t="shared" si="73"/>
        <v>5.455511177105925</v>
      </c>
      <c r="AE221" s="161">
        <f t="shared" si="74"/>
        <v>1127.2984033854648</v>
      </c>
      <c r="AF221">
        <f t="shared" si="75"/>
        <v>6.4092099615289777E-2</v>
      </c>
      <c r="AG221" s="165">
        <f t="shared" si="76"/>
        <v>72.250921565938327</v>
      </c>
      <c r="AH221" s="165">
        <f t="shared" si="77"/>
        <v>0.50026764763082487</v>
      </c>
    </row>
    <row r="222" spans="1:34">
      <c r="A222" t="str">
        <f>'Price Deck'!A216</f>
        <v>01/2034</v>
      </c>
      <c r="B222" s="39">
        <f>'Liquids Type Curve'!A229</f>
        <v>17.255224132120013</v>
      </c>
      <c r="C222" s="39">
        <f>'Liquids Type Curve'!B229</f>
        <v>207.06268958544015</v>
      </c>
      <c r="D222" s="39">
        <f>'Liquids Type Curve'!C229</f>
        <v>4.7268265589939675</v>
      </c>
      <c r="E222" s="39">
        <f>'Liquids Type Curve'!D229</f>
        <v>143.77430783606653</v>
      </c>
      <c r="F222" s="39">
        <f>'Liquids Type Curve'!E229</f>
        <v>117177.25099208852</v>
      </c>
      <c r="H222" s="39">
        <f t="shared" si="78"/>
        <v>17.255224132120013</v>
      </c>
      <c r="I222" s="39">
        <f t="shared" si="79"/>
        <v>207.06268958544015</v>
      </c>
      <c r="J222" s="39">
        <f t="shared" si="62"/>
        <v>2.0798036859573457</v>
      </c>
      <c r="K222" s="39">
        <f t="shared" si="80"/>
        <v>63.260695447869267</v>
      </c>
      <c r="L222" s="39">
        <f t="shared" si="81"/>
        <v>52498.526668403043</v>
      </c>
      <c r="N222">
        <f t="shared" si="63"/>
        <v>10.057664066881184</v>
      </c>
      <c r="O222">
        <f t="shared" si="64"/>
        <v>2691.4514301424397</v>
      </c>
      <c r="P222">
        <f t="shared" si="69"/>
        <v>2.6914514301424397</v>
      </c>
      <c r="Q222" s="161">
        <f t="shared" si="70"/>
        <v>5.455511177105925</v>
      </c>
      <c r="S222" s="157">
        <f t="shared" si="71"/>
        <v>0.23333067062635549</v>
      </c>
      <c r="T222" s="157">
        <v>0.05</v>
      </c>
      <c r="U222" s="157">
        <f t="shared" si="65"/>
        <v>0.23333067062635549</v>
      </c>
      <c r="V222" s="157">
        <f t="shared" si="66"/>
        <v>0.19035922502700181</v>
      </c>
      <c r="W222" s="157">
        <f t="shared" si="67"/>
        <v>0.2162540014848833</v>
      </c>
      <c r="Y222" s="157">
        <f t="shared" si="68"/>
        <v>-0.1692445804289387</v>
      </c>
      <c r="Z222" s="157">
        <f t="shared" si="72"/>
        <v>6.408609019741679E-2</v>
      </c>
      <c r="AB222" s="2">
        <f>'Price Deck'!P216/'Price Deck'!M216</f>
        <v>17.739657980598555</v>
      </c>
      <c r="AC222" s="161">
        <f t="shared" si="73"/>
        <v>5.455511177105925</v>
      </c>
      <c r="AE222" s="161">
        <f t="shared" si="74"/>
        <v>1122.2231008600088</v>
      </c>
      <c r="AF222">
        <f t="shared" si="75"/>
        <v>6.408609019741679E-2</v>
      </c>
      <c r="AG222" s="165">
        <f t="shared" si="76"/>
        <v>71.918890863339286</v>
      </c>
      <c r="AH222" s="165">
        <f t="shared" si="77"/>
        <v>0.50022074142302397</v>
      </c>
    </row>
    <row r="223" spans="1:34">
      <c r="A223" t="str">
        <f>'Price Deck'!A217</f>
        <v>02/2034</v>
      </c>
      <c r="B223" s="39">
        <f>'Liquids Type Curve'!A230</f>
        <v>17.338557465453345</v>
      </c>
      <c r="C223" s="39">
        <f>'Liquids Type Curve'!B230</f>
        <v>208.06268958544013</v>
      </c>
      <c r="D223" s="39">
        <f>'Liquids Type Curve'!C230</f>
        <v>4.7056478243548634</v>
      </c>
      <c r="E223" s="39">
        <f>'Liquids Type Curve'!D230</f>
        <v>143.13012132412709</v>
      </c>
      <c r="F223" s="39">
        <f>'Liquids Type Curve'!E230</f>
        <v>117320.38111341264</v>
      </c>
      <c r="H223" s="39">
        <f t="shared" si="78"/>
        <v>17.338557465453345</v>
      </c>
      <c r="I223" s="39">
        <f t="shared" si="79"/>
        <v>208.06268958544013</v>
      </c>
      <c r="J223" s="39">
        <f t="shared" si="62"/>
        <v>2.0704850427161401</v>
      </c>
      <c r="K223" s="39">
        <f t="shared" si="80"/>
        <v>62.977253382615928</v>
      </c>
      <c r="L223" s="39">
        <f t="shared" si="81"/>
        <v>52561.503921785661</v>
      </c>
      <c r="N223">
        <f t="shared" si="63"/>
        <v>10.012600302492277</v>
      </c>
      <c r="O223">
        <f t="shared" si="64"/>
        <v>2679.392274825102</v>
      </c>
      <c r="P223">
        <f t="shared" si="69"/>
        <v>2.6793922748251022</v>
      </c>
      <c r="Q223" s="161">
        <f t="shared" si="70"/>
        <v>5.455511177105925</v>
      </c>
      <c r="S223" s="157">
        <f t="shared" si="71"/>
        <v>0.23333067062635549</v>
      </c>
      <c r="T223" s="157">
        <v>0.05</v>
      </c>
      <c r="U223" s="157">
        <f t="shared" si="65"/>
        <v>0.23333067062635549</v>
      </c>
      <c r="V223" s="157">
        <f t="shared" si="66"/>
        <v>0.19035922502700181</v>
      </c>
      <c r="W223" s="157">
        <f t="shared" si="67"/>
        <v>0.2162540014848833</v>
      </c>
      <c r="Y223" s="157">
        <f t="shared" si="68"/>
        <v>-0.16925053403391885</v>
      </c>
      <c r="Z223" s="157">
        <f t="shared" si="72"/>
        <v>6.4080136592436637E-2</v>
      </c>
      <c r="AB223" s="2">
        <f>'Price Deck'!P217/'Price Deck'!M217</f>
        <v>17.739657980598555</v>
      </c>
      <c r="AC223" s="161">
        <f t="shared" si="73"/>
        <v>5.455511177105925</v>
      </c>
      <c r="AE223" s="161">
        <f t="shared" si="74"/>
        <v>1117.1949355651</v>
      </c>
      <c r="AF223">
        <f t="shared" si="75"/>
        <v>6.4080136592436637E-2</v>
      </c>
      <c r="AG223" s="165">
        <f t="shared" si="76"/>
        <v>71.590004071390055</v>
      </c>
      <c r="AH223" s="165">
        <f t="shared" si="77"/>
        <v>0.50017427085994026</v>
      </c>
    </row>
    <row r="224" spans="1:34">
      <c r="A224" t="str">
        <f>'Price Deck'!A218</f>
        <v>03/2034</v>
      </c>
      <c r="B224" s="39">
        <f>'Liquids Type Curve'!A231</f>
        <v>17.421890798786677</v>
      </c>
      <c r="C224" s="39">
        <f>'Liquids Type Curve'!B231</f>
        <v>209.06268958544013</v>
      </c>
      <c r="D224" s="39">
        <f>'Liquids Type Curve'!C231</f>
        <v>4.6846648476941732</v>
      </c>
      <c r="E224" s="39">
        <f>'Liquids Type Curve'!D231</f>
        <v>142.49188911736445</v>
      </c>
      <c r="F224" s="39">
        <f>'Liquids Type Curve'!E231</f>
        <v>117462.87300253</v>
      </c>
      <c r="H224" s="39">
        <f t="shared" si="78"/>
        <v>17.421890798786677</v>
      </c>
      <c r="I224" s="39">
        <f t="shared" si="79"/>
        <v>209.06268958544013</v>
      </c>
      <c r="J224" s="39">
        <f t="shared" si="62"/>
        <v>2.0612525329854363</v>
      </c>
      <c r="K224" s="39">
        <f t="shared" si="80"/>
        <v>62.696431211640359</v>
      </c>
      <c r="L224" s="39">
        <f t="shared" si="81"/>
        <v>52624.200352997301</v>
      </c>
      <c r="N224">
        <f t="shared" si="63"/>
        <v>9.9679530687208437</v>
      </c>
      <c r="O224">
        <f t="shared" si="64"/>
        <v>2667.4445839510627</v>
      </c>
      <c r="P224">
        <f t="shared" si="69"/>
        <v>2.6674445839510628</v>
      </c>
      <c r="Q224" s="161">
        <f t="shared" si="70"/>
        <v>5.5373438447625132</v>
      </c>
      <c r="S224" s="157">
        <f t="shared" si="71"/>
        <v>0.2382406306857508</v>
      </c>
      <c r="T224" s="157">
        <v>0.05</v>
      </c>
      <c r="U224" s="157">
        <f t="shared" si="65"/>
        <v>0.2382406306857508</v>
      </c>
      <c r="V224" s="157">
        <f t="shared" si="66"/>
        <v>0.19383711340240681</v>
      </c>
      <c r="W224" s="157">
        <f t="shared" si="67"/>
        <v>0.21809523650715654</v>
      </c>
      <c r="Y224" s="157">
        <f t="shared" si="68"/>
        <v>-0.16925643260890336</v>
      </c>
      <c r="Z224" s="157">
        <f t="shared" si="72"/>
        <v>6.8984198076847442E-2</v>
      </c>
      <c r="AB224" s="2">
        <f>'Price Deck'!P218/'Price Deck'!M218</f>
        <v>18.00575285030753</v>
      </c>
      <c r="AC224" s="161">
        <f t="shared" si="73"/>
        <v>5.5373438447625132</v>
      </c>
      <c r="AE224" s="161">
        <f t="shared" si="74"/>
        <v>1128.8964449931034</v>
      </c>
      <c r="AF224">
        <f t="shared" si="75"/>
        <v>6.8984198076847442E-2</v>
      </c>
      <c r="AG224" s="165">
        <f t="shared" si="76"/>
        <v>77.876015969653153</v>
      </c>
      <c r="AH224" s="165">
        <f t="shared" si="77"/>
        <v>0.54652946530528501</v>
      </c>
    </row>
    <row r="225" spans="1:34">
      <c r="A225" t="str">
        <f>'Price Deck'!A219</f>
        <v>04/2034</v>
      </c>
      <c r="B225" s="39">
        <f>'Liquids Type Curve'!A232</f>
        <v>17.505224132120009</v>
      </c>
      <c r="C225" s="39">
        <f>'Liquids Type Curve'!B232</f>
        <v>210.06268958544013</v>
      </c>
      <c r="D225" s="39">
        <f>'Liquids Type Curve'!C232</f>
        <v>4.6638748961548409</v>
      </c>
      <c r="E225" s="39">
        <f>'Liquids Type Curve'!D232</f>
        <v>141.8595280913764</v>
      </c>
      <c r="F225" s="39">
        <f>'Liquids Type Curve'!E232</f>
        <v>117604.73253062138</v>
      </c>
      <c r="H225" s="39">
        <f t="shared" si="78"/>
        <v>17.505224132120009</v>
      </c>
      <c r="I225" s="39">
        <f t="shared" si="79"/>
        <v>210.06268958544013</v>
      </c>
      <c r="J225" s="39">
        <f t="shared" si="62"/>
        <v>2.0521049543081298</v>
      </c>
      <c r="K225" s="39">
        <f t="shared" si="80"/>
        <v>62.418192360205616</v>
      </c>
      <c r="L225" s="39">
        <f t="shared" si="81"/>
        <v>52686.618545357509</v>
      </c>
      <c r="N225">
        <f t="shared" si="63"/>
        <v>9.9237165506384333</v>
      </c>
      <c r="O225">
        <f t="shared" si="64"/>
        <v>2655.6068014336015</v>
      </c>
      <c r="P225">
        <f t="shared" si="69"/>
        <v>2.6556068014336014</v>
      </c>
      <c r="Q225" s="161">
        <f t="shared" si="70"/>
        <v>5.5373438447625132</v>
      </c>
      <c r="S225" s="157">
        <f t="shared" si="71"/>
        <v>0.2382406306857508</v>
      </c>
      <c r="T225" s="157">
        <v>0.05</v>
      </c>
      <c r="U225" s="157">
        <f t="shared" si="65"/>
        <v>0.2382406306857508</v>
      </c>
      <c r="V225" s="157">
        <f t="shared" si="66"/>
        <v>0.19383711340240681</v>
      </c>
      <c r="W225" s="157">
        <f t="shared" si="67"/>
        <v>0.21809523650715654</v>
      </c>
      <c r="Y225" s="157">
        <f t="shared" si="68"/>
        <v>-0.16926227692213225</v>
      </c>
      <c r="Z225" s="157">
        <f t="shared" si="72"/>
        <v>6.897835376361855E-2</v>
      </c>
      <c r="AB225" s="2">
        <f>'Price Deck'!P219/'Price Deck'!M219</f>
        <v>18.00575285030753</v>
      </c>
      <c r="AC225" s="161">
        <f t="shared" si="73"/>
        <v>5.5373438447625132</v>
      </c>
      <c r="AE225" s="161">
        <f t="shared" si="74"/>
        <v>1123.8865450008159</v>
      </c>
      <c r="AF225">
        <f t="shared" si="75"/>
        <v>6.897835376361855E-2</v>
      </c>
      <c r="AG225" s="165">
        <f t="shared" si="76"/>
        <v>77.523843691237275</v>
      </c>
      <c r="AH225" s="165">
        <f t="shared" si="77"/>
        <v>0.54648316355107007</v>
      </c>
    </row>
    <row r="226" spans="1:34">
      <c r="A226" t="str">
        <f>'Price Deck'!A220</f>
        <v>05/2034</v>
      </c>
      <c r="B226" s="39">
        <f>'Liquids Type Curve'!A233</f>
        <v>17.588557465453341</v>
      </c>
      <c r="C226" s="39">
        <f>'Liquids Type Curve'!B233</f>
        <v>211.0626895854401</v>
      </c>
      <c r="D226" s="39">
        <f>'Liquids Type Curve'!C233</f>
        <v>4.6432752878009476</v>
      </c>
      <c r="E226" s="39">
        <f>'Liquids Type Curve'!D233</f>
        <v>141.23295667061217</v>
      </c>
      <c r="F226" s="39">
        <f>'Liquids Type Curve'!E233</f>
        <v>117745.96548729199</v>
      </c>
      <c r="H226" s="39">
        <f t="shared" si="78"/>
        <v>17.588557465453341</v>
      </c>
      <c r="I226" s="39">
        <f t="shared" si="79"/>
        <v>211.0626895854401</v>
      </c>
      <c r="J226" s="39">
        <f t="shared" si="62"/>
        <v>2.0430411266324171</v>
      </c>
      <c r="K226" s="39">
        <f t="shared" si="80"/>
        <v>62.142500935069357</v>
      </c>
      <c r="L226" s="39">
        <f t="shared" si="81"/>
        <v>52748.76104629258</v>
      </c>
      <c r="N226">
        <f t="shared" si="63"/>
        <v>9.8798850416657693</v>
      </c>
      <c r="O226">
        <f t="shared" si="64"/>
        <v>2643.8774001804577</v>
      </c>
      <c r="P226">
        <f t="shared" si="69"/>
        <v>2.6438774001804579</v>
      </c>
      <c r="Q226" s="161">
        <f t="shared" si="70"/>
        <v>5.5373438447625132</v>
      </c>
      <c r="S226" s="157">
        <f t="shared" si="71"/>
        <v>0.2382406306857508</v>
      </c>
      <c r="T226" s="157">
        <v>0.05</v>
      </c>
      <c r="U226" s="157">
        <f t="shared" si="65"/>
        <v>0.2382406306857508</v>
      </c>
      <c r="V226" s="157">
        <f t="shared" si="66"/>
        <v>0.19383711340240681</v>
      </c>
      <c r="W226" s="157">
        <f t="shared" si="67"/>
        <v>0.21809523650715654</v>
      </c>
      <c r="Y226" s="157">
        <f t="shared" si="68"/>
        <v>-0.16926806772753089</v>
      </c>
      <c r="Z226" s="157">
        <f t="shared" si="72"/>
        <v>6.8972562958219907E-2</v>
      </c>
      <c r="AB226" s="2">
        <f>'Price Deck'!P220/'Price Deck'!M220</f>
        <v>18.00575285030753</v>
      </c>
      <c r="AC226" s="161">
        <f t="shared" si="73"/>
        <v>5.5373438447625132</v>
      </c>
      <c r="AE226" s="161">
        <f t="shared" si="74"/>
        <v>1118.9225133368634</v>
      </c>
      <c r="AF226">
        <f t="shared" si="75"/>
        <v>6.8972562958219907E-2</v>
      </c>
      <c r="AG226" s="165">
        <f t="shared" si="76"/>
        <v>77.174953496496471</v>
      </c>
      <c r="AH226" s="165">
        <f t="shared" si="77"/>
        <v>0.54643728571431283</v>
      </c>
    </row>
    <row r="227" spans="1:34">
      <c r="A227" t="str">
        <f>'Price Deck'!A221</f>
        <v>06/2034</v>
      </c>
      <c r="B227" s="39">
        <f>'Liquids Type Curve'!A234</f>
        <v>17.671890798786674</v>
      </c>
      <c r="C227" s="39">
        <f>'Liquids Type Curve'!B234</f>
        <v>212.06268958544007</v>
      </c>
      <c r="D227" s="39">
        <f>'Liquids Type Curve'!C234</f>
        <v>4.6228633904331966</v>
      </c>
      <c r="E227" s="39">
        <f>'Liquids Type Curve'!D234</f>
        <v>140.61209479234307</v>
      </c>
      <c r="F227" s="39">
        <f>'Liquids Type Curve'!E234</f>
        <v>117886.57758208434</v>
      </c>
      <c r="H227" s="39">
        <f t="shared" si="78"/>
        <v>17.671890798786674</v>
      </c>
      <c r="I227" s="39">
        <f t="shared" si="79"/>
        <v>212.06268958544007</v>
      </c>
      <c r="J227" s="39">
        <f t="shared" si="62"/>
        <v>2.0340598917906063</v>
      </c>
      <c r="K227" s="39">
        <f t="shared" si="80"/>
        <v>61.869321708630942</v>
      </c>
      <c r="L227" s="39">
        <f t="shared" si="81"/>
        <v>52810.630368001213</v>
      </c>
      <c r="N227">
        <f t="shared" si="63"/>
        <v>9.8364529410523289</v>
      </c>
      <c r="O227">
        <f t="shared" si="64"/>
        <v>2632.254881419361</v>
      </c>
      <c r="P227">
        <f t="shared" si="69"/>
        <v>2.6322548814193611</v>
      </c>
      <c r="Q227" s="161">
        <f t="shared" si="70"/>
        <v>5.5373438447625132</v>
      </c>
      <c r="S227" s="157">
        <f t="shared" si="71"/>
        <v>0.2382406306857508</v>
      </c>
      <c r="T227" s="157">
        <v>0.05</v>
      </c>
      <c r="U227" s="157">
        <f t="shared" si="65"/>
        <v>0.2382406306857508</v>
      </c>
      <c r="V227" s="157">
        <f t="shared" si="66"/>
        <v>0.19383711340240681</v>
      </c>
      <c r="W227" s="157">
        <f t="shared" si="67"/>
        <v>0.21809523650715654</v>
      </c>
      <c r="Y227" s="157">
        <f t="shared" si="68"/>
        <v>-0.16927380576504325</v>
      </c>
      <c r="Z227" s="157">
        <f t="shared" si="72"/>
        <v>6.8966824920707548E-2</v>
      </c>
      <c r="AB227" s="2">
        <f>'Price Deck'!P221/'Price Deck'!M221</f>
        <v>18.00575285030753</v>
      </c>
      <c r="AC227" s="161">
        <f t="shared" si="73"/>
        <v>5.5373438447625132</v>
      </c>
      <c r="AE227" s="161">
        <f t="shared" si="74"/>
        <v>1114.003715701775</v>
      </c>
      <c r="AF227">
        <f t="shared" si="75"/>
        <v>6.8966824920707548E-2</v>
      </c>
      <c r="AG227" s="165">
        <f t="shared" si="76"/>
        <v>76.829299221821984</v>
      </c>
      <c r="AH227" s="165">
        <f t="shared" si="77"/>
        <v>0.54639182593278357</v>
      </c>
    </row>
    <row r="228" spans="1:34">
      <c r="A228" t="str">
        <f>'Price Deck'!A222</f>
        <v>07/2034</v>
      </c>
      <c r="B228" s="39">
        <f>'Liquids Type Curve'!A235</f>
        <v>17.755224132120006</v>
      </c>
      <c r="C228" s="39">
        <f>'Liquids Type Curve'!B235</f>
        <v>213.06268958544007</v>
      </c>
      <c r="D228" s="39">
        <f>'Liquids Type Curve'!C235</f>
        <v>4.6026366204374183</v>
      </c>
      <c r="E228" s="39">
        <f>'Liquids Type Curve'!D235</f>
        <v>139.99686387163814</v>
      </c>
      <c r="F228" s="39">
        <f>'Liquids Type Curve'!E235</f>
        <v>118026.57444595598</v>
      </c>
      <c r="H228" s="39">
        <f t="shared" si="78"/>
        <v>17.755224132120006</v>
      </c>
      <c r="I228" s="39">
        <f t="shared" si="79"/>
        <v>213.06268958544007</v>
      </c>
      <c r="J228" s="39">
        <f t="shared" si="62"/>
        <v>2.0251601129924639</v>
      </c>
      <c r="K228" s="39">
        <f t="shared" si="80"/>
        <v>61.59862010352078</v>
      </c>
      <c r="L228" s="39">
        <f t="shared" si="81"/>
        <v>52872.228988104733</v>
      </c>
      <c r="N228">
        <f t="shared" si="63"/>
        <v>9.7934147514262424</v>
      </c>
      <c r="O228">
        <f t="shared" si="64"/>
        <v>2620.7377740423799</v>
      </c>
      <c r="P228">
        <f t="shared" si="69"/>
        <v>2.6207377740423801</v>
      </c>
      <c r="Q228" s="161">
        <f t="shared" si="70"/>
        <v>5.5373438447625132</v>
      </c>
      <c r="S228" s="157">
        <f t="shared" si="71"/>
        <v>0.2382406306857508</v>
      </c>
      <c r="T228" s="157">
        <v>0.05</v>
      </c>
      <c r="U228" s="157">
        <f t="shared" si="65"/>
        <v>0.2382406306857508</v>
      </c>
      <c r="V228" s="157">
        <f t="shared" si="66"/>
        <v>0.19383711340240681</v>
      </c>
      <c r="W228" s="157">
        <f t="shared" si="67"/>
        <v>0.21809523650715654</v>
      </c>
      <c r="Y228" s="157">
        <f t="shared" si="68"/>
        <v>-0.1692794917609553</v>
      </c>
      <c r="Z228" s="157">
        <f t="shared" si="72"/>
        <v>6.8961138924795495E-2</v>
      </c>
      <c r="AB228" s="2">
        <f>'Price Deck'!P222/'Price Deck'!M222</f>
        <v>18.00575285030753</v>
      </c>
      <c r="AC228" s="161">
        <f t="shared" si="73"/>
        <v>5.5373438447625132</v>
      </c>
      <c r="AE228" s="161">
        <f t="shared" si="74"/>
        <v>1109.1295295039799</v>
      </c>
      <c r="AF228">
        <f t="shared" si="75"/>
        <v>6.8961138924795495E-2</v>
      </c>
      <c r="AG228" s="165">
        <f t="shared" si="76"/>
        <v>76.48683556971703</v>
      </c>
      <c r="AH228" s="165">
        <f t="shared" si="77"/>
        <v>0.5463467784524596</v>
      </c>
    </row>
    <row r="229" spans="1:34">
      <c r="A229" t="str">
        <f>'Price Deck'!A223</f>
        <v>08/2034</v>
      </c>
      <c r="B229" s="39">
        <f>'Liquids Type Curve'!A236</f>
        <v>17.838557465453338</v>
      </c>
      <c r="C229" s="39">
        <f>'Liquids Type Curve'!B236</f>
        <v>214.06268958544007</v>
      </c>
      <c r="D229" s="39">
        <f>'Liquids Type Curve'!C236</f>
        <v>4.5825924416649766</v>
      </c>
      <c r="E229" s="39">
        <f>'Liquids Type Curve'!D236</f>
        <v>139.38718676730971</v>
      </c>
      <c r="F229" s="39">
        <f>'Liquids Type Curve'!E236</f>
        <v>118165.96163272329</v>
      </c>
      <c r="H229" s="39">
        <f t="shared" si="78"/>
        <v>17.838557465453338</v>
      </c>
      <c r="I229" s="39">
        <f t="shared" si="79"/>
        <v>214.06268958544007</v>
      </c>
      <c r="J229" s="39">
        <f t="shared" si="62"/>
        <v>2.0163406743325898</v>
      </c>
      <c r="K229" s="39">
        <f t="shared" si="80"/>
        <v>61.330362177616273</v>
      </c>
      <c r="L229" s="39">
        <f t="shared" si="81"/>
        <v>52933.559350282347</v>
      </c>
      <c r="N229">
        <f t="shared" si="63"/>
        <v>9.7507650764120122</v>
      </c>
      <c r="O229">
        <f t="shared" si="64"/>
        <v>2609.3246339684188</v>
      </c>
      <c r="P229">
        <f t="shared" si="69"/>
        <v>2.6093246339684186</v>
      </c>
      <c r="Q229" s="161">
        <f t="shared" si="70"/>
        <v>5.5373438447625132</v>
      </c>
      <c r="S229" s="157">
        <f t="shared" si="71"/>
        <v>0.2382406306857508</v>
      </c>
      <c r="T229" s="157">
        <v>0.05</v>
      </c>
      <c r="U229" s="157">
        <f t="shared" si="65"/>
        <v>0.2382406306857508</v>
      </c>
      <c r="V229" s="157">
        <f t="shared" si="66"/>
        <v>0.19383711340240681</v>
      </c>
      <c r="W229" s="157">
        <f t="shared" si="67"/>
        <v>0.21809523650715654</v>
      </c>
      <c r="Y229" s="157">
        <f t="shared" si="68"/>
        <v>-0.16928512642820981</v>
      </c>
      <c r="Z229" s="157">
        <f t="shared" si="72"/>
        <v>6.8955504257540989E-2</v>
      </c>
      <c r="AB229" s="2">
        <f>'Price Deck'!P223/'Price Deck'!M223</f>
        <v>18.00575285030753</v>
      </c>
      <c r="AC229" s="161">
        <f t="shared" si="73"/>
        <v>5.5373438447625132</v>
      </c>
      <c r="AE229" s="161">
        <f t="shared" si="74"/>
        <v>1104.2993435900073</v>
      </c>
      <c r="AF229">
        <f t="shared" si="75"/>
        <v>6.8955504257540989E-2</v>
      </c>
      <c r="AG229" s="165">
        <f t="shared" si="76"/>
        <v>76.147518088520471</v>
      </c>
      <c r="AH229" s="165">
        <f t="shared" si="77"/>
        <v>0.54630213762502911</v>
      </c>
    </row>
    <row r="230" spans="1:34">
      <c r="A230" t="str">
        <f>'Price Deck'!A224</f>
        <v>09/2034</v>
      </c>
      <c r="B230" s="39">
        <f>'Liquids Type Curve'!A237</f>
        <v>17.92189079878667</v>
      </c>
      <c r="C230" s="39">
        <f>'Liquids Type Curve'!B237</f>
        <v>215.06268958544004</v>
      </c>
      <c r="D230" s="39">
        <f>'Liquids Type Curve'!C237</f>
        <v>4.5627283643440322</v>
      </c>
      <c r="E230" s="39">
        <f>'Liquids Type Curve'!D237</f>
        <v>138.78298774879764</v>
      </c>
      <c r="F230" s="39">
        <f>'Liquids Type Curve'!E237</f>
        <v>118304.74462047209</v>
      </c>
      <c r="H230" s="39">
        <f t="shared" si="78"/>
        <v>17.92189079878667</v>
      </c>
      <c r="I230" s="39">
        <f t="shared" si="79"/>
        <v>215.06268958544004</v>
      </c>
      <c r="J230" s="39">
        <f t="shared" si="62"/>
        <v>2.0076004803113743</v>
      </c>
      <c r="K230" s="39">
        <f t="shared" si="80"/>
        <v>61.064514609470969</v>
      </c>
      <c r="L230" s="39">
        <f t="shared" si="81"/>
        <v>52994.623864891815</v>
      </c>
      <c r="N230">
        <f t="shared" si="63"/>
        <v>9.7084986183139321</v>
      </c>
      <c r="O230">
        <f t="shared" si="64"/>
        <v>2598.0140435232947</v>
      </c>
      <c r="P230">
        <f t="shared" si="69"/>
        <v>2.5980140435232948</v>
      </c>
      <c r="Q230" s="161">
        <f t="shared" si="70"/>
        <v>5.5373438447625132</v>
      </c>
      <c r="S230" s="157">
        <f t="shared" si="71"/>
        <v>0.2382406306857508</v>
      </c>
      <c r="T230" s="157">
        <v>0.05</v>
      </c>
      <c r="U230" s="157">
        <f t="shared" si="65"/>
        <v>0.2382406306857508</v>
      </c>
      <c r="V230" s="157">
        <f t="shared" si="66"/>
        <v>0.19383711340240681</v>
      </c>
      <c r="W230" s="157">
        <f t="shared" si="67"/>
        <v>0.21809523650715654</v>
      </c>
      <c r="Y230" s="157">
        <f t="shared" si="68"/>
        <v>-0.16929071046671257</v>
      </c>
      <c r="Z230" s="157">
        <f t="shared" si="72"/>
        <v>6.894992021903823E-2</v>
      </c>
      <c r="AB230" s="2">
        <f>'Price Deck'!P224/'Price Deck'!M224</f>
        <v>18.00575285030753</v>
      </c>
      <c r="AC230" s="161">
        <f t="shared" si="73"/>
        <v>5.5373438447625132</v>
      </c>
      <c r="AE230" s="161">
        <f t="shared" si="74"/>
        <v>1099.5125579821276</v>
      </c>
      <c r="AF230">
        <f t="shared" si="75"/>
        <v>6.894992021903823E-2</v>
      </c>
      <c r="AG230" s="165">
        <f t="shared" si="76"/>
        <v>75.811303152698343</v>
      </c>
      <c r="AH230" s="165">
        <f t="shared" si="77"/>
        <v>0.54625789790546675</v>
      </c>
    </row>
    <row r="231" spans="1:34">
      <c r="A231" t="str">
        <f>'Price Deck'!A225</f>
        <v>10/2034</v>
      </c>
      <c r="B231" s="39">
        <f>'Liquids Type Curve'!A238</f>
        <v>18.005224132120002</v>
      </c>
      <c r="C231" s="39">
        <f>'Liquids Type Curve'!B238</f>
        <v>216.06268958544001</v>
      </c>
      <c r="D231" s="39">
        <f>'Liquids Type Curve'!C238</f>
        <v>4.5430419440207581</v>
      </c>
      <c r="E231" s="39">
        <f>'Liquids Type Curve'!D238</f>
        <v>138.18419246396473</v>
      </c>
      <c r="F231" s="39">
        <f>'Liquids Type Curve'!E238</f>
        <v>118442.92881293605</v>
      </c>
      <c r="H231" s="39">
        <f t="shared" si="78"/>
        <v>18.005224132120002</v>
      </c>
      <c r="I231" s="39">
        <f t="shared" si="79"/>
        <v>216.06268958544001</v>
      </c>
      <c r="J231" s="39">
        <f t="shared" si="62"/>
        <v>1.9989384553691336</v>
      </c>
      <c r="K231" s="39">
        <f t="shared" si="80"/>
        <v>60.801044684144486</v>
      </c>
      <c r="L231" s="39">
        <f t="shared" si="81"/>
        <v>53055.424909575959</v>
      </c>
      <c r="N231">
        <f t="shared" si="63"/>
        <v>9.6666101758632212</v>
      </c>
      <c r="O231">
        <f t="shared" si="64"/>
        <v>2586.8046108368676</v>
      </c>
      <c r="P231">
        <f t="shared" si="69"/>
        <v>2.5868046108368676</v>
      </c>
      <c r="Q231" s="161">
        <f t="shared" si="70"/>
        <v>5.5373438447625132</v>
      </c>
      <c r="S231" s="157">
        <f t="shared" si="71"/>
        <v>0.2382406306857508</v>
      </c>
      <c r="T231" s="157">
        <v>0.05</v>
      </c>
      <c r="U231" s="157">
        <f t="shared" si="65"/>
        <v>0.2382406306857508</v>
      </c>
      <c r="V231" s="157">
        <f t="shared" si="66"/>
        <v>0.19383711340240681</v>
      </c>
      <c r="W231" s="157">
        <f t="shared" si="67"/>
        <v>0.21809523650715654</v>
      </c>
      <c r="Y231" s="157">
        <f t="shared" si="68"/>
        <v>-0.16929624456362985</v>
      </c>
      <c r="Z231" s="157">
        <f t="shared" si="72"/>
        <v>6.8944386122120949E-2</v>
      </c>
      <c r="AB231" s="2">
        <f>'Price Deck'!P225/'Price Deck'!M225</f>
        <v>18.00575285030753</v>
      </c>
      <c r="AC231" s="161">
        <f t="shared" si="73"/>
        <v>5.5373438447625132</v>
      </c>
      <c r="AE231" s="161">
        <f t="shared" si="74"/>
        <v>1094.7685836232101</v>
      </c>
      <c r="AF231">
        <f t="shared" si="75"/>
        <v>6.8944386122120949E-2</v>
      </c>
      <c r="AG231" s="165">
        <f t="shared" si="76"/>
        <v>75.478147943686054</v>
      </c>
      <c r="AH231" s="165">
        <f t="shared" si="77"/>
        <v>0.54621405384967625</v>
      </c>
    </row>
    <row r="232" spans="1:34">
      <c r="A232" t="str">
        <f>'Price Deck'!A226</f>
        <v>11/2034</v>
      </c>
      <c r="B232" s="39">
        <f>'Liquids Type Curve'!A239</f>
        <v>18.088557465453334</v>
      </c>
      <c r="C232" s="39">
        <f>'Liquids Type Curve'!B239</f>
        <v>217.06268958544001</v>
      </c>
      <c r="D232" s="39">
        <f>'Liquids Type Curve'!C239</f>
        <v>4.5235307805294429</v>
      </c>
      <c r="E232" s="39">
        <f>'Liquids Type Curve'!D239</f>
        <v>137.59072790777057</v>
      </c>
      <c r="F232" s="39">
        <f>'Liquids Type Curve'!E239</f>
        <v>118580.51954084382</v>
      </c>
      <c r="H232" s="39">
        <f t="shared" si="78"/>
        <v>18.088557465453334</v>
      </c>
      <c r="I232" s="39">
        <f t="shared" si="79"/>
        <v>217.06268958544001</v>
      </c>
      <c r="J232" s="39">
        <f t="shared" si="62"/>
        <v>1.9903535434329549</v>
      </c>
      <c r="K232" s="39">
        <f t="shared" si="80"/>
        <v>60.53992027941905</v>
      </c>
      <c r="L232" s="39">
        <f t="shared" si="81"/>
        <v>53115.96482985538</v>
      </c>
      <c r="N232">
        <f t="shared" si="63"/>
        <v>9.6250946420266228</v>
      </c>
      <c r="O232">
        <f t="shared" si="64"/>
        <v>2575.6949692566145</v>
      </c>
      <c r="P232">
        <f t="shared" si="69"/>
        <v>2.5756949692566145</v>
      </c>
      <c r="Q232" s="161">
        <f t="shared" si="70"/>
        <v>5.5373438447625132</v>
      </c>
      <c r="S232" s="157">
        <f t="shared" si="71"/>
        <v>0.2382406306857508</v>
      </c>
      <c r="T232" s="157">
        <v>0.05</v>
      </c>
      <c r="U232" s="157">
        <f t="shared" si="65"/>
        <v>0.2382406306857508</v>
      </c>
      <c r="V232" s="157">
        <f t="shared" si="66"/>
        <v>0.19383711340240681</v>
      </c>
      <c r="W232" s="157">
        <f t="shared" si="67"/>
        <v>0.21809523650715654</v>
      </c>
      <c r="Y232" s="157">
        <f t="shared" si="68"/>
        <v>-0.16930172939367802</v>
      </c>
      <c r="Z232" s="157">
        <f t="shared" si="72"/>
        <v>6.893890129207278E-2</v>
      </c>
      <c r="AB232" s="2">
        <f>'Price Deck'!P226/'Price Deck'!M226</f>
        <v>18.00575285030753</v>
      </c>
      <c r="AC232" s="161">
        <f t="shared" si="73"/>
        <v>5.5373438447625132</v>
      </c>
      <c r="AE232" s="161">
        <f t="shared" si="74"/>
        <v>1090.0668421285402</v>
      </c>
      <c r="AF232">
        <f t="shared" si="75"/>
        <v>6.893890129207278E-2</v>
      </c>
      <c r="AG232" s="165">
        <f t="shared" si="76"/>
        <v>75.148010431260914</v>
      </c>
      <c r="AH232" s="165">
        <f t="shared" si="77"/>
        <v>0.54617060011219587</v>
      </c>
    </row>
    <row r="233" spans="1:34">
      <c r="A233" t="str">
        <f>'Price Deck'!A227</f>
        <v>12/2034</v>
      </c>
      <c r="B233" s="39">
        <f>'Liquids Type Curve'!A240</f>
        <v>18.171890798786666</v>
      </c>
      <c r="C233" s="39">
        <f>'Liquids Type Curve'!B240</f>
        <v>218.06268958544001</v>
      </c>
      <c r="D233" s="39">
        <f>'Liquids Type Curve'!C240</f>
        <v>4.5041925169906545</v>
      </c>
      <c r="E233" s="39">
        <f>'Liquids Type Curve'!D240</f>
        <v>137.00252239179909</v>
      </c>
      <c r="F233" s="39">
        <f>'Liquids Type Curve'!E240</f>
        <v>118717.52206323562</v>
      </c>
      <c r="H233" s="39">
        <f t="shared" si="78"/>
        <v>18.171890798786666</v>
      </c>
      <c r="I233" s="39">
        <f t="shared" si="79"/>
        <v>218.06268958544001</v>
      </c>
      <c r="J233" s="39">
        <f t="shared" si="62"/>
        <v>1.981844707475888</v>
      </c>
      <c r="K233" s="39">
        <f t="shared" si="80"/>
        <v>60.281109852391594</v>
      </c>
      <c r="L233" s="39">
        <f t="shared" si="81"/>
        <v>53176.245939707769</v>
      </c>
      <c r="N233">
        <f t="shared" si="63"/>
        <v>9.5839470018747175</v>
      </c>
      <c r="O233">
        <f t="shared" si="64"/>
        <v>2564.6837767771885</v>
      </c>
      <c r="P233">
        <f t="shared" si="69"/>
        <v>2.5646837767771884</v>
      </c>
      <c r="Q233" s="161">
        <f t="shared" si="70"/>
        <v>5.5373438447625132</v>
      </c>
      <c r="S233" s="157">
        <f t="shared" si="71"/>
        <v>0.2382406306857508</v>
      </c>
      <c r="T233" s="157">
        <v>0.05</v>
      </c>
      <c r="U233" s="157">
        <f t="shared" si="65"/>
        <v>0.2382406306857508</v>
      </c>
      <c r="V233" s="157">
        <f t="shared" si="66"/>
        <v>0.19383711340240681</v>
      </c>
      <c r="W233" s="157">
        <f t="shared" si="67"/>
        <v>0.21809523650715654</v>
      </c>
      <c r="Y233" s="157">
        <f t="shared" si="68"/>
        <v>-0.16930716561940509</v>
      </c>
      <c r="Z233" s="157">
        <f t="shared" si="72"/>
        <v>6.8933465066345706E-2</v>
      </c>
      <c r="AB233" s="2">
        <f>'Price Deck'!P227/'Price Deck'!M227</f>
        <v>18.00575285030753</v>
      </c>
      <c r="AC233" s="161">
        <f t="shared" si="73"/>
        <v>5.5373438447625132</v>
      </c>
      <c r="AE233" s="161">
        <f t="shared" si="74"/>
        <v>1085.4067655444012</v>
      </c>
      <c r="AF233">
        <f t="shared" si="75"/>
        <v>6.8933465066345706E-2</v>
      </c>
      <c r="AG233" s="165">
        <f t="shared" si="76"/>
        <v>74.820849355430269</v>
      </c>
      <c r="AH233" s="165">
        <f t="shared" si="77"/>
        <v>0.54612753144396864</v>
      </c>
    </row>
    <row r="234" spans="1:34">
      <c r="A234" t="str">
        <f>'Price Deck'!A228</f>
        <v>01/2035</v>
      </c>
      <c r="B234" s="39">
        <f>'Liquids Type Curve'!A241</f>
        <v>18.255224132119999</v>
      </c>
      <c r="C234" s="39">
        <f>'Liquids Type Curve'!B241</f>
        <v>219.06268958543998</v>
      </c>
      <c r="D234" s="39">
        <f>'Liquids Type Curve'!C241</f>
        <v>4.4850248388365159</v>
      </c>
      <c r="E234" s="39">
        <f>'Liquids Type Curve'!D241</f>
        <v>136.41950551461071</v>
      </c>
      <c r="F234" s="39">
        <f>'Liquids Type Curve'!E241</f>
        <v>118853.94156875023</v>
      </c>
      <c r="H234" s="39">
        <f t="shared" si="78"/>
        <v>18.255224132119999</v>
      </c>
      <c r="I234" s="39">
        <f t="shared" si="79"/>
        <v>219.06268958543998</v>
      </c>
      <c r="J234" s="39">
        <f t="shared" si="62"/>
        <v>1.973410929088067</v>
      </c>
      <c r="K234" s="39">
        <f t="shared" si="80"/>
        <v>60.024582426428708</v>
      </c>
      <c r="L234" s="39">
        <f t="shared" si="81"/>
        <v>53236.270522134197</v>
      </c>
      <c r="N234">
        <f t="shared" si="63"/>
        <v>9.5431623305079185</v>
      </c>
      <c r="O234">
        <f t="shared" si="64"/>
        <v>2553.76971548541</v>
      </c>
      <c r="P234">
        <f t="shared" si="69"/>
        <v>2.55376971548541</v>
      </c>
      <c r="Q234" s="161">
        <f t="shared" si="70"/>
        <v>5.5373438447625132</v>
      </c>
      <c r="S234" s="157">
        <f t="shared" si="71"/>
        <v>0.2382406306857508</v>
      </c>
      <c r="T234" s="157">
        <v>0.05</v>
      </c>
      <c r="U234" s="157">
        <f t="shared" si="65"/>
        <v>0.2382406306857508</v>
      </c>
      <c r="V234" s="157">
        <f t="shared" si="66"/>
        <v>0.19383711340240681</v>
      </c>
      <c r="W234" s="157">
        <f t="shared" si="67"/>
        <v>0.21809523650715654</v>
      </c>
      <c r="Y234" s="157">
        <f t="shared" si="68"/>
        <v>-0.16931255389146485</v>
      </c>
      <c r="Z234" s="157">
        <f t="shared" si="72"/>
        <v>6.8928076794285947E-2</v>
      </c>
      <c r="AB234" s="2">
        <f>'Price Deck'!P228/'Price Deck'!M228</f>
        <v>18.00575285030753</v>
      </c>
      <c r="AC234" s="161">
        <f t="shared" si="73"/>
        <v>5.5373438447625132</v>
      </c>
      <c r="AE234" s="161">
        <f t="shared" si="74"/>
        <v>1080.7877961131881</v>
      </c>
      <c r="AF234">
        <f t="shared" si="75"/>
        <v>6.8928076794285947E-2</v>
      </c>
      <c r="AG234" s="165">
        <f t="shared" si="76"/>
        <v>74.496624208816883</v>
      </c>
      <c r="AH234" s="165">
        <f t="shared" si="77"/>
        <v>0.54608484269016944</v>
      </c>
    </row>
    <row r="235" spans="1:34">
      <c r="A235" t="str">
        <f>'Price Deck'!A229</f>
        <v>02/2035</v>
      </c>
      <c r="B235" s="39">
        <f>'Liquids Type Curve'!A242</f>
        <v>18.338557465453331</v>
      </c>
      <c r="C235" s="39">
        <f>'Liquids Type Curve'!B242</f>
        <v>220.06268958543995</v>
      </c>
      <c r="D235" s="39">
        <f>'Liquids Type Curve'!C242</f>
        <v>4.4660254728622615</v>
      </c>
      <c r="E235" s="39">
        <f>'Liquids Type Curve'!D242</f>
        <v>135.84160813289378</v>
      </c>
      <c r="F235" s="39">
        <f>'Liquids Type Curve'!E242</f>
        <v>118989.78317688312</v>
      </c>
      <c r="H235" s="39">
        <f t="shared" si="78"/>
        <v>18.338557465453331</v>
      </c>
      <c r="I235" s="39">
        <f t="shared" si="79"/>
        <v>220.06268958543995</v>
      </c>
      <c r="J235" s="39">
        <f t="shared" si="62"/>
        <v>1.9650512080593951</v>
      </c>
      <c r="K235" s="39">
        <f t="shared" si="80"/>
        <v>59.770307578473272</v>
      </c>
      <c r="L235" s="39">
        <f t="shared" si="81"/>
        <v>53296.040829712671</v>
      </c>
      <c r="N235">
        <f t="shared" si="63"/>
        <v>9.5027357910383916</v>
      </c>
      <c r="O235">
        <f t="shared" si="64"/>
        <v>2542.9514910202229</v>
      </c>
      <c r="P235">
        <f t="shared" si="69"/>
        <v>2.5429514910202227</v>
      </c>
      <c r="Q235" s="161">
        <f t="shared" si="70"/>
        <v>5.6204040024339506</v>
      </c>
      <c r="S235" s="157">
        <f t="shared" si="71"/>
        <v>0.24322424014603705</v>
      </c>
      <c r="T235" s="157">
        <v>0.05</v>
      </c>
      <c r="U235" s="157">
        <f t="shared" si="65"/>
        <v>0.24322424014603705</v>
      </c>
      <c r="V235" s="157">
        <f t="shared" si="66"/>
        <v>0.1973671701034429</v>
      </c>
      <c r="W235" s="157">
        <f t="shared" si="67"/>
        <v>0.21996409005476386</v>
      </c>
      <c r="Y235" s="157">
        <f t="shared" si="68"/>
        <v>-0.16931789484888332</v>
      </c>
      <c r="Z235" s="157">
        <f t="shared" si="72"/>
        <v>7.390634529715373E-2</v>
      </c>
      <c r="AB235" s="2">
        <f>'Price Deck'!P229/'Price Deck'!M229</f>
        <v>18.275839143062143</v>
      </c>
      <c r="AC235" s="161">
        <f t="shared" si="73"/>
        <v>5.6204040024339506</v>
      </c>
      <c r="AE235" s="161">
        <f t="shared" si="74"/>
        <v>1092.3525268355256</v>
      </c>
      <c r="AF235">
        <f t="shared" si="75"/>
        <v>7.390634529715373E-2</v>
      </c>
      <c r="AG235" s="165">
        <f t="shared" si="76"/>
        <v>80.731783034524739</v>
      </c>
      <c r="AH235" s="165">
        <f t="shared" si="77"/>
        <v>0.59430821045305116</v>
      </c>
    </row>
    <row r="236" spans="1:34">
      <c r="A236" t="str">
        <f>'Price Deck'!A230</f>
        <v>03/2035</v>
      </c>
      <c r="B236" s="39">
        <f>'Liquids Type Curve'!A243</f>
        <v>18.421890798786663</v>
      </c>
      <c r="C236" s="39">
        <f>'Liquids Type Curve'!B243</f>
        <v>221.06268958543995</v>
      </c>
      <c r="D236" s="39">
        <f>'Liquids Type Curve'!C243</f>
        <v>4.4471921863032486</v>
      </c>
      <c r="E236" s="39">
        <f>'Liquids Type Curve'!D243</f>
        <v>135.2687623333905</v>
      </c>
      <c r="F236" s="39">
        <f>'Liquids Type Curve'!E243</f>
        <v>119125.05193921652</v>
      </c>
      <c r="H236" s="39">
        <f t="shared" si="78"/>
        <v>18.421890798786663</v>
      </c>
      <c r="I236" s="39">
        <f t="shared" si="79"/>
        <v>221.06268958543995</v>
      </c>
      <c r="J236" s="39">
        <f t="shared" si="62"/>
        <v>1.9567645619734295</v>
      </c>
      <c r="K236" s="39">
        <f t="shared" si="80"/>
        <v>59.518255426691816</v>
      </c>
      <c r="L236" s="39">
        <f t="shared" si="81"/>
        <v>53355.559085139364</v>
      </c>
      <c r="N236">
        <f t="shared" si="63"/>
        <v>9.4626626326261274</v>
      </c>
      <c r="O236">
        <f t="shared" si="64"/>
        <v>2532.2278320471451</v>
      </c>
      <c r="P236">
        <f t="shared" si="69"/>
        <v>2.5322278320471452</v>
      </c>
      <c r="Q236" s="161">
        <f t="shared" si="70"/>
        <v>5.6204040024339506</v>
      </c>
      <c r="S236" s="157">
        <f t="shared" si="71"/>
        <v>0.24322424014603705</v>
      </c>
      <c r="T236" s="157">
        <v>0.05</v>
      </c>
      <c r="U236" s="157">
        <f t="shared" si="65"/>
        <v>0.24322424014603705</v>
      </c>
      <c r="V236" s="157">
        <f t="shared" si="66"/>
        <v>0.1973671701034429</v>
      </c>
      <c r="W236" s="157">
        <f t="shared" si="67"/>
        <v>0.21996409005476386</v>
      </c>
      <c r="Y236" s="157">
        <f t="shared" si="68"/>
        <v>-0.16932318911931832</v>
      </c>
      <c r="Z236" s="157">
        <f t="shared" si="72"/>
        <v>7.3901051026718734E-2</v>
      </c>
      <c r="AB236" s="2">
        <f>'Price Deck'!P230/'Price Deck'!M230</f>
        <v>18.275839143062143</v>
      </c>
      <c r="AC236" s="161">
        <f t="shared" si="73"/>
        <v>5.6204040024339506</v>
      </c>
      <c r="AE236" s="161">
        <f t="shared" si="74"/>
        <v>1087.7460622539052</v>
      </c>
      <c r="AF236">
        <f t="shared" si="75"/>
        <v>7.3901051026718734E-2</v>
      </c>
      <c r="AG236" s="165">
        <f t="shared" si="76"/>
        <v>80.385577250738223</v>
      </c>
      <c r="AH236" s="165">
        <f t="shared" si="77"/>
        <v>0.59426563726971715</v>
      </c>
    </row>
    <row r="237" spans="1:34">
      <c r="A237" t="str">
        <f>'Price Deck'!A231</f>
        <v>04/2035</v>
      </c>
      <c r="B237" s="39">
        <f>'Liquids Type Curve'!A244</f>
        <v>18.505224132119995</v>
      </c>
      <c r="C237" s="39">
        <f>'Liquids Type Curve'!B244</f>
        <v>222.06268958543995</v>
      </c>
      <c r="D237" s="39">
        <f>'Liquids Type Curve'!C244</f>
        <v>4.4285227859366376</v>
      </c>
      <c r="E237" s="39">
        <f>'Liquids Type Curve'!D244</f>
        <v>134.70090140557272</v>
      </c>
      <c r="F237" s="39">
        <f>'Liquids Type Curve'!E244</f>
        <v>119259.75284062208</v>
      </c>
      <c r="H237" s="39">
        <f t="shared" si="78"/>
        <v>18.505224132119995</v>
      </c>
      <c r="I237" s="39">
        <f t="shared" si="79"/>
        <v>222.06268958543995</v>
      </c>
      <c r="J237" s="39">
        <f t="shared" si="62"/>
        <v>1.9485500258121207</v>
      </c>
      <c r="K237" s="39">
        <f t="shared" si="80"/>
        <v>59.268396618452009</v>
      </c>
      <c r="L237" s="39">
        <f t="shared" si="81"/>
        <v>53414.827481757813</v>
      </c>
      <c r="N237">
        <f t="shared" si="63"/>
        <v>9.4229381885675227</v>
      </c>
      <c r="O237">
        <f t="shared" si="64"/>
        <v>2521.5974897467686</v>
      </c>
      <c r="P237">
        <f t="shared" si="69"/>
        <v>2.5215974897467688</v>
      </c>
      <c r="Q237" s="161">
        <f t="shared" si="70"/>
        <v>5.6204040024339506</v>
      </c>
      <c r="S237" s="157">
        <f t="shared" si="71"/>
        <v>0.24322424014603705</v>
      </c>
      <c r="T237" s="157">
        <v>0.05</v>
      </c>
      <c r="U237" s="157">
        <f t="shared" si="65"/>
        <v>0.24322424014603705</v>
      </c>
      <c r="V237" s="157">
        <f t="shared" si="66"/>
        <v>0.1973671701034429</v>
      </c>
      <c r="W237" s="157">
        <f t="shared" si="67"/>
        <v>0.21996409005476386</v>
      </c>
      <c r="Y237" s="157">
        <f t="shared" si="68"/>
        <v>-0.16932843731931202</v>
      </c>
      <c r="Z237" s="157">
        <f t="shared" si="72"/>
        <v>7.3895802826725032E-2</v>
      </c>
      <c r="AB237" s="2">
        <f>'Price Deck'!P231/'Price Deck'!M231</f>
        <v>18.275839143062143</v>
      </c>
      <c r="AC237" s="161">
        <f t="shared" si="73"/>
        <v>5.6204040024339506</v>
      </c>
      <c r="AE237" s="161">
        <f t="shared" si="74"/>
        <v>1083.1796828660372</v>
      </c>
      <c r="AF237">
        <f t="shared" si="75"/>
        <v>7.3895802826725032E-2</v>
      </c>
      <c r="AG237" s="165">
        <f t="shared" si="76"/>
        <v>80.042432270983241</v>
      </c>
      <c r="AH237" s="165">
        <f t="shared" si="77"/>
        <v>0.59422343455581206</v>
      </c>
    </row>
    <row r="238" spans="1:34">
      <c r="A238" t="str">
        <f>'Price Deck'!A232</f>
        <v>05/2035</v>
      </c>
      <c r="B238" s="39">
        <f>'Liquids Type Curve'!A245</f>
        <v>18.588557465453327</v>
      </c>
      <c r="C238" s="39">
        <f>'Liquids Type Curve'!B245</f>
        <v>223.06268958543993</v>
      </c>
      <c r="D238" s="39">
        <f>'Liquids Type Curve'!C245</f>
        <v>4.4100151172069522</v>
      </c>
      <c r="E238" s="39">
        <f>'Liquids Type Curve'!D245</f>
        <v>134.13795981504481</v>
      </c>
      <c r="F238" s="39">
        <f>'Liquids Type Curve'!E245</f>
        <v>119393.89080043712</v>
      </c>
      <c r="H238" s="39">
        <f t="shared" si="78"/>
        <v>18.588557465453327</v>
      </c>
      <c r="I238" s="39">
        <f t="shared" si="79"/>
        <v>223.06268958543993</v>
      </c>
      <c r="J238" s="39">
        <f t="shared" si="62"/>
        <v>1.940406651571059</v>
      </c>
      <c r="K238" s="39">
        <f t="shared" si="80"/>
        <v>59.020702318619712</v>
      </c>
      <c r="L238" s="39">
        <f t="shared" si="81"/>
        <v>53473.848184076436</v>
      </c>
      <c r="N238">
        <f t="shared" si="63"/>
        <v>9.3835578744347536</v>
      </c>
      <c r="O238">
        <f t="shared" si="64"/>
        <v>2511.0592373168515</v>
      </c>
      <c r="P238">
        <f t="shared" si="69"/>
        <v>2.5110592373168514</v>
      </c>
      <c r="Q238" s="161">
        <f t="shared" si="70"/>
        <v>5.6204040024339506</v>
      </c>
      <c r="S238" s="157">
        <f t="shared" si="71"/>
        <v>0.24322424014603705</v>
      </c>
      <c r="T238" s="157">
        <v>0.05</v>
      </c>
      <c r="U238" s="157">
        <f t="shared" si="65"/>
        <v>0.24322424014603705</v>
      </c>
      <c r="V238" s="157">
        <f t="shared" si="66"/>
        <v>0.1973671701034429</v>
      </c>
      <c r="W238" s="157">
        <f t="shared" si="67"/>
        <v>0.21996409005476386</v>
      </c>
      <c r="Y238" s="157">
        <f t="shared" si="68"/>
        <v>-0.16933364005453669</v>
      </c>
      <c r="Z238" s="157">
        <f t="shared" si="72"/>
        <v>7.3890600091500364E-2</v>
      </c>
      <c r="AB238" s="2">
        <f>'Price Deck'!P232/'Price Deck'!M232</f>
        <v>18.275839143062143</v>
      </c>
      <c r="AC238" s="161">
        <f t="shared" si="73"/>
        <v>5.6204040024339506</v>
      </c>
      <c r="AE238" s="161">
        <f t="shared" si="74"/>
        <v>1078.6528616856488</v>
      </c>
      <c r="AF238">
        <f t="shared" si="75"/>
        <v>7.3890600091500364E-2</v>
      </c>
      <c r="AG238" s="165">
        <f t="shared" si="76"/>
        <v>79.702307240366721</v>
      </c>
      <c r="AH238" s="165">
        <f t="shared" si="77"/>
        <v>0.59418159744090104</v>
      </c>
    </row>
    <row r="239" spans="1:34">
      <c r="A239" t="str">
        <f>'Price Deck'!A233</f>
        <v>06/2035</v>
      </c>
      <c r="B239" s="39">
        <f>'Liquids Type Curve'!A246</f>
        <v>18.671890798786659</v>
      </c>
      <c r="C239" s="39">
        <f>'Liquids Type Curve'!B246</f>
        <v>224.0626895854399</v>
      </c>
      <c r="D239" s="39">
        <f>'Liquids Type Curve'!C246</f>
        <v>4.3916670633748236</v>
      </c>
      <c r="E239" s="39">
        <f>'Liquids Type Curve'!D246</f>
        <v>133.57987317765088</v>
      </c>
      <c r="F239" s="39">
        <f>'Liquids Type Curve'!E246</f>
        <v>119527.47067361476</v>
      </c>
      <c r="H239" s="39">
        <f t="shared" si="78"/>
        <v>18.671890798786659</v>
      </c>
      <c r="I239" s="39">
        <f t="shared" si="79"/>
        <v>224.0626895854399</v>
      </c>
      <c r="J239" s="39">
        <f t="shared" si="62"/>
        <v>1.9323335078849224</v>
      </c>
      <c r="K239" s="39">
        <f t="shared" si="80"/>
        <v>58.775144198166394</v>
      </c>
      <c r="L239" s="39">
        <f t="shared" si="81"/>
        <v>53532.623328274603</v>
      </c>
      <c r="N239">
        <f t="shared" si="63"/>
        <v>9.3445171862644916</v>
      </c>
      <c r="O239">
        <f t="shared" si="64"/>
        <v>2500.6118694876154</v>
      </c>
      <c r="P239">
        <f t="shared" si="69"/>
        <v>2.5006118694876154</v>
      </c>
      <c r="Q239" s="161">
        <f t="shared" si="70"/>
        <v>5.6204040024339506</v>
      </c>
      <c r="S239" s="157">
        <f t="shared" si="71"/>
        <v>0.24322424014603705</v>
      </c>
      <c r="T239" s="157">
        <v>0.05</v>
      </c>
      <c r="U239" s="157">
        <f t="shared" si="65"/>
        <v>0.24322424014603705</v>
      </c>
      <c r="V239" s="157">
        <f t="shared" si="66"/>
        <v>0.1973671701034429</v>
      </c>
      <c r="W239" s="157">
        <f t="shared" si="67"/>
        <v>0.21996409005476386</v>
      </c>
      <c r="Y239" s="157">
        <f t="shared" si="68"/>
        <v>-0.16933879792003398</v>
      </c>
      <c r="Z239" s="157">
        <f t="shared" si="72"/>
        <v>7.3885442226003073E-2</v>
      </c>
      <c r="AB239" s="2">
        <f>'Price Deck'!P233/'Price Deck'!M233</f>
        <v>18.275839143062143</v>
      </c>
      <c r="AC239" s="161">
        <f t="shared" si="73"/>
        <v>5.6204040024339506</v>
      </c>
      <c r="AE239" s="161">
        <f t="shared" si="74"/>
        <v>1074.1650809759713</v>
      </c>
      <c r="AF239">
        <f t="shared" si="75"/>
        <v>7.3885442226003073E-2</v>
      </c>
      <c r="AG239" s="165">
        <f t="shared" si="76"/>
        <v>79.36516203164004</v>
      </c>
      <c r="AH239" s="165">
        <f t="shared" si="77"/>
        <v>0.59414012114003523</v>
      </c>
    </row>
    <row r="240" spans="1:34">
      <c r="A240" t="str">
        <f>'Price Deck'!A234</f>
        <v>07/2035</v>
      </c>
      <c r="B240" s="39">
        <f>'Liquids Type Curve'!A247</f>
        <v>18.755224132119992</v>
      </c>
      <c r="C240" s="39">
        <f>'Liquids Type Curve'!B247</f>
        <v>225.0626895854399</v>
      </c>
      <c r="D240" s="39">
        <f>'Liquids Type Curve'!C247</f>
        <v>4.3734765446881179</v>
      </c>
      <c r="E240" s="39">
        <f>'Liquids Type Curve'!D247</f>
        <v>133.02657823426358</v>
      </c>
      <c r="F240" s="39">
        <f>'Liquids Type Curve'!E247</f>
        <v>119660.49725184902</v>
      </c>
      <c r="H240" s="39">
        <f t="shared" si="78"/>
        <v>18.755224132119992</v>
      </c>
      <c r="I240" s="39">
        <f t="shared" si="79"/>
        <v>225.0626895854399</v>
      </c>
      <c r="J240" s="39">
        <f t="shared" si="62"/>
        <v>1.9243296796627718</v>
      </c>
      <c r="K240" s="39">
        <f t="shared" si="80"/>
        <v>58.531694423075976</v>
      </c>
      <c r="L240" s="39">
        <f t="shared" si="81"/>
        <v>53591.155022697676</v>
      </c>
      <c r="N240">
        <f t="shared" si="63"/>
        <v>9.3058116987942352</v>
      </c>
      <c r="O240">
        <f t="shared" si="64"/>
        <v>2490.254202049784</v>
      </c>
      <c r="P240">
        <f t="shared" si="69"/>
        <v>2.4902542020497842</v>
      </c>
      <c r="Q240" s="161">
        <f t="shared" si="70"/>
        <v>5.6204040024339506</v>
      </c>
      <c r="S240" s="157">
        <f t="shared" si="71"/>
        <v>0.24322424014603705</v>
      </c>
      <c r="T240" s="157">
        <v>0.05</v>
      </c>
      <c r="U240" s="157">
        <f t="shared" si="65"/>
        <v>0.24322424014603705</v>
      </c>
      <c r="V240" s="157">
        <f t="shared" si="66"/>
        <v>0.1973671701034429</v>
      </c>
      <c r="W240" s="157">
        <f t="shared" si="67"/>
        <v>0.21996409005476386</v>
      </c>
      <c r="Y240" s="157">
        <f t="shared" si="68"/>
        <v>-0.169343911500448</v>
      </c>
      <c r="Z240" s="157">
        <f t="shared" si="72"/>
        <v>7.388032864558905E-2</v>
      </c>
      <c r="AB240" s="2">
        <f>'Price Deck'!P234/'Price Deck'!M234</f>
        <v>18.275839143062143</v>
      </c>
      <c r="AC240" s="161">
        <f t="shared" si="73"/>
        <v>5.6204040024339506</v>
      </c>
      <c r="AE240" s="161">
        <f t="shared" si="74"/>
        <v>1069.7158320470041</v>
      </c>
      <c r="AF240">
        <f t="shared" si="75"/>
        <v>7.388032864558905E-2</v>
      </c>
      <c r="AG240" s="165">
        <f t="shared" si="76"/>
        <v>79.030957229022405</v>
      </c>
      <c r="AH240" s="165">
        <f t="shared" si="77"/>
        <v>0.59409900095187473</v>
      </c>
    </row>
    <row r="241" spans="1:34">
      <c r="A241" t="str">
        <f>'Price Deck'!A235</f>
        <v>08/2035</v>
      </c>
      <c r="B241" s="39">
        <f>'Liquids Type Curve'!A248</f>
        <v>18.838557465453324</v>
      </c>
      <c r="C241" s="39">
        <f>'Liquids Type Curve'!B248</f>
        <v>226.0626895854399</v>
      </c>
      <c r="D241" s="39">
        <f>'Liquids Type Curve'!C248</f>
        <v>4.3554415175748922</v>
      </c>
      <c r="E241" s="39">
        <f>'Liquids Type Curve'!D248</f>
        <v>132.4780128262363</v>
      </c>
      <c r="F241" s="39">
        <f>'Liquids Type Curve'!E248</f>
        <v>119792.97526467526</v>
      </c>
      <c r="H241" s="39">
        <f t="shared" si="78"/>
        <v>18.838557465453324</v>
      </c>
      <c r="I241" s="39">
        <f t="shared" si="79"/>
        <v>226.0626895854399</v>
      </c>
      <c r="J241" s="39">
        <f t="shared" si="62"/>
        <v>1.9163942677329526</v>
      </c>
      <c r="K241" s="39">
        <f t="shared" si="80"/>
        <v>58.29032564354398</v>
      </c>
      <c r="L241" s="39">
        <f t="shared" si="81"/>
        <v>53649.445348341222</v>
      </c>
      <c r="N241">
        <f t="shared" si="63"/>
        <v>9.267437063745108</v>
      </c>
      <c r="O241">
        <f t="shared" si="64"/>
        <v>2479.9850713950559</v>
      </c>
      <c r="P241">
        <f t="shared" si="69"/>
        <v>2.4799850713950558</v>
      </c>
      <c r="Q241" s="161">
        <f t="shared" si="70"/>
        <v>5.6204040024339506</v>
      </c>
      <c r="S241" s="157">
        <f t="shared" si="71"/>
        <v>0.24322424014603705</v>
      </c>
      <c r="T241" s="157">
        <v>0.05</v>
      </c>
      <c r="U241" s="157">
        <f t="shared" si="65"/>
        <v>0.24322424014603705</v>
      </c>
      <c r="V241" s="157">
        <f t="shared" si="66"/>
        <v>0.1973671701034429</v>
      </c>
      <c r="W241" s="157">
        <f t="shared" si="67"/>
        <v>0.21996409005476386</v>
      </c>
      <c r="Y241" s="157">
        <f t="shared" si="68"/>
        <v>-0.16934898137025228</v>
      </c>
      <c r="Z241" s="157">
        <f t="shared" si="72"/>
        <v>7.3875258775784769E-2</v>
      </c>
      <c r="AB241" s="2">
        <f>'Price Deck'!P235/'Price Deck'!M235</f>
        <v>18.275839143062143</v>
      </c>
      <c r="AC241" s="161">
        <f t="shared" si="73"/>
        <v>5.6204040024339506</v>
      </c>
      <c r="AE241" s="161">
        <f t="shared" si="74"/>
        <v>1065.3046150581201</v>
      </c>
      <c r="AF241">
        <f t="shared" si="75"/>
        <v>7.3875258775784769E-2</v>
      </c>
      <c r="AG241" s="165">
        <f t="shared" si="76"/>
        <v>78.6996541124564</v>
      </c>
      <c r="AH241" s="165">
        <f t="shared" si="77"/>
        <v>0.59405823225686638</v>
      </c>
    </row>
    <row r="242" spans="1:34">
      <c r="A242" t="str">
        <f>'Price Deck'!A236</f>
        <v>09/2035</v>
      </c>
      <c r="B242" s="39">
        <f>'Liquids Type Curve'!A249</f>
        <v>18.921890798786656</v>
      </c>
      <c r="C242" s="39">
        <f>'Liquids Type Curve'!B249</f>
        <v>227.06268958543987</v>
      </c>
      <c r="D242" s="39">
        <f>'Liquids Type Curve'!C249</f>
        <v>4.3375599738573545</v>
      </c>
      <c r="E242" s="39">
        <f>'Liquids Type Curve'!D249</f>
        <v>131.93411587149453</v>
      </c>
      <c r="F242" s="39">
        <f>'Liquids Type Curve'!E249</f>
        <v>119924.90938054676</v>
      </c>
      <c r="H242" s="39">
        <f t="shared" si="78"/>
        <v>18.921890798786656</v>
      </c>
      <c r="I242" s="39">
        <f t="shared" si="79"/>
        <v>227.06268958543987</v>
      </c>
      <c r="J242" s="39">
        <f t="shared" si="62"/>
        <v>1.9085263884972359</v>
      </c>
      <c r="K242" s="39">
        <f t="shared" si="80"/>
        <v>58.051010983457594</v>
      </c>
      <c r="L242" s="39">
        <f t="shared" si="81"/>
        <v>53707.496359324679</v>
      </c>
      <c r="N242">
        <f t="shared" si="63"/>
        <v>9.2293890081493206</v>
      </c>
      <c r="O242">
        <f t="shared" si="64"/>
        <v>2469.8033340685301</v>
      </c>
      <c r="P242">
        <f t="shared" si="69"/>
        <v>2.4698033340685304</v>
      </c>
      <c r="Q242" s="161">
        <f t="shared" si="70"/>
        <v>5.6204040024339506</v>
      </c>
      <c r="S242" s="157">
        <f t="shared" si="71"/>
        <v>0.24322424014603705</v>
      </c>
      <c r="T242" s="157">
        <v>0.05</v>
      </c>
      <c r="U242" s="157">
        <f t="shared" si="65"/>
        <v>0.24322424014603705</v>
      </c>
      <c r="V242" s="157">
        <f t="shared" si="66"/>
        <v>0.1973671701034429</v>
      </c>
      <c r="W242" s="157">
        <f t="shared" si="67"/>
        <v>0.21996409005476386</v>
      </c>
      <c r="Y242" s="157">
        <f t="shared" si="68"/>
        <v>-0.16935400809397036</v>
      </c>
      <c r="Z242" s="157">
        <f t="shared" si="72"/>
        <v>7.3870232052066692E-2</v>
      </c>
      <c r="AB242" s="2">
        <f>'Price Deck'!P236/'Price Deck'!M236</f>
        <v>18.275839143062143</v>
      </c>
      <c r="AC242" s="161">
        <f t="shared" si="73"/>
        <v>5.6204040024339506</v>
      </c>
      <c r="AE242" s="161">
        <f t="shared" si="74"/>
        <v>1060.9309388258048</v>
      </c>
      <c r="AF242">
        <f t="shared" si="75"/>
        <v>7.3870232052066692E-2</v>
      </c>
      <c r="AG242" s="165">
        <f t="shared" si="76"/>
        <v>78.37121464227917</v>
      </c>
      <c r="AH242" s="165">
        <f t="shared" si="77"/>
        <v>0.59401781051546754</v>
      </c>
    </row>
    <row r="243" spans="1:34">
      <c r="A243" t="str">
        <f>'Price Deck'!A237</f>
        <v>10/2035</v>
      </c>
      <c r="B243" s="39">
        <f>'Liquids Type Curve'!A250</f>
        <v>19.005224132119988</v>
      </c>
      <c r="C243" s="39">
        <f>'Liquids Type Curve'!B250</f>
        <v>228.06268958543984</v>
      </c>
      <c r="D243" s="39">
        <f>'Liquids Type Curve'!C250</f>
        <v>4.3198299399863549</v>
      </c>
      <c r="E243" s="39">
        <f>'Liquids Type Curve'!D250</f>
        <v>131.39482734125164</v>
      </c>
      <c r="F243" s="39">
        <f>'Liquids Type Curve'!E250</f>
        <v>120056.30420788801</v>
      </c>
      <c r="H243" s="39">
        <f t="shared" si="78"/>
        <v>19.005224132119988</v>
      </c>
      <c r="I243" s="39">
        <f t="shared" si="79"/>
        <v>228.06268958543984</v>
      </c>
      <c r="J243" s="39">
        <f t="shared" si="62"/>
        <v>1.9007251735939961</v>
      </c>
      <c r="K243" s="39">
        <f t="shared" si="80"/>
        <v>57.813724030150716</v>
      </c>
      <c r="L243" s="39">
        <f t="shared" si="81"/>
        <v>53765.310083354831</v>
      </c>
      <c r="N243">
        <f t="shared" si="63"/>
        <v>9.1916633327213457</v>
      </c>
      <c r="O243">
        <f t="shared" si="64"/>
        <v>2459.7078663328298</v>
      </c>
      <c r="P243">
        <f t="shared" si="69"/>
        <v>2.4597078663328298</v>
      </c>
      <c r="Q243" s="161">
        <f t="shared" si="70"/>
        <v>5.6204040024339506</v>
      </c>
      <c r="S243" s="157">
        <f t="shared" si="71"/>
        <v>0.24322424014603705</v>
      </c>
      <c r="T243" s="157">
        <v>0.05</v>
      </c>
      <c r="U243" s="157">
        <f t="shared" si="65"/>
        <v>0.24322424014603705</v>
      </c>
      <c r="V243" s="157">
        <f t="shared" si="66"/>
        <v>0.1973671701034429</v>
      </c>
      <c r="W243" s="157">
        <f t="shared" si="67"/>
        <v>0.21996409005476386</v>
      </c>
      <c r="Y243" s="157">
        <f t="shared" si="68"/>
        <v>-0.16935899222639147</v>
      </c>
      <c r="Z243" s="157">
        <f t="shared" si="72"/>
        <v>7.3865247919645577E-2</v>
      </c>
      <c r="AB243" s="2">
        <f>'Price Deck'!P237/'Price Deck'!M237</f>
        <v>18.275839143062143</v>
      </c>
      <c r="AC243" s="161">
        <f t="shared" si="73"/>
        <v>5.6204040024339506</v>
      </c>
      <c r="AE243" s="161">
        <f t="shared" si="74"/>
        <v>1056.5943206364209</v>
      </c>
      <c r="AF243">
        <f t="shared" si="75"/>
        <v>7.3865247919645577E-2</v>
      </c>
      <c r="AG243" s="165">
        <f t="shared" si="76"/>
        <v>78.045601444298725</v>
      </c>
      <c r="AH243" s="165">
        <f t="shared" si="77"/>
        <v>0.59397773126641318</v>
      </c>
    </row>
    <row r="244" spans="1:34">
      <c r="A244" t="str">
        <f>'Price Deck'!A238</f>
        <v>11/2035</v>
      </c>
      <c r="B244" s="39">
        <f>'Liquids Type Curve'!A251</f>
        <v>19.08855746545332</v>
      </c>
      <c r="C244" s="39">
        <f>'Liquids Type Curve'!B251</f>
        <v>229.06268958543984</v>
      </c>
      <c r="D244" s="39">
        <f>'Liquids Type Curve'!C251</f>
        <v>4.3022494762956418</v>
      </c>
      <c r="E244" s="39">
        <f>'Liquids Type Curve'!D251</f>
        <v>130.86008823732578</v>
      </c>
      <c r="F244" s="39">
        <f>'Liquids Type Curve'!E251</f>
        <v>120187.16429612534</v>
      </c>
      <c r="H244" s="39">
        <f t="shared" si="78"/>
        <v>19.08855746545332</v>
      </c>
      <c r="I244" s="39">
        <f t="shared" si="79"/>
        <v>229.06268958543984</v>
      </c>
      <c r="J244" s="39">
        <f t="shared" si="62"/>
        <v>1.8929897695700824</v>
      </c>
      <c r="K244" s="39">
        <f t="shared" si="80"/>
        <v>57.578438824423344</v>
      </c>
      <c r="L244" s="39">
        <f t="shared" si="81"/>
        <v>53822.888522179252</v>
      </c>
      <c r="N244">
        <f t="shared" si="63"/>
        <v>9.1542559102711287</v>
      </c>
      <c r="O244">
        <f t="shared" si="64"/>
        <v>2449.6975637434734</v>
      </c>
      <c r="P244">
        <f t="shared" si="69"/>
        <v>2.4496975637434732</v>
      </c>
      <c r="Q244" s="161">
        <f t="shared" si="70"/>
        <v>5.6204040024339506</v>
      </c>
      <c r="S244" s="157">
        <f t="shared" si="71"/>
        <v>0.24322424014603705</v>
      </c>
      <c r="T244" s="157">
        <v>0.05</v>
      </c>
      <c r="U244" s="157">
        <f t="shared" si="65"/>
        <v>0.24322424014603705</v>
      </c>
      <c r="V244" s="157">
        <f t="shared" si="66"/>
        <v>0.1973671701034429</v>
      </c>
      <c r="W244" s="157">
        <f t="shared" si="67"/>
        <v>0.21996409005476386</v>
      </c>
      <c r="Y244" s="157">
        <f t="shared" si="68"/>
        <v>-0.16936393431277985</v>
      </c>
      <c r="Z244" s="157">
        <f t="shared" si="72"/>
        <v>7.38603058332572E-2</v>
      </c>
      <c r="AB244" s="2">
        <f>'Price Deck'!P238/'Price Deck'!M238</f>
        <v>18.275839143062143</v>
      </c>
      <c r="AC244" s="161">
        <f t="shared" si="73"/>
        <v>5.6204040024339506</v>
      </c>
      <c r="AE244" s="161">
        <f t="shared" si="74"/>
        <v>1052.2942860638052</v>
      </c>
      <c r="AF244">
        <f t="shared" si="75"/>
        <v>7.38603058332572E-2</v>
      </c>
      <c r="AG244" s="165">
        <f t="shared" si="76"/>
        <v>77.722777795261692</v>
      </c>
      <c r="AH244" s="165">
        <f t="shared" si="77"/>
        <v>0.59393799012503257</v>
      </c>
    </row>
    <row r="245" spans="1:34">
      <c r="A245" t="str">
        <f>'Price Deck'!A239</f>
        <v>01/2035</v>
      </c>
      <c r="B245" s="39">
        <f>'Liquids Type Curve'!A252</f>
        <v>19.171890798786652</v>
      </c>
      <c r="C245" s="39">
        <f>'Liquids Type Curve'!B252</f>
        <v>230.06268958543984</v>
      </c>
      <c r="D245" s="39">
        <f>'Liquids Type Curve'!C252</f>
        <v>4.2848166762753888</v>
      </c>
      <c r="E245" s="39">
        <f>'Liquids Type Curve'!D252</f>
        <v>130.32984057004307</v>
      </c>
      <c r="F245" s="39">
        <f>'Liquids Type Curve'!E252</f>
        <v>120317.49413669539</v>
      </c>
      <c r="H245" s="39">
        <f t="shared" si="78"/>
        <v>19.171890798786652</v>
      </c>
      <c r="I245" s="39">
        <f t="shared" si="79"/>
        <v>230.06268958543984</v>
      </c>
      <c r="J245" s="39">
        <f t="shared" si="62"/>
        <v>1.885319337561171</v>
      </c>
      <c r="K245" s="39">
        <f t="shared" si="80"/>
        <v>57.34512985081895</v>
      </c>
      <c r="L245" s="39">
        <f t="shared" si="81"/>
        <v>53880.233652030074</v>
      </c>
      <c r="N245">
        <f t="shared" si="63"/>
        <v>9.1171626841583109</v>
      </c>
      <c r="O245">
        <f t="shared" si="64"/>
        <v>2439.7713407352217</v>
      </c>
      <c r="P245">
        <f t="shared" si="69"/>
        <v>2.4397713407352217</v>
      </c>
      <c r="Q245" s="161">
        <f t="shared" si="70"/>
        <v>5.6204040024339506</v>
      </c>
      <c r="S245" s="157">
        <f t="shared" si="71"/>
        <v>0.24322424014603705</v>
      </c>
      <c r="T245" s="157">
        <v>0.05</v>
      </c>
      <c r="U245" s="157">
        <f t="shared" si="65"/>
        <v>0.24322424014603705</v>
      </c>
      <c r="V245" s="157">
        <f t="shared" si="66"/>
        <v>0.1973671701034429</v>
      </c>
      <c r="W245" s="157">
        <f t="shared" si="67"/>
        <v>0.21996409005476386</v>
      </c>
      <c r="Y245" s="157">
        <f t="shared" si="68"/>
        <v>-0.16936883488907903</v>
      </c>
      <c r="Z245" s="157">
        <f t="shared" si="72"/>
        <v>7.3855405256958023E-2</v>
      </c>
      <c r="AB245" s="2">
        <f>'Price Deck'!P239/'Price Deck'!M239</f>
        <v>18.275839143062143</v>
      </c>
      <c r="AC245" s="161">
        <f t="shared" si="73"/>
        <v>5.6204040024339506</v>
      </c>
      <c r="AE245" s="161">
        <f t="shared" si="74"/>
        <v>1048.0303687915782</v>
      </c>
      <c r="AF245">
        <f t="shared" si="75"/>
        <v>7.3855405256958023E-2</v>
      </c>
      <c r="AG245" s="165">
        <f t="shared" si="76"/>
        <v>77.402707608701178</v>
      </c>
      <c r="AH245" s="165">
        <f t="shared" si="77"/>
        <v>0.59389858278160557</v>
      </c>
    </row>
    <row r="246" spans="1:34">
      <c r="A246" t="str">
        <f>'Price Deck'!A240</f>
        <v>02/2035</v>
      </c>
      <c r="B246" s="39">
        <f>'Liquids Type Curve'!A253</f>
        <v>19.255224132119984</v>
      </c>
      <c r="C246" s="39">
        <f>'Liquids Type Curve'!B253</f>
        <v>231.06268958543981</v>
      </c>
      <c r="D246" s="39">
        <f>'Liquids Type Curve'!C253</f>
        <v>4.2675296658643314</v>
      </c>
      <c r="E246" s="39">
        <f>'Liquids Type Curve'!D253</f>
        <v>129.80402733670675</v>
      </c>
      <c r="F246" s="39">
        <f>'Liquids Type Curve'!E253</f>
        <v>120447.29816403209</v>
      </c>
      <c r="H246" s="39">
        <f t="shared" si="78"/>
        <v>19.255224132119984</v>
      </c>
      <c r="I246" s="39">
        <f t="shared" si="79"/>
        <v>231.06268958543981</v>
      </c>
      <c r="J246" s="39">
        <f t="shared" si="62"/>
        <v>1.8777130529803059</v>
      </c>
      <c r="K246" s="39">
        <f t="shared" si="80"/>
        <v>57.113772028150976</v>
      </c>
      <c r="L246" s="39">
        <f t="shared" si="81"/>
        <v>53937.347424058222</v>
      </c>
      <c r="N246">
        <f t="shared" si="63"/>
        <v>9.0803796667860617</v>
      </c>
      <c r="O246">
        <f t="shared" si="64"/>
        <v>2429.9281302190257</v>
      </c>
      <c r="P246">
        <f t="shared" si="69"/>
        <v>2.4299281302190257</v>
      </c>
      <c r="Q246" s="161">
        <f t="shared" si="70"/>
        <v>5.6204040024339506</v>
      </c>
      <c r="S246" s="157">
        <f t="shared" si="71"/>
        <v>0.24322424014603705</v>
      </c>
      <c r="T246" s="157">
        <v>0.05</v>
      </c>
      <c r="U246" s="157">
        <f t="shared" si="65"/>
        <v>0.24322424014603705</v>
      </c>
      <c r="V246" s="157">
        <f t="shared" si="66"/>
        <v>0.1973671701034429</v>
      </c>
      <c r="W246" s="157">
        <f t="shared" si="67"/>
        <v>0.21996409005476386</v>
      </c>
      <c r="Y246" s="157">
        <f t="shared" si="68"/>
        <v>-0.16937369448211087</v>
      </c>
      <c r="Z246" s="157">
        <f t="shared" si="72"/>
        <v>7.3850545663926181E-2</v>
      </c>
      <c r="AB246" s="2">
        <f>'Price Deck'!P240/'Price Deck'!M240</f>
        <v>18.275839143062143</v>
      </c>
      <c r="AC246" s="161">
        <f t="shared" si="73"/>
        <v>5.6204040024339506</v>
      </c>
      <c r="AE246" s="161">
        <f t="shared" si="74"/>
        <v>1043.8021104400093</v>
      </c>
      <c r="AF246">
        <f t="shared" si="75"/>
        <v>7.3850545663926181E-2</v>
      </c>
      <c r="AG246" s="165">
        <f t="shared" si="76"/>
        <v>77.085355421152428</v>
      </c>
      <c r="AH246" s="165">
        <f t="shared" si="77"/>
        <v>0.59385950499976337</v>
      </c>
    </row>
    <row r="247" spans="1:34">
      <c r="A247" t="str">
        <f>'Price Deck'!A241</f>
        <v>03/2035</v>
      </c>
      <c r="B247" s="39">
        <f>'Liquids Type Curve'!A254</f>
        <v>19.338557465453317</v>
      </c>
      <c r="C247" s="39">
        <f>'Liquids Type Curve'!B254</f>
        <v>232.06268958543978</v>
      </c>
      <c r="D247" s="39">
        <f>'Liquids Type Curve'!C254</f>
        <v>4.250386602760079</v>
      </c>
      <c r="E247" s="39">
        <f>'Liquids Type Curve'!D254</f>
        <v>129.28259250061907</v>
      </c>
      <c r="F247" s="39">
        <f>'Liquids Type Curve'!E254</f>
        <v>120576.58075653271</v>
      </c>
      <c r="H247" s="39">
        <f t="shared" si="78"/>
        <v>19.338557465453317</v>
      </c>
      <c r="I247" s="39">
        <f t="shared" si="79"/>
        <v>232.06268958543978</v>
      </c>
      <c r="J247" s="39">
        <f t="shared" si="62"/>
        <v>1.8701701052144348</v>
      </c>
      <c r="K247" s="39">
        <f t="shared" si="80"/>
        <v>56.884340700272396</v>
      </c>
      <c r="L247" s="39">
        <f t="shared" si="81"/>
        <v>53994.231764758493</v>
      </c>
      <c r="N247">
        <f t="shared" si="63"/>
        <v>9.0439029381335487</v>
      </c>
      <c r="O247">
        <f t="shared" si="64"/>
        <v>2420.1668831893098</v>
      </c>
      <c r="P247">
        <f t="shared" si="69"/>
        <v>2.4201668831893097</v>
      </c>
      <c r="Q247" s="161">
        <f t="shared" si="70"/>
        <v>5.7047100624704576</v>
      </c>
      <c r="S247" s="157">
        <f t="shared" si="71"/>
        <v>0.24828260374822747</v>
      </c>
      <c r="T247" s="157">
        <v>0.05</v>
      </c>
      <c r="U247" s="157">
        <f t="shared" si="65"/>
        <v>0.24828260374822747</v>
      </c>
      <c r="V247" s="157">
        <f t="shared" si="66"/>
        <v>0.20095017765499446</v>
      </c>
      <c r="W247" s="157">
        <f t="shared" si="67"/>
        <v>0.22186097640558528</v>
      </c>
      <c r="Y247" s="157">
        <f t="shared" si="68"/>
        <v>-0.16937851360976944</v>
      </c>
      <c r="Z247" s="157">
        <f t="shared" si="72"/>
        <v>7.8904090138458033E-2</v>
      </c>
      <c r="AB247" s="2">
        <f>'Price Deck'!P241/'Price Deck'!M241</f>
        <v>18.549976730208069</v>
      </c>
      <c r="AC247" s="161">
        <f t="shared" si="73"/>
        <v>5.7047100624704576</v>
      </c>
      <c r="AE247" s="161">
        <f t="shared" si="74"/>
        <v>1055.2031963032807</v>
      </c>
      <c r="AF247">
        <f t="shared" si="75"/>
        <v>7.8904090138458033E-2</v>
      </c>
      <c r="AG247" s="165">
        <f t="shared" si="76"/>
        <v>83.25984811550309</v>
      </c>
      <c r="AH247" s="165">
        <f t="shared" si="77"/>
        <v>0.64401437583412013</v>
      </c>
    </row>
    <row r="248" spans="1:34">
      <c r="A248" t="str">
        <f>'Price Deck'!A242</f>
        <v>04/2035</v>
      </c>
      <c r="B248" s="39">
        <f>'Liquids Type Curve'!A255</f>
        <v>19.421890798786649</v>
      </c>
      <c r="C248" s="39">
        <f>'Liquids Type Curve'!B255</f>
        <v>233.06268958543978</v>
      </c>
      <c r="D248" s="39">
        <f>'Liquids Type Curve'!C255</f>
        <v>4.2333856757468737</v>
      </c>
      <c r="E248" s="39">
        <f>'Liquids Type Curve'!D255</f>
        <v>128.76548097063409</v>
      </c>
      <c r="F248" s="39">
        <f>'Liquids Type Curve'!E255</f>
        <v>120705.34623750334</v>
      </c>
      <c r="H248" s="39">
        <f t="shared" si="78"/>
        <v>19.421890798786649</v>
      </c>
      <c r="I248" s="39">
        <f t="shared" si="79"/>
        <v>233.06268958543978</v>
      </c>
      <c r="J248" s="39">
        <f t="shared" si="62"/>
        <v>1.8626896973286244</v>
      </c>
      <c r="K248" s="39">
        <f t="shared" si="80"/>
        <v>56.656811627078994</v>
      </c>
      <c r="L248" s="39">
        <f t="shared" si="81"/>
        <v>54050.888576385572</v>
      </c>
      <c r="N248">
        <f t="shared" si="63"/>
        <v>9.0077286443255744</v>
      </c>
      <c r="O248">
        <f t="shared" si="64"/>
        <v>2410.4865683412063</v>
      </c>
      <c r="P248">
        <f t="shared" si="69"/>
        <v>2.4104865683412062</v>
      </c>
      <c r="Q248" s="161">
        <f t="shared" si="70"/>
        <v>5.7047100624704576</v>
      </c>
      <c r="S248" s="157">
        <f t="shared" si="71"/>
        <v>0.24828260374822747</v>
      </c>
      <c r="T248" s="157">
        <v>0.05</v>
      </c>
      <c r="U248" s="157">
        <f t="shared" si="65"/>
        <v>0.24828260374822747</v>
      </c>
      <c r="V248" s="157">
        <f t="shared" si="66"/>
        <v>0.20095017765499446</v>
      </c>
      <c r="W248" s="157">
        <f t="shared" si="67"/>
        <v>0.22186097640558528</v>
      </c>
      <c r="Y248" s="157">
        <f t="shared" si="68"/>
        <v>-0.16938329278120998</v>
      </c>
      <c r="Z248" s="157">
        <f t="shared" si="72"/>
        <v>7.8899310967017494E-2</v>
      </c>
      <c r="AB248" s="2">
        <f>'Price Deck'!P242/'Price Deck'!M242</f>
        <v>18.549976730208069</v>
      </c>
      <c r="AC248" s="161">
        <f t="shared" si="73"/>
        <v>5.7047100624704576</v>
      </c>
      <c r="AE248" s="161">
        <f t="shared" si="74"/>
        <v>1050.9825372900973</v>
      </c>
      <c r="AF248">
        <f t="shared" si="75"/>
        <v>7.8899310967017494E-2</v>
      </c>
      <c r="AG248" s="165">
        <f t="shared" si="76"/>
        <v>82.921798030556445</v>
      </c>
      <c r="AH248" s="165">
        <f t="shared" si="77"/>
        <v>0.64397536828575486</v>
      </c>
    </row>
    <row r="249" spans="1:34">
      <c r="A249" t="str">
        <f>'Price Deck'!A243</f>
        <v>05/2035</v>
      </c>
      <c r="B249" s="39">
        <f>'Liquids Type Curve'!A256</f>
        <v>19.505224132119981</v>
      </c>
      <c r="C249" s="39">
        <f>'Liquids Type Curve'!B256</f>
        <v>234.06268958543978</v>
      </c>
      <c r="D249" s="39">
        <f>'Liquids Type Curve'!C256</f>
        <v>4.2165251040404943</v>
      </c>
      <c r="E249" s="39">
        <f>'Liquids Type Curve'!D256</f>
        <v>128.25263858123171</v>
      </c>
      <c r="F249" s="39">
        <f>'Liquids Type Curve'!E256</f>
        <v>120833.59887608458</v>
      </c>
      <c r="H249" s="39">
        <f t="shared" si="78"/>
        <v>19.505224132119981</v>
      </c>
      <c r="I249" s="39">
        <f t="shared" si="79"/>
        <v>234.06268958543978</v>
      </c>
      <c r="J249" s="39">
        <f t="shared" si="62"/>
        <v>1.8552710457778174</v>
      </c>
      <c r="K249" s="39">
        <f t="shared" si="80"/>
        <v>56.431160975741946</v>
      </c>
      <c r="L249" s="39">
        <f t="shared" si="81"/>
        <v>54107.319737361315</v>
      </c>
      <c r="N249">
        <f t="shared" si="63"/>
        <v>8.9718529962386633</v>
      </c>
      <c r="O249">
        <f t="shared" si="64"/>
        <v>2400.8861716975407</v>
      </c>
      <c r="P249">
        <f t="shared" si="69"/>
        <v>2.4008861716975405</v>
      </c>
      <c r="Q249" s="161">
        <f t="shared" si="70"/>
        <v>5.7047100624704576</v>
      </c>
      <c r="S249" s="157">
        <f t="shared" si="71"/>
        <v>0.24828260374822747</v>
      </c>
      <c r="T249" s="157">
        <v>0.05</v>
      </c>
      <c r="U249" s="157">
        <f t="shared" si="65"/>
        <v>0.24828260374822747</v>
      </c>
      <c r="V249" s="157">
        <f t="shared" si="66"/>
        <v>0.20095017765499446</v>
      </c>
      <c r="W249" s="157">
        <f t="shared" si="67"/>
        <v>0.22186097640558528</v>
      </c>
      <c r="Y249" s="157">
        <f t="shared" si="68"/>
        <v>-0.16938803249703294</v>
      </c>
      <c r="Z249" s="157">
        <f t="shared" si="72"/>
        <v>7.8894571251194534E-2</v>
      </c>
      <c r="AB249" s="2">
        <f>'Price Deck'!P243/'Price Deck'!M243</f>
        <v>18.549976730208069</v>
      </c>
      <c r="AC249" s="161">
        <f t="shared" si="73"/>
        <v>5.7047100624704576</v>
      </c>
      <c r="AE249" s="161">
        <f t="shared" si="74"/>
        <v>1046.7967229586388</v>
      </c>
      <c r="AF249">
        <f t="shared" si="75"/>
        <v>7.8894571251194534E-2</v>
      </c>
      <c r="AG249" s="165">
        <f t="shared" si="76"/>
        <v>82.58657864497728</v>
      </c>
      <c r="AH249" s="165">
        <f t="shared" si="77"/>
        <v>0.6439366827737365</v>
      </c>
    </row>
    <row r="250" spans="1:34">
      <c r="A250" t="str">
        <f>'Price Deck'!A244</f>
        <v>06/2035</v>
      </c>
      <c r="B250" s="39">
        <f>'Liquids Type Curve'!A257</f>
        <v>19.588557465453313</v>
      </c>
      <c r="C250" s="39">
        <f>'Liquids Type Curve'!B257</f>
        <v>235.06268958543976</v>
      </c>
      <c r="D250" s="39">
        <f>'Liquids Type Curve'!C257</f>
        <v>4.1998031366496411</v>
      </c>
      <c r="E250" s="39">
        <f>'Liquids Type Curve'!D257</f>
        <v>127.74401207309326</v>
      </c>
      <c r="F250" s="39">
        <f>'Liquids Type Curve'!E257</f>
        <v>120961.34288815767</v>
      </c>
      <c r="H250" s="39">
        <f t="shared" si="78"/>
        <v>19.588557465453313</v>
      </c>
      <c r="I250" s="39">
        <f t="shared" si="79"/>
        <v>235.06268958543976</v>
      </c>
      <c r="J250" s="39">
        <f t="shared" si="62"/>
        <v>1.8479133801258421</v>
      </c>
      <c r="K250" s="39">
        <f t="shared" si="80"/>
        <v>56.207365312161031</v>
      </c>
      <c r="L250" s="39">
        <f t="shared" si="81"/>
        <v>54163.527102673477</v>
      </c>
      <c r="N250">
        <f t="shared" si="63"/>
        <v>8.9362722681422344</v>
      </c>
      <c r="O250">
        <f t="shared" si="64"/>
        <v>2391.3646962452053</v>
      </c>
      <c r="P250">
        <f t="shared" si="69"/>
        <v>2.3913646962452053</v>
      </c>
      <c r="Q250" s="161">
        <f t="shared" si="70"/>
        <v>5.7047100624704576</v>
      </c>
      <c r="S250" s="157">
        <f t="shared" si="71"/>
        <v>0.24828260374822747</v>
      </c>
      <c r="T250" s="157">
        <v>0.05</v>
      </c>
      <c r="U250" s="157">
        <f t="shared" si="65"/>
        <v>0.24828260374822747</v>
      </c>
      <c r="V250" s="157">
        <f t="shared" si="66"/>
        <v>0.20095017765499446</v>
      </c>
      <c r="W250" s="157">
        <f t="shared" si="67"/>
        <v>0.22186097640558528</v>
      </c>
      <c r="Y250" s="157">
        <f t="shared" si="68"/>
        <v>-0.16939273324946374</v>
      </c>
      <c r="Z250" s="157">
        <f t="shared" si="72"/>
        <v>7.8889870498763726E-2</v>
      </c>
      <c r="AB250" s="2">
        <f>'Price Deck'!P244/'Price Deck'!M244</f>
        <v>18.549976730208069</v>
      </c>
      <c r="AC250" s="161">
        <f t="shared" si="73"/>
        <v>5.7047100624704576</v>
      </c>
      <c r="AE250" s="161">
        <f t="shared" si="74"/>
        <v>1042.6453186068914</v>
      </c>
      <c r="AF250">
        <f t="shared" si="75"/>
        <v>7.8889870498763726E-2</v>
      </c>
      <c r="AG250" s="165">
        <f t="shared" si="76"/>
        <v>82.254154161039907</v>
      </c>
      <c r="AH250" s="165">
        <f t="shared" si="77"/>
        <v>0.64389831528052588</v>
      </c>
    </row>
    <row r="251" spans="1:34">
      <c r="A251" t="str">
        <f>'Price Deck'!A245</f>
        <v>07/2035</v>
      </c>
      <c r="B251" s="39">
        <f>'Liquids Type Curve'!A258</f>
        <v>19.671890798786645</v>
      </c>
      <c r="C251" s="39">
        <f>'Liquids Type Curve'!B258</f>
        <v>236.06268958543973</v>
      </c>
      <c r="D251" s="39">
        <f>'Liquids Type Curve'!C258</f>
        <v>4.1832180517533475</v>
      </c>
      <c r="E251" s="39">
        <f>'Liquids Type Curve'!D258</f>
        <v>127.23954907416433</v>
      </c>
      <c r="F251" s="39">
        <f>'Liquids Type Curve'!E258</f>
        <v>121088.58243723183</v>
      </c>
      <c r="H251" s="39">
        <f t="shared" si="78"/>
        <v>19.671890798786645</v>
      </c>
      <c r="I251" s="39">
        <f t="shared" si="79"/>
        <v>236.06268958543973</v>
      </c>
      <c r="J251" s="39">
        <f t="shared" si="62"/>
        <v>1.840615942771473</v>
      </c>
      <c r="K251" s="39">
        <f t="shared" si="80"/>
        <v>55.985401592632307</v>
      </c>
      <c r="L251" s="39">
        <f t="shared" si="81"/>
        <v>54219.512504266109</v>
      </c>
      <c r="N251">
        <f t="shared" si="63"/>
        <v>8.9009827963738601</v>
      </c>
      <c r="O251">
        <f t="shared" si="64"/>
        <v>2381.9211615806585</v>
      </c>
      <c r="P251">
        <f t="shared" si="69"/>
        <v>2.3819211615806584</v>
      </c>
      <c r="Q251" s="161">
        <f t="shared" si="70"/>
        <v>5.7047100624704576</v>
      </c>
      <c r="S251" s="157">
        <f t="shared" si="71"/>
        <v>0.24828260374822747</v>
      </c>
      <c r="T251" s="157">
        <v>0.05</v>
      </c>
      <c r="U251" s="157">
        <f t="shared" si="65"/>
        <v>0.24828260374822747</v>
      </c>
      <c r="V251" s="157">
        <f t="shared" si="66"/>
        <v>0.20095017765499446</v>
      </c>
      <c r="W251" s="157">
        <f t="shared" si="67"/>
        <v>0.22186097640558528</v>
      </c>
      <c r="Y251" s="157">
        <f t="shared" si="68"/>
        <v>-0.16939739552252764</v>
      </c>
      <c r="Z251" s="157">
        <f t="shared" si="72"/>
        <v>7.8885208225699832E-2</v>
      </c>
      <c r="AB251" s="2">
        <f>'Price Deck'!P245/'Price Deck'!M245</f>
        <v>18.549976730208069</v>
      </c>
      <c r="AC251" s="161">
        <f t="shared" si="73"/>
        <v>5.7047100624704576</v>
      </c>
      <c r="AE251" s="161">
        <f t="shared" si="74"/>
        <v>1038.5278967746831</v>
      </c>
      <c r="AF251">
        <f t="shared" si="75"/>
        <v>7.8885208225699832E-2</v>
      </c>
      <c r="AG251" s="165">
        <f t="shared" si="76"/>
        <v>81.92448938526897</v>
      </c>
      <c r="AH251" s="165">
        <f t="shared" si="77"/>
        <v>0.64386026185551404</v>
      </c>
    </row>
    <row r="252" spans="1:34">
      <c r="A252" t="str">
        <f>'Price Deck'!A246</f>
        <v>08/2035</v>
      </c>
      <c r="B252" s="39">
        <f>'Liquids Type Curve'!A259</f>
        <v>19.755224132119977</v>
      </c>
      <c r="C252" s="39">
        <f>'Liquids Type Curve'!B259</f>
        <v>237.06268958543973</v>
      </c>
      <c r="D252" s="39">
        <f>'Liquids Type Curve'!C259</f>
        <v>4.1667681560940659</v>
      </c>
      <c r="E252" s="39">
        <f>'Liquids Type Curve'!D259</f>
        <v>126.73919808119452</v>
      </c>
      <c r="F252" s="39">
        <f>'Liquids Type Curve'!E259</f>
        <v>121215.32163531303</v>
      </c>
      <c r="H252" s="39">
        <f t="shared" si="78"/>
        <v>19.755224132119977</v>
      </c>
      <c r="I252" s="39">
        <f t="shared" si="79"/>
        <v>237.06268958543973</v>
      </c>
      <c r="J252" s="39">
        <f t="shared" si="62"/>
        <v>1.833377988681389</v>
      </c>
      <c r="K252" s="39">
        <f t="shared" si="80"/>
        <v>55.765247155725582</v>
      </c>
      <c r="L252" s="39">
        <f t="shared" si="81"/>
        <v>54275.277751421832</v>
      </c>
      <c r="N252">
        <f t="shared" si="63"/>
        <v>8.8659809780478849</v>
      </c>
      <c r="O252">
        <f t="shared" si="64"/>
        <v>2372.5546035643451</v>
      </c>
      <c r="P252">
        <f t="shared" si="69"/>
        <v>2.3725546035643452</v>
      </c>
      <c r="Q252" s="161">
        <f t="shared" si="70"/>
        <v>5.7047100624704576</v>
      </c>
      <c r="S252" s="157">
        <f t="shared" si="71"/>
        <v>0.24828260374822747</v>
      </c>
      <c r="T252" s="157">
        <v>0.05</v>
      </c>
      <c r="U252" s="157">
        <f t="shared" si="65"/>
        <v>0.24828260374822747</v>
      </c>
      <c r="V252" s="157">
        <f t="shared" si="66"/>
        <v>0.20095017765499446</v>
      </c>
      <c r="W252" s="157">
        <f t="shared" si="67"/>
        <v>0.22186097640558528</v>
      </c>
      <c r="Y252" s="157">
        <f t="shared" si="68"/>
        <v>-0.16940201979222028</v>
      </c>
      <c r="Z252" s="157">
        <f t="shared" si="72"/>
        <v>7.8880583956007194E-2</v>
      </c>
      <c r="AB252" s="2">
        <f>'Price Deck'!P246/'Price Deck'!M246</f>
        <v>18.549976730208069</v>
      </c>
      <c r="AC252" s="161">
        <f t="shared" si="73"/>
        <v>5.7047100624704576</v>
      </c>
      <c r="AE252" s="161">
        <f t="shared" si="74"/>
        <v>1034.4440370930113</v>
      </c>
      <c r="AF252">
        <f t="shared" si="75"/>
        <v>7.8880583956007194E-2</v>
      </c>
      <c r="AG252" s="165">
        <f t="shared" si="76"/>
        <v>81.597549715706293</v>
      </c>
      <c r="AH252" s="165">
        <f t="shared" si="77"/>
        <v>0.64382251861362916</v>
      </c>
    </row>
    <row r="253" spans="1:34">
      <c r="A253" t="str">
        <f>'Price Deck'!A247</f>
        <v>09/2035</v>
      </c>
      <c r="B253" s="39">
        <f>'Liquids Type Curve'!A260</f>
        <v>19.838557465453309</v>
      </c>
      <c r="C253" s="39">
        <f>'Liquids Type Curve'!B260</f>
        <v>238.06268958543973</v>
      </c>
      <c r="D253" s="39">
        <f>'Liquids Type Curve'!C260</f>
        <v>4.1504517843857558</v>
      </c>
      <c r="E253" s="39">
        <f>'Liquids Type Curve'!D260</f>
        <v>126.24290844173341</v>
      </c>
      <c r="F253" s="39">
        <f>'Liquids Type Curve'!E260</f>
        <v>121341.56454375476</v>
      </c>
      <c r="H253" s="39">
        <f t="shared" si="78"/>
        <v>19.838557465453309</v>
      </c>
      <c r="I253" s="39">
        <f t="shared" si="79"/>
        <v>238.06268958543973</v>
      </c>
      <c r="J253" s="39">
        <f t="shared" si="62"/>
        <v>1.8261987851297325</v>
      </c>
      <c r="K253" s="39">
        <f t="shared" si="80"/>
        <v>55.546879714362703</v>
      </c>
      <c r="L253" s="39">
        <f t="shared" si="81"/>
        <v>54330.824631136195</v>
      </c>
      <c r="N253">
        <f t="shared" si="63"/>
        <v>8.8312632697959721</v>
      </c>
      <c r="O253">
        <f t="shared" si="64"/>
        <v>2363.2640739836675</v>
      </c>
      <c r="P253">
        <f t="shared" si="69"/>
        <v>2.3632640739836677</v>
      </c>
      <c r="Q253" s="161">
        <f t="shared" si="70"/>
        <v>5.7047100624704576</v>
      </c>
      <c r="S253" s="157">
        <f t="shared" si="71"/>
        <v>0.24828260374822747</v>
      </c>
      <c r="T253" s="157">
        <v>0.05</v>
      </c>
      <c r="U253" s="157">
        <f t="shared" si="65"/>
        <v>0.24828260374822747</v>
      </c>
      <c r="V253" s="157">
        <f t="shared" si="66"/>
        <v>0.20095017765499446</v>
      </c>
      <c r="W253" s="157">
        <f t="shared" si="67"/>
        <v>0.22186097640558528</v>
      </c>
      <c r="Y253" s="157">
        <f t="shared" si="68"/>
        <v>-0.16940660652667427</v>
      </c>
      <c r="Z253" s="157">
        <f t="shared" si="72"/>
        <v>7.8875997221553196E-2</v>
      </c>
      <c r="AB253" s="2">
        <f>'Price Deck'!P247/'Price Deck'!M247</f>
        <v>18.549976730208069</v>
      </c>
      <c r="AC253" s="161">
        <f t="shared" si="73"/>
        <v>5.7047100624704576</v>
      </c>
      <c r="AE253" s="161">
        <f t="shared" si="74"/>
        <v>1030.3933261370948</v>
      </c>
      <c r="AF253">
        <f t="shared" si="75"/>
        <v>7.8875997221553196E-2</v>
      </c>
      <c r="AG253" s="165">
        <f t="shared" si="76"/>
        <v>81.273301129496446</v>
      </c>
      <c r="AH253" s="165">
        <f t="shared" si="77"/>
        <v>0.64378508173397808</v>
      </c>
    </row>
    <row r="254" spans="1:34">
      <c r="A254" t="str">
        <f>'Price Deck'!A248</f>
        <v>10/2035</v>
      </c>
      <c r="B254" s="39">
        <f>'Liquids Type Curve'!A261</f>
        <v>19.921890798786642</v>
      </c>
      <c r="C254" s="39">
        <f>'Liquids Type Curve'!B261</f>
        <v>239.0626895854397</v>
      </c>
      <c r="D254" s="39">
        <f>'Liquids Type Curve'!C261</f>
        <v>4.134267298736761</v>
      </c>
      <c r="E254" s="39">
        <f>'Liquids Type Curve'!D261</f>
        <v>125.75063033657649</v>
      </c>
      <c r="F254" s="39">
        <f>'Liquids Type Curve'!E261</f>
        <v>121467.31517409135</v>
      </c>
      <c r="H254" s="39">
        <f t="shared" si="78"/>
        <v>19.921890798786642</v>
      </c>
      <c r="I254" s="39">
        <f t="shared" si="79"/>
        <v>239.0626895854397</v>
      </c>
      <c r="J254" s="39">
        <f t="shared" si="62"/>
        <v>1.8190776114441749</v>
      </c>
      <c r="K254" s="39">
        <f t="shared" si="80"/>
        <v>55.330277348093652</v>
      </c>
      <c r="L254" s="39">
        <f t="shared" si="81"/>
        <v>54386.154908484285</v>
      </c>
      <c r="N254">
        <f t="shared" si="63"/>
        <v>8.7968261865391035</v>
      </c>
      <c r="O254">
        <f t="shared" si="64"/>
        <v>2354.0486402243673</v>
      </c>
      <c r="P254">
        <f t="shared" si="69"/>
        <v>2.3540486402243674</v>
      </c>
      <c r="Q254" s="161">
        <f t="shared" si="70"/>
        <v>5.7047100624704576</v>
      </c>
      <c r="S254" s="157">
        <f t="shared" si="71"/>
        <v>0.24828260374822747</v>
      </c>
      <c r="T254" s="157">
        <v>0.05</v>
      </c>
      <c r="U254" s="157">
        <f t="shared" si="65"/>
        <v>0.24828260374822747</v>
      </c>
      <c r="V254" s="157">
        <f t="shared" si="66"/>
        <v>0.20095017765499446</v>
      </c>
      <c r="W254" s="157">
        <f t="shared" si="67"/>
        <v>0.22186097640558528</v>
      </c>
      <c r="Y254" s="157">
        <f t="shared" si="68"/>
        <v>-0.16941115618632122</v>
      </c>
      <c r="Z254" s="157">
        <f t="shared" si="72"/>
        <v>7.8871447561906255E-2</v>
      </c>
      <c r="AB254" s="2">
        <f>'Price Deck'!P248/'Price Deck'!M248</f>
        <v>18.549976730208069</v>
      </c>
      <c r="AC254" s="161">
        <f t="shared" si="73"/>
        <v>5.7047100624704576</v>
      </c>
      <c r="AE254" s="161">
        <f t="shared" si="74"/>
        <v>1026.3753572830958</v>
      </c>
      <c r="AF254">
        <f t="shared" si="75"/>
        <v>7.8871447561906255E-2</v>
      </c>
      <c r="AG254" s="165">
        <f t="shared" si="76"/>
        <v>80.951710170786484</v>
      </c>
      <c r="AH254" s="165">
        <f t="shared" si="77"/>
        <v>0.64374794745852215</v>
      </c>
    </row>
    <row r="255" spans="1:34">
      <c r="A255" t="str">
        <f>'Price Deck'!A249</f>
        <v>11/2035</v>
      </c>
      <c r="B255" s="39">
        <f>'Liquids Type Curve'!A262</f>
        <v>20.005224132119974</v>
      </c>
      <c r="C255" s="39">
        <f>'Liquids Type Curve'!B262</f>
        <v>240.06268958543967</v>
      </c>
      <c r="D255" s="39">
        <f>'Liquids Type Curve'!C262</f>
        <v>4.1182130880868941</v>
      </c>
      <c r="E255" s="39">
        <f>'Liquids Type Curve'!D262</f>
        <v>125.26231476264303</v>
      </c>
      <c r="F255" s="39">
        <f>'Liquids Type Curve'!E262</f>
        <v>121592.57748885399</v>
      </c>
      <c r="H255" s="39">
        <f t="shared" si="78"/>
        <v>20.005224132119974</v>
      </c>
      <c r="I255" s="39">
        <f t="shared" si="79"/>
        <v>240.06268958543967</v>
      </c>
      <c r="J255" s="39">
        <f t="shared" si="62"/>
        <v>1.8120137587582335</v>
      </c>
      <c r="K255" s="39">
        <f t="shared" si="80"/>
        <v>55.115418495562935</v>
      </c>
      <c r="L255" s="39">
        <f t="shared" si="81"/>
        <v>54441.270326979844</v>
      </c>
      <c r="N255">
        <f t="shared" si="63"/>
        <v>8.7626663002898244</v>
      </c>
      <c r="O255">
        <f t="shared" si="64"/>
        <v>2344.9073849500069</v>
      </c>
      <c r="P255">
        <f t="shared" si="69"/>
        <v>2.3449073849500071</v>
      </c>
      <c r="Q255" s="161">
        <f t="shared" si="70"/>
        <v>5.7047100624704576</v>
      </c>
      <c r="S255" s="157">
        <f t="shared" si="71"/>
        <v>0.24828260374822747</v>
      </c>
      <c r="T255" s="157">
        <v>0.05</v>
      </c>
      <c r="U255" s="157">
        <f t="shared" si="65"/>
        <v>0.24828260374822747</v>
      </c>
      <c r="V255" s="157">
        <f t="shared" si="66"/>
        <v>0.20095017765499446</v>
      </c>
      <c r="W255" s="157">
        <f t="shared" si="67"/>
        <v>0.22186097640558528</v>
      </c>
      <c r="Y255" s="157">
        <f t="shared" si="68"/>
        <v>-0.16941566922405019</v>
      </c>
      <c r="Z255" s="157">
        <f t="shared" si="72"/>
        <v>7.8866934524177285E-2</v>
      </c>
      <c r="AB255" s="2">
        <f>'Price Deck'!P249/'Price Deck'!M249</f>
        <v>18.549976730208069</v>
      </c>
      <c r="AC255" s="161">
        <f t="shared" si="73"/>
        <v>5.7047100624704576</v>
      </c>
      <c r="AE255" s="161">
        <f t="shared" si="74"/>
        <v>1022.3897305683719</v>
      </c>
      <c r="AF255">
        <f t="shared" si="75"/>
        <v>7.8866934524177285E-2</v>
      </c>
      <c r="AG255" s="165">
        <f t="shared" si="76"/>
        <v>80.632743938927035</v>
      </c>
      <c r="AH255" s="165">
        <f t="shared" si="77"/>
        <v>0.64371111209078613</v>
      </c>
    </row>
    <row r="256" spans="1:34">
      <c r="AB256" s="2"/>
      <c r="AC256" s="161"/>
      <c r="AE256" s="161"/>
      <c r="AG256" s="165"/>
    </row>
  </sheetData>
  <mergeCells count="3">
    <mergeCell ref="T9:W9"/>
    <mergeCell ref="T1:W1"/>
    <mergeCell ref="P1:R1"/>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Major Assumptions</vt:lpstr>
      <vt:lpstr>NAV</vt:lpstr>
      <vt:lpstr>Price Deck</vt:lpstr>
      <vt:lpstr>Production Costs </vt:lpstr>
      <vt:lpstr>Realized Pricing</vt:lpstr>
      <vt:lpstr>Capital Cost Calculation</vt:lpstr>
      <vt:lpstr>Oil Royalties</vt:lpstr>
      <vt:lpstr>Natural Gas Royalties</vt:lpstr>
      <vt:lpstr>Ethane Royalties</vt:lpstr>
      <vt:lpstr>Propane Royalties</vt:lpstr>
      <vt:lpstr>Butane Royalties</vt:lpstr>
      <vt:lpstr>Liquids Type Curve</vt:lpstr>
      <vt:lpstr>Gas Type Curve</vt:lpstr>
      <vt:lpstr>EUR</vt:lpstr>
      <vt:lpstr>IP</vt:lpstr>
      <vt:lpstr>CF</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Liam Vernon</dc:creator>
  <cp:lastModifiedBy>Andrew Leach</cp:lastModifiedBy>
  <dcterms:created xsi:type="dcterms:W3CDTF">2019-02-20T23:24:41Z</dcterms:created>
  <dcterms:modified xsi:type="dcterms:W3CDTF">2022-10-25T02:25:04Z</dcterms:modified>
</cp:coreProperties>
</file>